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comments2.xml" ContentType="application/vnd.openxmlformats-officedocument.spreadsheetml.comments+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9260" windowHeight="4350" firstSheet="1" activeTab="1"/>
  </bookViews>
  <sheets>
    <sheet name="CB_DATA_" sheetId="14" state="veryHidden" r:id="rId1"/>
    <sheet name="User's Guide" sheetId="23" r:id="rId2"/>
    <sheet name="Activity Description" sheetId="24" r:id="rId3"/>
    <sheet name="ERR &amp; Sensitivity Analysis" sheetId="25" r:id="rId4"/>
    <sheet name="Cost-Benefit Summary" sheetId="4" r:id="rId5"/>
    <sheet name="Dollar Conversion" sheetId="21" r:id="rId6"/>
    <sheet name="Endemic Assumptions" sheetId="1" r:id="rId7"/>
    <sheet name="Endemic Benefits" sheetId="3" r:id="rId8"/>
    <sheet name="Epidemic Assumptions" sheetId="5" r:id="rId9"/>
    <sheet name=" Epidemic Benefits" sheetId="16" r:id="rId10"/>
    <sheet name="Geral FISP" sheetId="19" r:id="rId11"/>
    <sheet name="MCC Costs" sheetId="22" r:id="rId12"/>
    <sheet name="Crystal Ball Sensitivity" sheetId="13" r:id="rId13"/>
    <sheet name="Charts" sheetId="20" r:id="rId14"/>
    <sheet name="Poverty Scorecard" sheetId="26" r:id="rId15"/>
  </sheets>
  <definedNames>
    <definedName name="CB_0b1d21d3195c40679741f9d929552a8f" localSheetId="12" hidden="1">'Crystal Ball Sensitivity'!$C$12</definedName>
    <definedName name="CB_46030946da8a4b1faf1c80cb8c7091cf" localSheetId="12" hidden="1">'Crystal Ball Sensitivity'!#REF!</definedName>
    <definedName name="CB_5c1d3ef4584f4d5ba7ebccf0a05a23a3" localSheetId="0" hidden="1">#N/A</definedName>
    <definedName name="CB_676a832f494440e9b93ef31deb2fed9e" localSheetId="12" hidden="1">'Crystal Ball Sensitivity'!$C$15</definedName>
    <definedName name="CB_7863e50731f743ffa771a77b9a43e07e" localSheetId="0" hidden="1">#N/A</definedName>
    <definedName name="CB_980d93bab0a249e8a5922918a678d2ce" localSheetId="12" hidden="1">'Crystal Ball Sensitivity'!$C$6</definedName>
    <definedName name="CB_ab2453e73f784c3788d4127c230acc3c" localSheetId="12" hidden="1">'Crystal Ball Sensitivity'!$C$5</definedName>
    <definedName name="CB_Block_00000000000000000000000000000000" localSheetId="0" hidden="1">"'7.0.0.0"</definedName>
    <definedName name="CB_Block_00000000000000000000000000000000" localSheetId="12" hidden="1">"'7.0.0.0"</definedName>
    <definedName name="CB_Block_00000000000000000000000000000001" localSheetId="0" hidden="1">"'635176182609924000"</definedName>
    <definedName name="CB_Block_00000000000000000000000000000001" localSheetId="12" hidden="1">"'635176182609924000"</definedName>
    <definedName name="CB_Block_00000000000000000000000000000003" localSheetId="0" hidden="1">"'11.1.2926.0"</definedName>
    <definedName name="CB_Block_00000000000000000000000000000003" localSheetId="12" hidden="1">"'11.1.2926.0"</definedName>
    <definedName name="CB_BlockExt_00000000000000000000000000000003" localSheetId="0" hidden="1">"'11.1.2.2.000"</definedName>
    <definedName name="CB_BlockExt_00000000000000000000000000000003" localSheetId="12" hidden="1">"'11.1.2.2.000"</definedName>
    <definedName name="CB_f126ce466a0b426e8cd309ba6d5a8848" localSheetId="12" hidden="1">'Crystal Ball Sensitivity'!$C$9</definedName>
    <definedName name="CB_f373668a46a84268884f1eafc1810a15" localSheetId="12" hidden="1">'Crystal Ball Sensitivity'!$C$4</definedName>
    <definedName name="CBWorkbookPriority" localSheetId="0" hidden="1">-86761249</definedName>
    <definedName name="CBx_a18fb984fc8e4966a41337e9f9d87589" localSheetId="0" hidden="1">"'CB_DATA_'!$A$1"</definedName>
    <definedName name="CBx_bbcad1f1cbd54e9ea2d576bf268894fd" localSheetId="0" hidden="1">"'Crystal Ball Sensitivity'!$A$1"</definedName>
    <definedName name="CBx_Sheet_Guid" localSheetId="0" hidden="1">"'a18fb984-fc8e-4966-a413-37e9f9d87589"</definedName>
    <definedName name="CBx_Sheet_Guid" localSheetId="12" hidden="1">"'bbcad1f1-cbd5-4e9e-a2d5-76bf268894fd"</definedName>
    <definedName name="CBx_SheetRef" localSheetId="0" hidden="1">CB_DATA_!$A$14</definedName>
    <definedName name="CBx_SheetRef" localSheetId="12" hidden="1">CB_DATA_!$B$14</definedName>
    <definedName name="CBx_StorageType" localSheetId="0" hidden="1">2</definedName>
    <definedName name="CBx_StorageType" localSheetId="12" hidden="1">2</definedName>
    <definedName name="Coconut_ha_in_Zambezia" localSheetId="8">'Epidemic Assumptions'!#REF!</definedName>
    <definedName name="Coconut_ha_in_Zambezia">'Endemic Assumptions'!#REF!</definedName>
    <definedName name="disease_incidence_rate" localSheetId="8">'Epidemic Assumptions'!#REF!</definedName>
    <definedName name="disease_incidence_rate">'Endemic Assumptions'!#REF!</definedName>
    <definedName name="Exchange_rate" localSheetId="8">'Epidemic Assumptions'!#REF!</definedName>
    <definedName name="Exchange_rate">'Endemic Assumptions'!#REF!</definedName>
    <definedName name="Ha_currently_affected" localSheetId="8">'Epidemic Assumptions'!#REF!</definedName>
    <definedName name="Ha_currently_affected">'Endemic Assumptions'!#REF!</definedName>
    <definedName name="Ha_will_be_affected_in_9_years" localSheetId="8">'Epidemic Assumptions'!#REF!</definedName>
    <definedName name="Ha_will_be_affected_in_9_years">'Endemic Assumptions'!#REF!</definedName>
    <definedName name="leaves_dropped_by_tree_per_yr" localSheetId="8">'Epidemic Assumptions'!$B$21</definedName>
    <definedName name="leaves_dropped_by_tree_per_yr">'Endemic Assumptions'!$B$15</definedName>
    <definedName name="leaves_needed_per_mat" localSheetId="8">'Epidemic Assumptions'!#REF!</definedName>
    <definedName name="leaves_needed_per_mat">'Endemic Assumptions'!$B$16</definedName>
    <definedName name="Net_income_ha__Pigeon_Pea">'Endemic Assumptions'!$B$46</definedName>
    <definedName name="Net_income_ha_Chickpea">'Epidemic Assumptions'!#REF!</definedName>
    <definedName name="Net_income_ha_Cowpea" localSheetId="8">'Epidemic Assumptions'!#REF!</definedName>
    <definedName name="Net_income_ha_Cowpea">'Endemic Assumptions'!$B$45</definedName>
    <definedName name="Net_income_ha_Groundnut" localSheetId="8">'Epidemic Assumptions'!#REF!</definedName>
    <definedName name="Net_income_ha_Groundnut">'Endemic Assumptions'!$B$44</definedName>
    <definedName name="Net_income_ha_Pigeonpea" localSheetId="8">'Epidemic Assumptions'!#REF!</definedName>
    <definedName name="Net_income_ha_Pigeonpea">'Endemic Assumptions'!#REF!</definedName>
    <definedName name="Net_income_ha_Pinapple" localSheetId="8">'Epidemic Assumptions'!#REF!</definedName>
    <definedName name="Net_income_ha_Pinapple">'Endemic Assumptions'!$B$46</definedName>
    <definedName name="net_income_ha_sesame" localSheetId="6">'Endemic Assumptions'!$B$47</definedName>
    <definedName name="Net_income_ha_Sesame">'Endemic Assumptions'!$B$47</definedName>
    <definedName name="No_estate_ha_in_Zambezia" localSheetId="8">'Epidemic Assumptions'!#REF!</definedName>
    <definedName name="No_estate_ha_in_Zambezia">'Endemic Assumptions'!#REF!</definedName>
    <definedName name="No_fruits_for_1_kg_copra" localSheetId="8">'Epidemic Assumptions'!$B$18</definedName>
    <definedName name="No_fruits_for_1_kg_copra">'Endemic Assumptions'!$B$11</definedName>
    <definedName name="No_fruits_for_5_MTn_milk" localSheetId="8">'Epidemic Assumptions'!#REF!</definedName>
    <definedName name="No_fruits_for_5_MTn_milk">'Endemic Assumptions'!#REF!</definedName>
    <definedName name="No_fruits_per_tree_per_yr" localSheetId="8">'Epidemic Assumptions'!#REF!</definedName>
    <definedName name="No_fruits_per_tree_per_yr">'Endemic Assumptions'!#REF!</definedName>
    <definedName name="No_producing_trees_from_estates" localSheetId="8">'Epidemic Assumptions'!#REF!</definedName>
    <definedName name="No_producing_trees_from_estates">'Endemic Assumptions'!#REF!</definedName>
    <definedName name="No_producing_trees_from_smallholder" localSheetId="8">'Epidemic Assumptions'!#REF!</definedName>
    <definedName name="No_producing_trees_from_smallholder">'Endemic Assumptions'!#REF!</definedName>
    <definedName name="No_producing_trees_in_Zambezia" localSheetId="8">'Epidemic Assumptions'!#REF!</definedName>
    <definedName name="No_producing_trees_in_Zambezia">'Endemic Assumptions'!#REF!</definedName>
    <definedName name="No_smallholder_ha_in_Zambezia" localSheetId="8">'Epidemic Assumptions'!#REF!</definedName>
    <definedName name="No_smallholder_ha_in_Zambezia">'Endemic Assumptions'!#REF!</definedName>
    <definedName name="No_trees_currently_affected_in_Zambezia" localSheetId="8">'Epidemic Assumptions'!#REF!</definedName>
    <definedName name="No_trees_currently_affected_in_Zambezia">'Endemic Assumptions'!#REF!</definedName>
    <definedName name="No_trees_per_ha" localSheetId="8">'Epidemic Assumptions'!$B$3</definedName>
    <definedName name="No_trees_per_ha">'Endemic Assumptions'!#REF!</definedName>
    <definedName name="Number_bad_palms_removed_estate_yr_1" localSheetId="8">'Epidemic Assumptions'!#REF!</definedName>
    <definedName name="Number_bad_palms_removed_estate_yr_1">'Endemic Assumptions'!#REF!</definedName>
    <definedName name="Number_bad_palms_removed_estate_yr_2" localSheetId="8">'Epidemic Assumptions'!#REF!</definedName>
    <definedName name="Number_bad_palms_removed_estate_yr_2">'Endemic Assumptions'!#REF!</definedName>
    <definedName name="Number_bad_palms_removed_estate_yr_3" localSheetId="8">'Epidemic Assumptions'!#REF!</definedName>
    <definedName name="Number_bad_palms_removed_estate_yr_3">'Endemic Assumptions'!#REF!</definedName>
    <definedName name="Number_bad_palms_removed_estate_yr_4" localSheetId="8">'Epidemic Assumptions'!#REF!</definedName>
    <definedName name="Number_bad_palms_removed_estate_yr_4">'Endemic Assumptions'!#REF!</definedName>
    <definedName name="Number_bad_palms_removed_estate_yr_5" localSheetId="8">'Epidemic Assumptions'!#REF!</definedName>
    <definedName name="Number_bad_palms_removed_estate_yr_5">'Endemic Assumptions'!#REF!</definedName>
    <definedName name="Number_bad_palms_removed_family_yr_1" localSheetId="8">'Epidemic Assumptions'!#REF!</definedName>
    <definedName name="Number_bad_palms_removed_family_yr_1">'Endemic Assumptions'!#REF!</definedName>
    <definedName name="Number_bad_palms_removed_family_yr_2" localSheetId="8">'Epidemic Assumptions'!#REF!</definedName>
    <definedName name="Number_bad_palms_removed_family_yr_2">'Endemic Assumptions'!#REF!</definedName>
    <definedName name="Number_bad_palms_removed_family_yr_3" localSheetId="8">'Epidemic Assumptions'!#REF!</definedName>
    <definedName name="Number_bad_palms_removed_family_yr_3">'Endemic Assumptions'!#REF!</definedName>
    <definedName name="Number_bad_palms_removed_family_yr_4" localSheetId="8">'Epidemic Assumptions'!#REF!</definedName>
    <definedName name="Number_bad_palms_removed_family_yr_4">'Endemic Assumptions'!#REF!</definedName>
    <definedName name="Number_bad_palms_removed_family_yr_5" localSheetId="8">'Epidemic Assumptions'!#REF!</definedName>
    <definedName name="Number_bad_palms_removed_family_yr_5">'Endemic Assumptions'!#REF!</definedName>
    <definedName name="Number_ha_intercropped_yrs_1_to_5" localSheetId="8">'Epidemic Assumptions'!#REF!</definedName>
    <definedName name="Number_ha_intercropped_yrs_1_to_5">'Endemic Assumptions'!$B$30</definedName>
    <definedName name="Number_ha_intercropped_yrs_2_to_5" localSheetId="8">'Epidemic Assumptions'!#REF!</definedName>
    <definedName name="Number_ha_intercropped_yrs_2_to_5">'Endemic Assumptions'!$B$30</definedName>
    <definedName name="Number_of_estates_trees" localSheetId="8">'Epidemic Assumptions'!$B$25</definedName>
    <definedName name="Number_of_estates_trees">'Endemic Assumptions'!#REF!</definedName>
    <definedName name="Number_of_fertilized_trees_fruits_per_year" localSheetId="8">'Epidemic Assumptions'!$B$8</definedName>
    <definedName name="Number_of_fertilized_trees_fruits_per_year">'Endemic Assumptions'!$B$4</definedName>
    <definedName name="Number_of_producing_trees" localSheetId="8">'Epidemic Assumptions'!#REF!</definedName>
    <definedName name="Number_of_producing_trees">'Endemic Assumptions'!#REF!</definedName>
    <definedName name="Number_of_smallholder_trees" localSheetId="8">'Epidemic Assumptions'!#REF!</definedName>
    <definedName name="Number_of_smallholder_trees">'Endemic Assumptions'!#REF!</definedName>
    <definedName name="Number_seedlings_replaced_yr_2" localSheetId="8">'Epidemic Assumptions'!$B$10</definedName>
    <definedName name="Number_seedlings_replaced_yr_2">'Endemic Assumptions'!#REF!</definedName>
    <definedName name="Number_seedlings_replaced_yr_3" localSheetId="8">'Epidemic Assumptions'!$B$11</definedName>
    <definedName name="Number_seedlings_replaced_yr_3">'Endemic Assumptions'!#REF!</definedName>
    <definedName name="Number_seedlings_replaced_yr_4" localSheetId="8">'Epidemic Assumptions'!$B$12</definedName>
    <definedName name="Number_seedlings_replaced_yr_4">'Endemic Assumptions'!#REF!</definedName>
    <definedName name="Number_seedlings_replaced_yr_5" localSheetId="8">'Epidemic Assumptions'!$B$13</definedName>
    <definedName name="Number_seedlings_replaced_yr_5">'Endemic Assumptions'!#REF!</definedName>
    <definedName name="Percent_ha_as_Cassava" localSheetId="8">'Epidemic Assumptions'!#REF!</definedName>
    <definedName name="Percent_ha_as_Cassava">'Endemic Assumptions'!#REF!</definedName>
    <definedName name="Percent_ha_as_Chickpea" localSheetId="8">'Epidemic Assumptions'!#REF!</definedName>
    <definedName name="Percent_ha_as_Chickpea">'Endemic Assumptions'!$C$35</definedName>
    <definedName name="Percent_ha_as_Cowpea" localSheetId="8">'Epidemic Assumptions'!#REF!</definedName>
    <definedName name="Percent_ha_as_Cowpea">'Endemic Assumptions'!$C$33</definedName>
    <definedName name="Percent_ha_as_Groundnut" localSheetId="8">'Epidemic Assumptions'!#REF!</definedName>
    <definedName name="Percent_ha_as_Groundnut">'Endemic Assumptions'!$C$32</definedName>
    <definedName name="Percent_ha_as_Pigeonpea" localSheetId="8">'Epidemic Assumptions'!#REF!</definedName>
    <definedName name="Percent_ha_as_Pigeonpea">'Endemic Assumptions'!#REF!</definedName>
    <definedName name="Percent_ha_as_Pineapple" localSheetId="8">'Epidemic Assumptions'!#REF!</definedName>
    <definedName name="Percent_ha_as_Pineapple">'Endemic Assumptions'!$C$34</definedName>
    <definedName name="Percent_original_yield_lost">'Endemic Benefits'!#REF!</definedName>
    <definedName name="Percent_yield_for_Copra" localSheetId="8">'Epidemic Assumptions'!$B$28</definedName>
    <definedName name="Percent_yield_for_Copra">'Endemic Assumptions'!$B$20</definedName>
    <definedName name="Percent_yield_for_justcoconutitself" localSheetId="8">'Epidemic Assumptions'!$B$30</definedName>
    <definedName name="Percent_yield_for_justcoconutitself">'Endemic Assumptions'!$B$21</definedName>
    <definedName name="Percent_yield_for_milk" localSheetId="8">'Epidemic Assumptions'!$B$29</definedName>
    <definedName name="Percent_yield_for_milk">'Endemic Assumptions'!#REF!</definedName>
    <definedName name="Price_dry_copra_per_kg__MTn" localSheetId="8">'Epidemic Assumptions'!$B$20</definedName>
    <definedName name="Price_dry_copra_per_kg__MTn">'Endemic Assumptions'!#REF!</definedName>
    <definedName name="Price_green_copra_per_kg__MTn" localSheetId="8">'Epidemic Assumptions'!$B$19</definedName>
    <definedName name="Price_green_copra_per_kg__MTn">'Endemic Assumptions'!$B$12</definedName>
    <definedName name="Price_per_coconut__MTn" localSheetId="8">'Epidemic Assumptions'!$B$17</definedName>
    <definedName name="Price_per_coconut__MTn">'Endemic Assumptions'!$B$10</definedName>
    <definedName name="Price_per_mat_MTn" localSheetId="8">'Epidemic Assumptions'!$B$23</definedName>
    <definedName name="Price_per_mat_MTn">'Endemic Assumptions'!$B$17</definedName>
    <definedName name="Recurrent_cost_drying_coconut_per_kg_MTn" localSheetId="8">'Epidemic Assumptions'!#REF!</definedName>
    <definedName name="Recurrent_cost_drying_coconut_per_kg_MTn">'Endemic Assumptions'!#REF!</definedName>
    <definedName name="solver_adj" localSheetId="9" hidden="1">'Epidemic Assumptions'!$B$36</definedName>
    <definedName name="solver_cvg" localSheetId="9" hidden="1">0.0001</definedName>
    <definedName name="solver_drv" localSheetId="9" hidden="1">1</definedName>
    <definedName name="solver_eng" localSheetId="9" hidden="1">1</definedName>
    <definedName name="solver_est" localSheetId="9" hidden="1">1</definedName>
    <definedName name="solver_itr" localSheetId="9" hidden="1">2147483647</definedName>
    <definedName name="solver_mip" localSheetId="9" hidden="1">2147483647</definedName>
    <definedName name="solver_mni" localSheetId="9" hidden="1">30</definedName>
    <definedName name="solver_mrt" localSheetId="9" hidden="1">0.075</definedName>
    <definedName name="solver_msl" localSheetId="9" hidden="1">2</definedName>
    <definedName name="solver_neg" localSheetId="9" hidden="1">1</definedName>
    <definedName name="solver_nod" localSheetId="9" hidden="1">2147483647</definedName>
    <definedName name="solver_num" localSheetId="9" hidden="1">0</definedName>
    <definedName name="solver_nwt" localSheetId="9" hidden="1">1</definedName>
    <definedName name="solver_opt" localSheetId="9" hidden="1">' Epidemic Benefits'!$E$39</definedName>
    <definedName name="solver_pre" localSheetId="9" hidden="1">0.000001</definedName>
    <definedName name="solver_rbv" localSheetId="9" hidden="1">1</definedName>
    <definedName name="solver_rlx" localSheetId="9" hidden="1">2</definedName>
    <definedName name="solver_rsd" localSheetId="9" hidden="1">0</definedName>
    <definedName name="solver_scl" localSheetId="9" hidden="1">1</definedName>
    <definedName name="solver_sho" localSheetId="9" hidden="1">2</definedName>
    <definedName name="solver_ssz" localSheetId="9" hidden="1">100</definedName>
    <definedName name="solver_tim" localSheetId="9" hidden="1">2147483647</definedName>
    <definedName name="solver_tol" localSheetId="9" hidden="1">0.01</definedName>
    <definedName name="solver_typ" localSheetId="9" hidden="1">3</definedName>
    <definedName name="solver_val" localSheetId="9" hidden="1">4157000</definedName>
    <definedName name="solver_ver" localSheetId="9" hidden="1">3</definedName>
    <definedName name="total_ha_intercropped" localSheetId="8">'Epidemic Assumptions'!#REF!</definedName>
    <definedName name="total_ha_intercropped">'Endemic Assumptions'!#REF!</definedName>
    <definedName name="trees_per_ha" localSheetId="8">'Epidemic Assumptions'!$B$3</definedName>
    <definedName name="trees_per_ha">'Endemic Assumptions'!#REF!</definedName>
  </definedNames>
  <calcPr calcId="145621"/>
</workbook>
</file>

<file path=xl/calcChain.xml><?xml version="1.0" encoding="utf-8"?>
<calcChain xmlns="http://schemas.openxmlformats.org/spreadsheetml/2006/main">
  <c r="D17" i="26" l="1"/>
  <c r="D15" i="26"/>
  <c r="I14" i="25" l="1"/>
  <c r="G11" i="25" l="1"/>
  <c r="G19" i="4" s="1"/>
  <c r="I10" i="25"/>
  <c r="G15" i="25" s="1"/>
  <c r="C12" i="13" s="1"/>
  <c r="G10" i="25"/>
  <c r="G18" i="4" s="1"/>
  <c r="G14" i="25" l="1"/>
  <c r="C6" i="13" s="1"/>
  <c r="B17" i="25"/>
  <c r="G13" i="25"/>
  <c r="C5" i="13" s="1"/>
  <c r="B30" i="24"/>
  <c r="B1" i="24"/>
  <c r="F25" i="1"/>
  <c r="P2" i="14"/>
  <c r="E4" i="22" l="1"/>
  <c r="C23" i="21"/>
  <c r="C5" i="22"/>
  <c r="E5" i="22" s="1"/>
  <c r="D4" i="22"/>
  <c r="D23" i="21" l="1"/>
  <c r="F23" i="21"/>
  <c r="E23" i="21"/>
  <c r="E20" i="22"/>
  <c r="D17" i="22"/>
  <c r="D18" i="22" s="1"/>
  <c r="C16" i="22"/>
  <c r="E12" i="22"/>
  <c r="D12" i="22"/>
  <c r="C15" i="22" s="1"/>
  <c r="E6" i="22"/>
  <c r="F6" i="22" s="1"/>
  <c r="D6" i="22"/>
  <c r="D9" i="22" s="1"/>
  <c r="F12" i="22" l="1"/>
  <c r="E18" i="22"/>
  <c r="G23" i="21" s="1"/>
  <c r="E22" i="22"/>
  <c r="F18" i="22"/>
  <c r="L8" i="21" l="1"/>
  <c r="K8" i="21"/>
  <c r="J8" i="21"/>
  <c r="I8" i="21"/>
  <c r="H8" i="21"/>
  <c r="G8" i="21"/>
  <c r="F8" i="21"/>
  <c r="E8" i="21"/>
  <c r="D8" i="21"/>
  <c r="L7" i="21"/>
  <c r="K7" i="21"/>
  <c r="J7" i="21"/>
  <c r="I7" i="21"/>
  <c r="H7" i="21"/>
  <c r="G7" i="21"/>
  <c r="F7" i="21"/>
  <c r="E7" i="21"/>
  <c r="D7" i="21"/>
  <c r="E12" i="13"/>
  <c r="I4" i="13"/>
  <c r="E23" i="1" l="1"/>
  <c r="E12" i="5"/>
  <c r="B5" i="1"/>
  <c r="F9" i="1"/>
  <c r="J16" i="3" l="1"/>
  <c r="K16" i="3"/>
  <c r="L16" i="3"/>
  <c r="I16" i="3"/>
  <c r="H16" i="3"/>
  <c r="G16" i="3"/>
  <c r="E16" i="3"/>
  <c r="D16" i="3"/>
  <c r="C16" i="3"/>
  <c r="F16" i="3"/>
  <c r="G12" i="21"/>
  <c r="F12" i="21"/>
  <c r="E12" i="21"/>
  <c r="D12" i="21"/>
  <c r="C12" i="21"/>
  <c r="D3" i="21"/>
  <c r="E3" i="21" s="1"/>
  <c r="F3" i="21" s="1"/>
  <c r="G3" i="21" s="1"/>
  <c r="H3" i="21" s="1"/>
  <c r="I3" i="21" s="1"/>
  <c r="J3" i="21" s="1"/>
  <c r="K3" i="21" s="1"/>
  <c r="L3" i="21" s="1"/>
  <c r="M3" i="21" s="1"/>
  <c r="N3" i="21" s="1"/>
  <c r="O3" i="21" s="1"/>
  <c r="P3" i="21" s="1"/>
  <c r="Q3" i="21" s="1"/>
  <c r="R3" i="21" s="1"/>
  <c r="S3" i="21" s="1"/>
  <c r="T3" i="21" s="1"/>
  <c r="U3" i="21" s="1"/>
  <c r="G10" i="21"/>
  <c r="G20" i="21" s="1"/>
  <c r="F10" i="21"/>
  <c r="F20" i="21" s="1"/>
  <c r="E10" i="21"/>
  <c r="E20" i="21" s="1"/>
  <c r="AQ3" i="21"/>
  <c r="AQ2" i="21"/>
  <c r="M2" i="21"/>
  <c r="N2" i="21" s="1"/>
  <c r="O2" i="21" s="1"/>
  <c r="P2" i="21" s="1"/>
  <c r="Q2" i="21" s="1"/>
  <c r="R2" i="21" s="1"/>
  <c r="S2" i="21" s="1"/>
  <c r="T2" i="21" s="1"/>
  <c r="U2" i="21" s="1"/>
  <c r="D10" i="21" l="1"/>
  <c r="D20" i="21" s="1"/>
  <c r="B25" i="21"/>
  <c r="E17" i="21"/>
  <c r="G17" i="21"/>
  <c r="D17" i="21"/>
  <c r="F17" i="21"/>
  <c r="C10" i="21"/>
  <c r="C15" i="21" s="1"/>
  <c r="C16" i="21" s="1"/>
  <c r="E15" i="21"/>
  <c r="E16" i="21" s="1"/>
  <c r="G15" i="21"/>
  <c r="G16" i="21" s="1"/>
  <c r="F15" i="21"/>
  <c r="F16" i="21" s="1"/>
  <c r="B33" i="5"/>
  <c r="H5" i="16" s="1"/>
  <c r="B39" i="1"/>
  <c r="C47" i="1"/>
  <c r="C46" i="1"/>
  <c r="C45" i="1"/>
  <c r="C44" i="1"/>
  <c r="B47" i="1"/>
  <c r="B46" i="1"/>
  <c r="B44" i="1"/>
  <c r="D51" i="16"/>
  <c r="J70" i="19"/>
  <c r="C43" i="16" s="1"/>
  <c r="B36" i="5" s="1"/>
  <c r="AG69" i="19"/>
  <c r="AN69" i="19" s="1"/>
  <c r="AN70" i="19" s="1"/>
  <c r="AC69" i="19"/>
  <c r="AB69" i="19"/>
  <c r="AB70" i="19" s="1"/>
  <c r="AA69" i="19"/>
  <c r="Y69" i="19"/>
  <c r="Y70" i="19" s="1"/>
  <c r="U69" i="19"/>
  <c r="U70" i="19" s="1"/>
  <c r="T69" i="19"/>
  <c r="T70" i="19" s="1"/>
  <c r="S69" i="19"/>
  <c r="S70" i="19" s="1"/>
  <c r="I69" i="19"/>
  <c r="I70" i="19" s="1"/>
  <c r="D49" i="16" s="1"/>
  <c r="H69" i="19"/>
  <c r="H70" i="19" s="1"/>
  <c r="K68" i="19"/>
  <c r="K69" i="19" s="1"/>
  <c r="C46" i="16" s="1"/>
  <c r="G68" i="19"/>
  <c r="K67" i="19"/>
  <c r="G67" i="19"/>
  <c r="BO66" i="19"/>
  <c r="BJ66" i="19"/>
  <c r="BI66" i="19"/>
  <c r="BB66" i="19"/>
  <c r="AS66" i="19"/>
  <c r="AO66" i="19"/>
  <c r="AL66" i="19"/>
  <c r="AK66" i="19"/>
  <c r="AG66" i="19"/>
  <c r="AB66" i="19"/>
  <c r="Y66" i="19"/>
  <c r="U66" i="19"/>
  <c r="L66" i="19"/>
  <c r="K66" i="19"/>
  <c r="G66" i="19"/>
  <c r="BO65" i="19"/>
  <c r="BJ65" i="19"/>
  <c r="BI65" i="19"/>
  <c r="BB65" i="19"/>
  <c r="BB67" i="19" s="1"/>
  <c r="AS65" i="19"/>
  <c r="AO65" i="19"/>
  <c r="AL65" i="19"/>
  <c r="AK65" i="19"/>
  <c r="AK67" i="19" s="1"/>
  <c r="AG65" i="19"/>
  <c r="AB65" i="19"/>
  <c r="Y65" i="19"/>
  <c r="U65" i="19"/>
  <c r="U67" i="19" s="1"/>
  <c r="L65" i="19"/>
  <c r="K65" i="19"/>
  <c r="G65" i="19"/>
  <c r="K64" i="19"/>
  <c r="G64" i="19"/>
  <c r="BO63" i="19"/>
  <c r="BJ63" i="19"/>
  <c r="BI63" i="19"/>
  <c r="BB63" i="19"/>
  <c r="AS63" i="19"/>
  <c r="AO63" i="19"/>
  <c r="AL63" i="19"/>
  <c r="AK63" i="19"/>
  <c r="AG63" i="19"/>
  <c r="AB63" i="19"/>
  <c r="Y63" i="19"/>
  <c r="U63" i="19"/>
  <c r="L63" i="19"/>
  <c r="K63" i="19"/>
  <c r="G63" i="19"/>
  <c r="BO62" i="19"/>
  <c r="BJ62" i="19"/>
  <c r="BI62" i="19"/>
  <c r="BB62" i="19"/>
  <c r="AS62" i="19"/>
  <c r="AO62" i="19"/>
  <c r="AL62" i="19"/>
  <c r="AK62" i="19"/>
  <c r="AG62" i="19"/>
  <c r="AB62" i="19"/>
  <c r="Y62" i="19"/>
  <c r="U62" i="19"/>
  <c r="L62" i="19"/>
  <c r="K62" i="19"/>
  <c r="G62" i="19"/>
  <c r="BO61" i="19"/>
  <c r="BJ61" i="19"/>
  <c r="BI61" i="19"/>
  <c r="BB61" i="19"/>
  <c r="AS61" i="19"/>
  <c r="AO61" i="19"/>
  <c r="AL61" i="19"/>
  <c r="AK61" i="19"/>
  <c r="AG61" i="19"/>
  <c r="AB61" i="19"/>
  <c r="Y61" i="19"/>
  <c r="U61" i="19"/>
  <c r="L61" i="19"/>
  <c r="K61" i="19"/>
  <c r="G61" i="19"/>
  <c r="BO60" i="19"/>
  <c r="BJ60" i="19"/>
  <c r="BI60" i="19"/>
  <c r="BB60" i="19"/>
  <c r="AS60" i="19"/>
  <c r="AO60" i="19"/>
  <c r="AL60" i="19"/>
  <c r="AK60" i="19"/>
  <c r="AG60" i="19"/>
  <c r="AB60" i="19"/>
  <c r="Y60" i="19"/>
  <c r="U60" i="19"/>
  <c r="L60" i="19"/>
  <c r="K60" i="19"/>
  <c r="G60" i="19"/>
  <c r="BO59" i="19"/>
  <c r="BJ59" i="19"/>
  <c r="BI59" i="19"/>
  <c r="BB59" i="19"/>
  <c r="AS59" i="19"/>
  <c r="AO59" i="19"/>
  <c r="AL59" i="19"/>
  <c r="AK59" i="19"/>
  <c r="AG59" i="19"/>
  <c r="AB59" i="19"/>
  <c r="Y59" i="19"/>
  <c r="U59" i="19"/>
  <c r="L59" i="19"/>
  <c r="K59" i="19"/>
  <c r="G59" i="19"/>
  <c r="BO58" i="19"/>
  <c r="BJ58" i="19"/>
  <c r="BI58" i="19"/>
  <c r="BB58" i="19"/>
  <c r="BB64" i="19" s="1"/>
  <c r="BB68" i="19" s="1"/>
  <c r="AS58" i="19"/>
  <c r="AO58" i="19"/>
  <c r="AL58" i="19"/>
  <c r="AK58" i="19"/>
  <c r="AK64" i="19" s="1"/>
  <c r="AG58" i="19"/>
  <c r="AB58" i="19"/>
  <c r="Y58" i="19"/>
  <c r="U58" i="19"/>
  <c r="U64" i="19" s="1"/>
  <c r="L58" i="19"/>
  <c r="K58" i="19"/>
  <c r="G58" i="19"/>
  <c r="AY56" i="19"/>
  <c r="AW56" i="19"/>
  <c r="AU56" i="19"/>
  <c r="AS56" i="19"/>
  <c r="BJ55" i="19"/>
  <c r="BJ69" i="19" s="1"/>
  <c r="BJ70" i="19" s="1"/>
  <c r="G51" i="16" s="1"/>
  <c r="BI55" i="19"/>
  <c r="BB55" i="19"/>
  <c r="AS55" i="19"/>
  <c r="AS69" i="19" s="1"/>
  <c r="AO55" i="19"/>
  <c r="AO69" i="19" s="1"/>
  <c r="AO70" i="19" s="1"/>
  <c r="AL55" i="19"/>
  <c r="AK55" i="19"/>
  <c r="AM55" i="19" s="1"/>
  <c r="M55" i="19"/>
  <c r="L55" i="19"/>
  <c r="L69" i="19" s="1"/>
  <c r="L70" i="19" s="1"/>
  <c r="E49" i="16" s="1"/>
  <c r="K55" i="19"/>
  <c r="G55" i="19"/>
  <c r="C55" i="19"/>
  <c r="F55" i="19" s="1"/>
  <c r="BL54" i="19"/>
  <c r="BM54" i="19" s="1"/>
  <c r="AP54" i="19"/>
  <c r="AM54" i="19"/>
  <c r="AA54" i="19"/>
  <c r="AC54" i="19" s="1"/>
  <c r="S54" i="19"/>
  <c r="T54" i="19" s="1"/>
  <c r="Q54" i="19"/>
  <c r="W54" i="19" s="1"/>
  <c r="K54" i="19"/>
  <c r="G54" i="19"/>
  <c r="F54" i="19"/>
  <c r="BL53" i="19"/>
  <c r="BM53" i="19" s="1"/>
  <c r="AP53" i="19"/>
  <c r="AM53" i="19"/>
  <c r="AA53" i="19"/>
  <c r="S53" i="19"/>
  <c r="Q53" i="19"/>
  <c r="W53" i="19" s="1"/>
  <c r="K53" i="19"/>
  <c r="G53" i="19"/>
  <c r="F53" i="19"/>
  <c r="BL52" i="19"/>
  <c r="BM52" i="19" s="1"/>
  <c r="AP52" i="19"/>
  <c r="AM52" i="19"/>
  <c r="AA52" i="19"/>
  <c r="S52" i="19"/>
  <c r="Q52" i="19"/>
  <c r="W52" i="19" s="1"/>
  <c r="AE52" i="19" s="1"/>
  <c r="K52" i="19"/>
  <c r="G52" i="19"/>
  <c r="F52" i="19"/>
  <c r="BL51" i="19"/>
  <c r="BM51" i="19" s="1"/>
  <c r="AP51" i="19"/>
  <c r="AM51" i="19"/>
  <c r="AC51" i="19"/>
  <c r="AA51" i="19"/>
  <c r="S51" i="19"/>
  <c r="Q51" i="19"/>
  <c r="W51" i="19" s="1"/>
  <c r="AE51" i="19" s="1"/>
  <c r="K51" i="19"/>
  <c r="G51" i="19"/>
  <c r="F51" i="19"/>
  <c r="BL50" i="19"/>
  <c r="BM50" i="19" s="1"/>
  <c r="AP50" i="19"/>
  <c r="AM50" i="19"/>
  <c r="AA50" i="19"/>
  <c r="S50" i="19"/>
  <c r="Q50" i="19"/>
  <c r="W50" i="19" s="1"/>
  <c r="K50" i="19"/>
  <c r="G50" i="19"/>
  <c r="F50" i="19"/>
  <c r="BL49" i="19"/>
  <c r="BM49" i="19" s="1"/>
  <c r="AP49" i="19"/>
  <c r="AM49" i="19"/>
  <c r="AA49" i="19"/>
  <c r="AC49" i="19" s="1"/>
  <c r="W49" i="19"/>
  <c r="AE49" i="19" s="1"/>
  <c r="S49" i="19"/>
  <c r="R49" i="19"/>
  <c r="Q49" i="19"/>
  <c r="P49" i="19" s="1"/>
  <c r="K49" i="19"/>
  <c r="G49" i="19"/>
  <c r="F49" i="19"/>
  <c r="AP48" i="19"/>
  <c r="AM48" i="19"/>
  <c r="AA48" i="19"/>
  <c r="S48" i="19"/>
  <c r="Q48" i="19"/>
  <c r="N48" i="19"/>
  <c r="M66" i="19" s="1"/>
  <c r="K48" i="19"/>
  <c r="G48" i="19"/>
  <c r="F48" i="19"/>
  <c r="D48" i="19"/>
  <c r="C66" i="19" s="1"/>
  <c r="F66" i="19" s="1"/>
  <c r="BL47" i="19"/>
  <c r="BM47" i="19" s="1"/>
  <c r="AP47" i="19"/>
  <c r="AM47" i="19"/>
  <c r="AA47" i="19"/>
  <c r="AC47" i="19" s="1"/>
  <c r="S47" i="19"/>
  <c r="R47" i="19"/>
  <c r="Q47" i="19"/>
  <c r="W47" i="19" s="1"/>
  <c r="AE47" i="19" s="1"/>
  <c r="P47" i="19"/>
  <c r="K47" i="19"/>
  <c r="G47" i="19"/>
  <c r="F47" i="19"/>
  <c r="BL46" i="19"/>
  <c r="BM46" i="19" s="1"/>
  <c r="AP46" i="19"/>
  <c r="AM46" i="19"/>
  <c r="AA46" i="19"/>
  <c r="S46" i="19"/>
  <c r="Q46" i="19"/>
  <c r="W46" i="19" s="1"/>
  <c r="K46" i="19"/>
  <c r="G46" i="19"/>
  <c r="F46" i="19"/>
  <c r="BL45" i="19"/>
  <c r="BM45" i="19" s="1"/>
  <c r="AP45" i="19"/>
  <c r="AM45" i="19"/>
  <c r="AA45" i="19"/>
  <c r="AC45" i="19" s="1"/>
  <c r="S45" i="19"/>
  <c r="Q45" i="19"/>
  <c r="P45" i="19" s="1"/>
  <c r="K45" i="19"/>
  <c r="G45" i="19"/>
  <c r="F45" i="19"/>
  <c r="BL44" i="19"/>
  <c r="BM44" i="19" s="1"/>
  <c r="AP44" i="19"/>
  <c r="AM44" i="19"/>
  <c r="AA44" i="19"/>
  <c r="S44" i="19"/>
  <c r="Q44" i="19"/>
  <c r="W44" i="19" s="1"/>
  <c r="K44" i="19"/>
  <c r="G44" i="19"/>
  <c r="F44" i="19"/>
  <c r="BL43" i="19"/>
  <c r="BM43" i="19" s="1"/>
  <c r="AP43" i="19"/>
  <c r="AM43" i="19"/>
  <c r="AA43" i="19"/>
  <c r="AC43" i="19" s="1"/>
  <c r="S43" i="19"/>
  <c r="T43" i="19" s="1"/>
  <c r="Q43" i="19"/>
  <c r="R43" i="19" s="1"/>
  <c r="N43" i="19"/>
  <c r="M65" i="19" s="1"/>
  <c r="K43" i="19"/>
  <c r="G43" i="19"/>
  <c r="F43" i="19"/>
  <c r="D43" i="19"/>
  <c r="C65" i="19" s="1"/>
  <c r="BL42" i="19"/>
  <c r="BM42" i="19" s="1"/>
  <c r="AP42" i="19"/>
  <c r="AM42" i="19"/>
  <c r="AA42" i="19"/>
  <c r="S42" i="19"/>
  <c r="Q42" i="19"/>
  <c r="W42" i="19" s="1"/>
  <c r="K42" i="19"/>
  <c r="G42" i="19"/>
  <c r="F42" i="19"/>
  <c r="BL41" i="19"/>
  <c r="BM41" i="19" s="1"/>
  <c r="AP41" i="19"/>
  <c r="AM41" i="19"/>
  <c r="AA41" i="19"/>
  <c r="AC41" i="19" s="1"/>
  <c r="S41" i="19"/>
  <c r="Q41" i="19"/>
  <c r="P41" i="19" s="1"/>
  <c r="K41" i="19"/>
  <c r="G41" i="19"/>
  <c r="F41" i="19"/>
  <c r="AP40" i="19"/>
  <c r="AM40" i="19"/>
  <c r="AA40" i="19"/>
  <c r="AC40" i="19" s="1"/>
  <c r="S40" i="19"/>
  <c r="T40" i="19" s="1"/>
  <c r="Q40" i="19"/>
  <c r="K40" i="19"/>
  <c r="G40" i="19"/>
  <c r="F40" i="19"/>
  <c r="BL39" i="19"/>
  <c r="BM39" i="19" s="1"/>
  <c r="AP39" i="19"/>
  <c r="AM39" i="19"/>
  <c r="AA39" i="19"/>
  <c r="AC39" i="19" s="1"/>
  <c r="S39" i="19"/>
  <c r="T39" i="19" s="1"/>
  <c r="Q39" i="19"/>
  <c r="R39" i="19" s="1"/>
  <c r="K39" i="19"/>
  <c r="G39" i="19"/>
  <c r="F39" i="19"/>
  <c r="BL38" i="19"/>
  <c r="BM38" i="19" s="1"/>
  <c r="AP38" i="19"/>
  <c r="AM38" i="19"/>
  <c r="AA38" i="19"/>
  <c r="S38" i="19"/>
  <c r="Q38" i="19"/>
  <c r="W38" i="19" s="1"/>
  <c r="K38" i="19"/>
  <c r="G38" i="19"/>
  <c r="F38" i="19"/>
  <c r="BL37" i="19"/>
  <c r="BM37" i="19" s="1"/>
  <c r="AP37" i="19"/>
  <c r="AM37" i="19"/>
  <c r="AA37" i="19"/>
  <c r="AC37" i="19" s="1"/>
  <c r="S37" i="19"/>
  <c r="Q37" i="19"/>
  <c r="R37" i="19" s="1"/>
  <c r="K37" i="19"/>
  <c r="G37" i="19"/>
  <c r="F37" i="19"/>
  <c r="BL36" i="19"/>
  <c r="BM36" i="19" s="1"/>
  <c r="AP36" i="19"/>
  <c r="AM36" i="19"/>
  <c r="AA36" i="19"/>
  <c r="S36" i="19"/>
  <c r="Q36" i="19"/>
  <c r="W36" i="19" s="1"/>
  <c r="K36" i="19"/>
  <c r="G36" i="19"/>
  <c r="F36" i="19"/>
  <c r="BL35" i="19"/>
  <c r="BM35" i="19" s="1"/>
  <c r="AP35" i="19"/>
  <c r="AM35" i="19"/>
  <c r="AA35" i="19"/>
  <c r="AC35" i="19" s="1"/>
  <c r="S35" i="19"/>
  <c r="T35" i="19" s="1"/>
  <c r="Q35" i="19"/>
  <c r="W35" i="19" s="1"/>
  <c r="AE35" i="19" s="1"/>
  <c r="N35" i="19"/>
  <c r="M63" i="19" s="1"/>
  <c r="K35" i="19"/>
  <c r="G35" i="19"/>
  <c r="F35" i="19"/>
  <c r="D35" i="19"/>
  <c r="C63" i="19" s="1"/>
  <c r="F63" i="19" s="1"/>
  <c r="BL34" i="19"/>
  <c r="BM34" i="19" s="1"/>
  <c r="AP34" i="19"/>
  <c r="AM34" i="19"/>
  <c r="AA34" i="19"/>
  <c r="S34" i="19"/>
  <c r="Q34" i="19"/>
  <c r="W34" i="19" s="1"/>
  <c r="K34" i="19"/>
  <c r="G34" i="19"/>
  <c r="F34" i="19"/>
  <c r="BL33" i="19"/>
  <c r="BM33" i="19" s="1"/>
  <c r="AP33" i="19"/>
  <c r="AM33" i="19"/>
  <c r="AA33" i="19"/>
  <c r="AC33" i="19" s="1"/>
  <c r="S33" i="19"/>
  <c r="Q33" i="19"/>
  <c r="R33" i="19" s="1"/>
  <c r="K33" i="19"/>
  <c r="G33" i="19"/>
  <c r="F33" i="19"/>
  <c r="BL32" i="19"/>
  <c r="BM32" i="19" s="1"/>
  <c r="AP32" i="19"/>
  <c r="AM32" i="19"/>
  <c r="AA32" i="19"/>
  <c r="S32" i="19"/>
  <c r="Q32" i="19"/>
  <c r="W32" i="19" s="1"/>
  <c r="K32" i="19"/>
  <c r="G32" i="19"/>
  <c r="F32" i="19"/>
  <c r="BL31" i="19"/>
  <c r="BM31" i="19" s="1"/>
  <c r="AP31" i="19"/>
  <c r="AM31" i="19"/>
  <c r="AA31" i="19"/>
  <c r="AC31" i="19" s="1"/>
  <c r="S31" i="19"/>
  <c r="Q31" i="19"/>
  <c r="W31" i="19" s="1"/>
  <c r="AE31" i="19" s="1"/>
  <c r="K31" i="19"/>
  <c r="G31" i="19"/>
  <c r="F31" i="19"/>
  <c r="BL30" i="19"/>
  <c r="BM30" i="19" s="1"/>
  <c r="AP30" i="19"/>
  <c r="AM30" i="19"/>
  <c r="AA30" i="19"/>
  <c r="S30" i="19"/>
  <c r="Q30" i="19"/>
  <c r="W30" i="19" s="1"/>
  <c r="K30" i="19"/>
  <c r="G30" i="19"/>
  <c r="F30" i="19"/>
  <c r="BL29" i="19"/>
  <c r="BM29" i="19" s="1"/>
  <c r="AP29" i="19"/>
  <c r="AM29" i="19"/>
  <c r="AA29" i="19"/>
  <c r="AC29" i="19" s="1"/>
  <c r="S29" i="19"/>
  <c r="Q29" i="19"/>
  <c r="P29" i="19" s="1"/>
  <c r="K29" i="19"/>
  <c r="G29" i="19"/>
  <c r="F29" i="19"/>
  <c r="BL28" i="19"/>
  <c r="BM28" i="19" s="1"/>
  <c r="AP28" i="19"/>
  <c r="AM28" i="19"/>
  <c r="AA28" i="19"/>
  <c r="S28" i="19"/>
  <c r="Q28" i="19"/>
  <c r="W28" i="19" s="1"/>
  <c r="K28" i="19"/>
  <c r="G28" i="19"/>
  <c r="F28" i="19"/>
  <c r="BL27" i="19"/>
  <c r="BM27" i="19" s="1"/>
  <c r="AP27" i="19"/>
  <c r="AM27" i="19"/>
  <c r="AA27" i="19"/>
  <c r="AC27" i="19" s="1"/>
  <c r="S27" i="19"/>
  <c r="T27" i="19" s="1"/>
  <c r="Q27" i="19"/>
  <c r="R27" i="19" s="1"/>
  <c r="K27" i="19"/>
  <c r="G27" i="19"/>
  <c r="F27" i="19"/>
  <c r="AP26" i="19"/>
  <c r="AM26" i="19"/>
  <c r="AA26" i="19"/>
  <c r="S26" i="19"/>
  <c r="Q26" i="19"/>
  <c r="N26" i="19"/>
  <c r="M62" i="19" s="1"/>
  <c r="K26" i="19"/>
  <c r="G26" i="19"/>
  <c r="F26" i="19"/>
  <c r="D26" i="19"/>
  <c r="C62" i="19" s="1"/>
  <c r="F62" i="19" s="1"/>
  <c r="BL25" i="19"/>
  <c r="BM25" i="19" s="1"/>
  <c r="AP25" i="19"/>
  <c r="AM25" i="19"/>
  <c r="AA25" i="19"/>
  <c r="AC25" i="19" s="1"/>
  <c r="S25" i="19"/>
  <c r="Q25" i="19"/>
  <c r="P25" i="19" s="1"/>
  <c r="K25" i="19"/>
  <c r="G25" i="19"/>
  <c r="F25" i="19"/>
  <c r="BL24" i="19"/>
  <c r="BM24" i="19" s="1"/>
  <c r="AP24" i="19"/>
  <c r="AM24" i="19"/>
  <c r="AA24" i="19"/>
  <c r="S24" i="19"/>
  <c r="Q24" i="19"/>
  <c r="W24" i="19" s="1"/>
  <c r="K24" i="19"/>
  <c r="G24" i="19"/>
  <c r="F24" i="19"/>
  <c r="BL23" i="19"/>
  <c r="BM23" i="19" s="1"/>
  <c r="AP23" i="19"/>
  <c r="AM23" i="19"/>
  <c r="AA23" i="19"/>
  <c r="AC23" i="19" s="1"/>
  <c r="W23" i="19"/>
  <c r="AE23" i="19" s="1"/>
  <c r="S23" i="19"/>
  <c r="T23" i="19" s="1"/>
  <c r="Q23" i="19"/>
  <c r="R23" i="19" s="1"/>
  <c r="P23" i="19"/>
  <c r="K23" i="19"/>
  <c r="G23" i="19"/>
  <c r="F23" i="19"/>
  <c r="BL22" i="19"/>
  <c r="BM22" i="19" s="1"/>
  <c r="AP22" i="19"/>
  <c r="AM22" i="19"/>
  <c r="AA22" i="19"/>
  <c r="S22" i="19"/>
  <c r="Q22" i="19"/>
  <c r="W22" i="19" s="1"/>
  <c r="K22" i="19"/>
  <c r="G22" i="19"/>
  <c r="F22" i="19"/>
  <c r="BL21" i="19"/>
  <c r="BM21" i="19" s="1"/>
  <c r="AP21" i="19"/>
  <c r="AM21" i="19"/>
  <c r="AC21" i="19"/>
  <c r="AA21" i="19"/>
  <c r="T21" i="19"/>
  <c r="S21" i="19"/>
  <c r="Q21" i="19"/>
  <c r="R21" i="19" s="1"/>
  <c r="K21" i="19"/>
  <c r="G21" i="19"/>
  <c r="F21" i="19"/>
  <c r="AP20" i="19"/>
  <c r="AM20" i="19"/>
  <c r="AA20" i="19"/>
  <c r="S20" i="19"/>
  <c r="Q20" i="19"/>
  <c r="N20" i="19"/>
  <c r="M61" i="19" s="1"/>
  <c r="K20" i="19"/>
  <c r="G20" i="19"/>
  <c r="F20" i="19"/>
  <c r="D20" i="19"/>
  <c r="C61" i="19" s="1"/>
  <c r="F61" i="19" s="1"/>
  <c r="BL19" i="19"/>
  <c r="BM19" i="19" s="1"/>
  <c r="AP19" i="19"/>
  <c r="AM19" i="19"/>
  <c r="AA19" i="19"/>
  <c r="AC19" i="19" s="1"/>
  <c r="T19" i="19"/>
  <c r="S19" i="19"/>
  <c r="Q19" i="19"/>
  <c r="R19" i="19" s="1"/>
  <c r="K19" i="19"/>
  <c r="G19" i="19"/>
  <c r="F19" i="19"/>
  <c r="BL18" i="19"/>
  <c r="BM18" i="19" s="1"/>
  <c r="AP18" i="19"/>
  <c r="AM18" i="19"/>
  <c r="AA18" i="19"/>
  <c r="S18" i="19"/>
  <c r="Q18" i="19"/>
  <c r="W18" i="19" s="1"/>
  <c r="K18" i="19"/>
  <c r="G18" i="19"/>
  <c r="F18" i="19"/>
  <c r="BL17" i="19"/>
  <c r="BM17" i="19" s="1"/>
  <c r="AP17" i="19"/>
  <c r="AM17" i="19"/>
  <c r="AA17" i="19"/>
  <c r="AC17" i="19" s="1"/>
  <c r="S17" i="19"/>
  <c r="Q17" i="19"/>
  <c r="R17" i="19" s="1"/>
  <c r="K17" i="19"/>
  <c r="G17" i="19"/>
  <c r="F17" i="19"/>
  <c r="BL16" i="19"/>
  <c r="BM16" i="19" s="1"/>
  <c r="AP16" i="19"/>
  <c r="AM16" i="19"/>
  <c r="AA16" i="19"/>
  <c r="S16" i="19"/>
  <c r="Q16" i="19"/>
  <c r="W16" i="19" s="1"/>
  <c r="K16" i="19"/>
  <c r="G16" i="19"/>
  <c r="F16" i="19"/>
  <c r="BL15" i="19"/>
  <c r="BM15" i="19" s="1"/>
  <c r="AP15" i="19"/>
  <c r="AM15" i="19"/>
  <c r="AA15" i="19"/>
  <c r="AC15" i="19" s="1"/>
  <c r="S15" i="19"/>
  <c r="Q15" i="19"/>
  <c r="W15" i="19" s="1"/>
  <c r="AE15" i="19" s="1"/>
  <c r="K15" i="19"/>
  <c r="G15" i="19"/>
  <c r="F15" i="19"/>
  <c r="BL14" i="19"/>
  <c r="BM14" i="19" s="1"/>
  <c r="AP14" i="19"/>
  <c r="AM14" i="19"/>
  <c r="AA14" i="19"/>
  <c r="S14" i="19"/>
  <c r="Q14" i="19"/>
  <c r="W14" i="19" s="1"/>
  <c r="K14" i="19"/>
  <c r="G14" i="19"/>
  <c r="F14" i="19"/>
  <c r="BL13" i="19"/>
  <c r="BM13" i="19" s="1"/>
  <c r="AP13" i="19"/>
  <c r="AM13" i="19"/>
  <c r="AA13" i="19"/>
  <c r="AC13" i="19" s="1"/>
  <c r="S13" i="19"/>
  <c r="Q13" i="19"/>
  <c r="P13" i="19" s="1"/>
  <c r="K13" i="19"/>
  <c r="G13" i="19"/>
  <c r="F13" i="19"/>
  <c r="BL12" i="19"/>
  <c r="BM12" i="19" s="1"/>
  <c r="AP12" i="19"/>
  <c r="AM12" i="19"/>
  <c r="AA12" i="19"/>
  <c r="S12" i="19"/>
  <c r="Q12" i="19"/>
  <c r="W12" i="19" s="1"/>
  <c r="K12" i="19"/>
  <c r="G12" i="19"/>
  <c r="F12" i="19"/>
  <c r="BL11" i="19"/>
  <c r="BM11" i="19" s="1"/>
  <c r="AP11" i="19"/>
  <c r="AM11" i="19"/>
  <c r="AA11" i="19"/>
  <c r="AC11" i="19" s="1"/>
  <c r="S11" i="19"/>
  <c r="T11" i="19" s="1"/>
  <c r="Q11" i="19"/>
  <c r="P11" i="19" s="1"/>
  <c r="N11" i="19"/>
  <c r="M60" i="19" s="1"/>
  <c r="K11" i="19"/>
  <c r="G11" i="19"/>
  <c r="F11" i="19"/>
  <c r="D11" i="19"/>
  <c r="C60" i="19" s="1"/>
  <c r="F60" i="19" s="1"/>
  <c r="BL10" i="19"/>
  <c r="BM10" i="19" s="1"/>
  <c r="AP10" i="19"/>
  <c r="AM10" i="19"/>
  <c r="AA10" i="19"/>
  <c r="S10" i="19"/>
  <c r="Q10" i="19"/>
  <c r="W10" i="19" s="1"/>
  <c r="K10" i="19"/>
  <c r="G10" i="19"/>
  <c r="F10" i="19"/>
  <c r="BL9" i="19"/>
  <c r="BM9" i="19" s="1"/>
  <c r="AP9" i="19"/>
  <c r="AM9" i="19"/>
  <c r="AA9" i="19"/>
  <c r="AC9" i="19" s="1"/>
  <c r="S9" i="19"/>
  <c r="T9" i="19" s="1"/>
  <c r="Q9" i="19"/>
  <c r="W9" i="19" s="1"/>
  <c r="V9" i="19" s="1"/>
  <c r="N9" i="19"/>
  <c r="M59" i="19" s="1"/>
  <c r="K9" i="19"/>
  <c r="G9" i="19"/>
  <c r="F9" i="19"/>
  <c r="D9" i="19"/>
  <c r="C59" i="19" s="1"/>
  <c r="F59" i="19" s="1"/>
  <c r="AP8" i="19"/>
  <c r="AM8" i="19"/>
  <c r="AA8" i="19"/>
  <c r="AC8" i="19" s="1"/>
  <c r="S8" i="19"/>
  <c r="T8" i="19" s="1"/>
  <c r="Q8" i="19"/>
  <c r="K8" i="19"/>
  <c r="G8" i="19"/>
  <c r="F8" i="19"/>
  <c r="BL7" i="19"/>
  <c r="BM7" i="19" s="1"/>
  <c r="AP7" i="19"/>
  <c r="AM7" i="19"/>
  <c r="AA7" i="19"/>
  <c r="AC7" i="19" s="1"/>
  <c r="S7" i="19"/>
  <c r="T7" i="19" s="1"/>
  <c r="Q7" i="19"/>
  <c r="R7" i="19" s="1"/>
  <c r="K7" i="19"/>
  <c r="G7" i="19"/>
  <c r="F7" i="19"/>
  <c r="BL6" i="19"/>
  <c r="BM6" i="19" s="1"/>
  <c r="AP6" i="19"/>
  <c r="AM6" i="19"/>
  <c r="AA6" i="19"/>
  <c r="AC6" i="19" s="1"/>
  <c r="S6" i="19"/>
  <c r="T6" i="19" s="1"/>
  <c r="Q6" i="19"/>
  <c r="R6" i="19" s="1"/>
  <c r="K6" i="19"/>
  <c r="G6" i="19"/>
  <c r="F6" i="19"/>
  <c r="BL5" i="19"/>
  <c r="BM5" i="19" s="1"/>
  <c r="AP5" i="19"/>
  <c r="AM5" i="19"/>
  <c r="AA5" i="19"/>
  <c r="S5" i="19"/>
  <c r="Q5" i="19"/>
  <c r="W5" i="19" s="1"/>
  <c r="K5" i="19"/>
  <c r="G5" i="19"/>
  <c r="F5" i="19"/>
  <c r="BL4" i="19"/>
  <c r="AP4" i="19"/>
  <c r="AM4" i="19"/>
  <c r="AA4" i="19"/>
  <c r="AC4" i="19" s="1"/>
  <c r="S4" i="19"/>
  <c r="T4" i="19" s="1"/>
  <c r="Q4" i="19"/>
  <c r="R4" i="19" s="1"/>
  <c r="N4" i="19"/>
  <c r="K4" i="19"/>
  <c r="G4" i="19"/>
  <c r="F4" i="19"/>
  <c r="D4" i="19"/>
  <c r="C31" i="16"/>
  <c r="W27" i="19" l="1"/>
  <c r="AE27" i="19" s="1"/>
  <c r="AF27" i="19" s="1"/>
  <c r="W39" i="19"/>
  <c r="AE39" i="19" s="1"/>
  <c r="AQ39" i="19" s="1"/>
  <c r="P17" i="19"/>
  <c r="R25" i="19"/>
  <c r="P27" i="19"/>
  <c r="R31" i="19"/>
  <c r="P35" i="19"/>
  <c r="P37" i="19"/>
  <c r="P39" i="19"/>
  <c r="P6" i="19"/>
  <c r="W25" i="19"/>
  <c r="AE25" i="19" s="1"/>
  <c r="P31" i="19"/>
  <c r="P33" i="19"/>
  <c r="R35" i="19"/>
  <c r="M67" i="19"/>
  <c r="W13" i="19"/>
  <c r="AE13" i="19" s="1"/>
  <c r="X15" i="19"/>
  <c r="W41" i="19"/>
  <c r="AE41" i="19" s="1"/>
  <c r="AQ41" i="19" s="1"/>
  <c r="P7" i="19"/>
  <c r="P9" i="19"/>
  <c r="R9" i="19"/>
  <c r="AP59" i="19"/>
  <c r="P15" i="19"/>
  <c r="R15" i="19"/>
  <c r="W17" i="19"/>
  <c r="AE17" i="19" s="1"/>
  <c r="AH17" i="19" s="1"/>
  <c r="AJ17" i="19" s="1"/>
  <c r="P19" i="19"/>
  <c r="W19" i="19"/>
  <c r="AE19" i="19" s="1"/>
  <c r="AH19" i="19" s="1"/>
  <c r="AJ19" i="19" s="1"/>
  <c r="AA61" i="19"/>
  <c r="P21" i="19"/>
  <c r="W29" i="19"/>
  <c r="AE29" i="19" s="1"/>
  <c r="AD29" i="19" s="1"/>
  <c r="Q66" i="19"/>
  <c r="O66" i="19" s="1"/>
  <c r="AP66" i="19"/>
  <c r="P51" i="19"/>
  <c r="R51" i="19"/>
  <c r="P52" i="19"/>
  <c r="R52" i="19"/>
  <c r="AF52" i="19"/>
  <c r="E51" i="16"/>
  <c r="AG70" i="19"/>
  <c r="F49" i="16" s="1"/>
  <c r="W11" i="19"/>
  <c r="AE11" i="19" s="1"/>
  <c r="AD11" i="19" s="1"/>
  <c r="X52" i="19"/>
  <c r="T52" i="19"/>
  <c r="W7" i="19"/>
  <c r="R11" i="19"/>
  <c r="AM61" i="19"/>
  <c r="AM62" i="19"/>
  <c r="X31" i="19"/>
  <c r="T31" i="19"/>
  <c r="R45" i="19"/>
  <c r="S66" i="19"/>
  <c r="W6" i="19"/>
  <c r="V6" i="19" s="1"/>
  <c r="R13" i="19"/>
  <c r="AJ13" i="19" s="1"/>
  <c r="T15" i="19"/>
  <c r="Q62" i="19"/>
  <c r="O62" i="19" s="1"/>
  <c r="T33" i="19"/>
  <c r="T37" i="19"/>
  <c r="R41" i="19"/>
  <c r="AP65" i="19"/>
  <c r="AP67" i="19" s="1"/>
  <c r="X51" i="19"/>
  <c r="T51" i="19"/>
  <c r="AC52" i="19"/>
  <c r="AL64" i="19"/>
  <c r="BI64" i="19"/>
  <c r="AL67" i="19"/>
  <c r="BI67" i="19"/>
  <c r="P4" i="19"/>
  <c r="W4" i="19"/>
  <c r="Z4" i="19" s="1"/>
  <c r="AP58" i="19"/>
  <c r="X5" i="19"/>
  <c r="Z9" i="19"/>
  <c r="AP60" i="19"/>
  <c r="X13" i="19"/>
  <c r="T13" i="19"/>
  <c r="T17" i="19"/>
  <c r="R29" i="19"/>
  <c r="P43" i="19"/>
  <c r="W43" i="19"/>
  <c r="AE43" i="19" s="1"/>
  <c r="AH43" i="19" s="1"/>
  <c r="W45" i="19"/>
  <c r="AE45" i="19" s="1"/>
  <c r="AH45" i="19" s="1"/>
  <c r="AJ45" i="19" s="1"/>
  <c r="X47" i="19"/>
  <c r="T47" i="19"/>
  <c r="Q61" i="19"/>
  <c r="O61" i="19" s="1"/>
  <c r="W21" i="19"/>
  <c r="AE21" i="19" s="1"/>
  <c r="AF21" i="19" s="1"/>
  <c r="X25" i="19"/>
  <c r="S62" i="19"/>
  <c r="W33" i="19"/>
  <c r="AE33" i="19" s="1"/>
  <c r="AD33" i="19" s="1"/>
  <c r="W37" i="19"/>
  <c r="AE37" i="19" s="1"/>
  <c r="AD37" i="19" s="1"/>
  <c r="AA66" i="19"/>
  <c r="X49" i="19"/>
  <c r="AB64" i="19"/>
  <c r="AO64" i="19"/>
  <c r="BJ64" i="19"/>
  <c r="AB67" i="19"/>
  <c r="AB68" i="19" s="1"/>
  <c r="AO67" i="19"/>
  <c r="BJ67" i="19"/>
  <c r="X7" i="19"/>
  <c r="S61" i="19"/>
  <c r="X23" i="19"/>
  <c r="T25" i="19"/>
  <c r="AA62" i="19"/>
  <c r="X27" i="19"/>
  <c r="T29" i="19"/>
  <c r="AP63" i="19"/>
  <c r="T41" i="19"/>
  <c r="T45" i="19"/>
  <c r="AM66" i="19"/>
  <c r="T49" i="19"/>
  <c r="X53" i="19"/>
  <c r="AS64" i="19"/>
  <c r="AS67" i="19"/>
  <c r="AS68" i="19" s="1"/>
  <c r="D15" i="21"/>
  <c r="D16" i="21" s="1"/>
  <c r="D18" i="21" s="1"/>
  <c r="D8" i="4" s="1"/>
  <c r="BC61" i="19"/>
  <c r="BE62" i="19"/>
  <c r="G18" i="21"/>
  <c r="G8" i="4" s="1"/>
  <c r="E18" i="21"/>
  <c r="E8" i="4" s="1"/>
  <c r="F18" i="21"/>
  <c r="F8" i="4" s="1"/>
  <c r="C17" i="21"/>
  <c r="C18" i="21" s="1"/>
  <c r="C8" i="4" s="1"/>
  <c r="C20" i="21"/>
  <c r="B20" i="21" s="1"/>
  <c r="BE61" i="19"/>
  <c r="BC62" i="19"/>
  <c r="C32" i="16"/>
  <c r="C39" i="16" s="1"/>
  <c r="BE66" i="19"/>
  <c r="BC66" i="19"/>
  <c r="AE5" i="19"/>
  <c r="AF5" i="19" s="1"/>
  <c r="Z5" i="19"/>
  <c r="V5" i="19"/>
  <c r="C58" i="19"/>
  <c r="D55" i="19"/>
  <c r="M58" i="19"/>
  <c r="M64" i="19" s="1"/>
  <c r="M68" i="19" s="1"/>
  <c r="N55" i="19"/>
  <c r="Q55" i="19"/>
  <c r="Q58" i="19"/>
  <c r="R58" i="19" s="1"/>
  <c r="BC58" i="19"/>
  <c r="BE58" i="19"/>
  <c r="BE55" i="19"/>
  <c r="BL55" i="19"/>
  <c r="BL8" i="19"/>
  <c r="BM8" i="19" s="1"/>
  <c r="AE4" i="19"/>
  <c r="AF4" i="19" s="1"/>
  <c r="AE6" i="19"/>
  <c r="S58" i="19"/>
  <c r="V4" i="19"/>
  <c r="AA58" i="19"/>
  <c r="AM58" i="19"/>
  <c r="BM4" i="19"/>
  <c r="P5" i="19"/>
  <c r="R5" i="19"/>
  <c r="T5" i="19"/>
  <c r="T58" i="19" s="1"/>
  <c r="AC5" i="19"/>
  <c r="AC58" i="19" s="1"/>
  <c r="AE7" i="19"/>
  <c r="AF7" i="19" s="1"/>
  <c r="AE9" i="19"/>
  <c r="AF9" i="19" s="1"/>
  <c r="X10" i="19"/>
  <c r="X12" i="19"/>
  <c r="AF13" i="19"/>
  <c r="X14" i="19"/>
  <c r="AF15" i="19"/>
  <c r="X16" i="19"/>
  <c r="X18" i="19"/>
  <c r="AF19" i="19"/>
  <c r="X22" i="19"/>
  <c r="AF23" i="19"/>
  <c r="X24" i="19"/>
  <c r="AF25" i="19"/>
  <c r="X28" i="19"/>
  <c r="X30" i="19"/>
  <c r="AF31" i="19"/>
  <c r="X32" i="19"/>
  <c r="X34" i="19"/>
  <c r="X36" i="19"/>
  <c r="AF37" i="19"/>
  <c r="X38" i="19"/>
  <c r="W8" i="19"/>
  <c r="R8" i="19"/>
  <c r="P8" i="19"/>
  <c r="V10" i="19"/>
  <c r="AE10" i="19"/>
  <c r="AF10" i="19" s="1"/>
  <c r="Z10" i="19"/>
  <c r="AQ11" i="19"/>
  <c r="V12" i="19"/>
  <c r="AE12" i="19"/>
  <c r="AF12" i="19" s="1"/>
  <c r="Z12" i="19"/>
  <c r="AH13" i="19"/>
  <c r="AQ13" i="19"/>
  <c r="AD13" i="19"/>
  <c r="V14" i="19"/>
  <c r="AE14" i="19"/>
  <c r="Z14" i="19"/>
  <c r="AH15" i="19"/>
  <c r="AJ15" i="19" s="1"/>
  <c r="AQ15" i="19"/>
  <c r="AD15" i="19"/>
  <c r="V16" i="19"/>
  <c r="AE16" i="19"/>
  <c r="AF16" i="19" s="1"/>
  <c r="Z16" i="19"/>
  <c r="V18" i="19"/>
  <c r="AE18" i="19"/>
  <c r="Z18" i="19"/>
  <c r="AQ19" i="19"/>
  <c r="AD21" i="19"/>
  <c r="V22" i="19"/>
  <c r="AE22" i="19"/>
  <c r="AF22" i="19" s="1"/>
  <c r="Z22" i="19"/>
  <c r="AH23" i="19"/>
  <c r="AQ23" i="19"/>
  <c r="AD23" i="19"/>
  <c r="V24" i="19"/>
  <c r="AE24" i="19"/>
  <c r="AF24" i="19" s="1"/>
  <c r="Z24" i="19"/>
  <c r="AH25" i="19"/>
  <c r="AQ25" i="19"/>
  <c r="AD25" i="19"/>
  <c r="AD27" i="19"/>
  <c r="V28" i="19"/>
  <c r="AE28" i="19"/>
  <c r="Z28" i="19"/>
  <c r="AQ29" i="19"/>
  <c r="V30" i="19"/>
  <c r="AE30" i="19"/>
  <c r="AF30" i="19" s="1"/>
  <c r="Z30" i="19"/>
  <c r="AH31" i="19"/>
  <c r="AQ31" i="19"/>
  <c r="AD31" i="19"/>
  <c r="V32" i="19"/>
  <c r="AE32" i="19"/>
  <c r="Z32" i="19"/>
  <c r="V34" i="19"/>
  <c r="AE34" i="19"/>
  <c r="Z34" i="19"/>
  <c r="AH35" i="19"/>
  <c r="AQ35" i="19"/>
  <c r="AD35" i="19"/>
  <c r="V36" i="19"/>
  <c r="AE36" i="19"/>
  <c r="AF36" i="19" s="1"/>
  <c r="Z36" i="19"/>
  <c r="AH37" i="19"/>
  <c r="AQ37" i="19"/>
  <c r="V38" i="19"/>
  <c r="AE38" i="19"/>
  <c r="AF38" i="19" s="1"/>
  <c r="Z38" i="19"/>
  <c r="AD39" i="19"/>
  <c r="AF14" i="19"/>
  <c r="AF18" i="19"/>
  <c r="AF28" i="19"/>
  <c r="AF32" i="19"/>
  <c r="AF34" i="19"/>
  <c r="W40" i="19"/>
  <c r="R40" i="19"/>
  <c r="P40" i="19"/>
  <c r="AH52" i="19"/>
  <c r="AQ52" i="19"/>
  <c r="AD52" i="19"/>
  <c r="V53" i="19"/>
  <c r="AE53" i="19"/>
  <c r="Z53" i="19"/>
  <c r="Q59" i="19"/>
  <c r="P59" i="19" s="1"/>
  <c r="S59" i="19"/>
  <c r="X9" i="19"/>
  <c r="AA59" i="19"/>
  <c r="AM59" i="19"/>
  <c r="BC59" i="19"/>
  <c r="BE59" i="19"/>
  <c r="P10" i="19"/>
  <c r="R10" i="19"/>
  <c r="T10" i="19"/>
  <c r="T59" i="19" s="1"/>
  <c r="AC10" i="19"/>
  <c r="AC59" i="19" s="1"/>
  <c r="Q60" i="19"/>
  <c r="R60" i="19" s="1"/>
  <c r="S60" i="19"/>
  <c r="V11" i="19"/>
  <c r="X11" i="19"/>
  <c r="AA60" i="19"/>
  <c r="AM60" i="19"/>
  <c r="BC60" i="19"/>
  <c r="BE60" i="19"/>
  <c r="P12" i="19"/>
  <c r="R12" i="19"/>
  <c r="T12" i="19"/>
  <c r="AC12" i="19"/>
  <c r="P14" i="19"/>
  <c r="R14" i="19"/>
  <c r="T14" i="19"/>
  <c r="AC14" i="19"/>
  <c r="V15" i="19"/>
  <c r="P16" i="19"/>
  <c r="R16" i="19"/>
  <c r="T16" i="19"/>
  <c r="AC16" i="19"/>
  <c r="P18" i="19"/>
  <c r="R18" i="19"/>
  <c r="T18" i="19"/>
  <c r="AC18" i="19"/>
  <c r="V19" i="19"/>
  <c r="P20" i="19"/>
  <c r="R20" i="19"/>
  <c r="T20" i="19"/>
  <c r="W20" i="19"/>
  <c r="X20" i="19" s="1"/>
  <c r="AC20" i="19"/>
  <c r="AP61" i="19"/>
  <c r="BL20" i="19"/>
  <c r="P22" i="19"/>
  <c r="R22" i="19"/>
  <c r="T22" i="19"/>
  <c r="AC22" i="19"/>
  <c r="V23" i="19"/>
  <c r="P24" i="19"/>
  <c r="R24" i="19"/>
  <c r="T24" i="19"/>
  <c r="AC24" i="19"/>
  <c r="V25" i="19"/>
  <c r="P26" i="19"/>
  <c r="R26" i="19"/>
  <c r="T26" i="19"/>
  <c r="W26" i="19"/>
  <c r="AC26" i="19"/>
  <c r="AP62" i="19"/>
  <c r="BL26" i="19"/>
  <c r="V27" i="19"/>
  <c r="P28" i="19"/>
  <c r="R28" i="19"/>
  <c r="T28" i="19"/>
  <c r="AC28" i="19"/>
  <c r="P30" i="19"/>
  <c r="R30" i="19"/>
  <c r="T30" i="19"/>
  <c r="AC30" i="19"/>
  <c r="V31" i="19"/>
  <c r="P32" i="19"/>
  <c r="R32" i="19"/>
  <c r="T32" i="19"/>
  <c r="AC32" i="19"/>
  <c r="P34" i="19"/>
  <c r="R34" i="19"/>
  <c r="T34" i="19"/>
  <c r="AC34" i="19"/>
  <c r="Q63" i="19"/>
  <c r="P63" i="19" s="1"/>
  <c r="S63" i="19"/>
  <c r="V35" i="19"/>
  <c r="X35" i="19"/>
  <c r="AA63" i="19"/>
  <c r="AF35" i="19"/>
  <c r="AM63" i="19"/>
  <c r="BC63" i="19"/>
  <c r="BE63" i="19"/>
  <c r="P36" i="19"/>
  <c r="R36" i="19"/>
  <c r="T36" i="19"/>
  <c r="AC36" i="19"/>
  <c r="P38" i="19"/>
  <c r="R38" i="19"/>
  <c r="T38" i="19"/>
  <c r="AC38" i="19"/>
  <c r="X42" i="19"/>
  <c r="X44" i="19"/>
  <c r="X46" i="19"/>
  <c r="AF47" i="19"/>
  <c r="AF49" i="19"/>
  <c r="X50" i="19"/>
  <c r="AF51" i="19"/>
  <c r="AF53" i="19"/>
  <c r="W61" i="19"/>
  <c r="Z61" i="19" s="1"/>
  <c r="BL40" i="19"/>
  <c r="BM40" i="19" s="1"/>
  <c r="AH41" i="19"/>
  <c r="V42" i="19"/>
  <c r="AE42" i="19"/>
  <c r="AF42" i="19" s="1"/>
  <c r="Z42" i="19"/>
  <c r="AQ43" i="19"/>
  <c r="AD43" i="19"/>
  <c r="V44" i="19"/>
  <c r="AE44" i="19"/>
  <c r="Z44" i="19"/>
  <c r="AD45" i="19"/>
  <c r="V46" i="19"/>
  <c r="AE46" i="19"/>
  <c r="AF46" i="19" s="1"/>
  <c r="Z46" i="19"/>
  <c r="AH47" i="19"/>
  <c r="AJ47" i="19" s="1"/>
  <c r="AQ47" i="19"/>
  <c r="AD47" i="19"/>
  <c r="AH49" i="19"/>
  <c r="AQ49" i="19"/>
  <c r="AD49" i="19"/>
  <c r="V50" i="19"/>
  <c r="AE50" i="19"/>
  <c r="Z50" i="19"/>
  <c r="AH51" i="19"/>
  <c r="AQ51" i="19"/>
  <c r="AD51" i="19"/>
  <c r="AE54" i="19"/>
  <c r="AF54" i="19" s="1"/>
  <c r="Z54" i="19"/>
  <c r="V54" i="19"/>
  <c r="BL59" i="19"/>
  <c r="BM59" i="19" s="1"/>
  <c r="Z11" i="19"/>
  <c r="BL60" i="19"/>
  <c r="BM60" i="19" s="1"/>
  <c r="Z13" i="19"/>
  <c r="AI13" i="19" s="1"/>
  <c r="Z15" i="19"/>
  <c r="Z17" i="19"/>
  <c r="Z23" i="19"/>
  <c r="Z25" i="19"/>
  <c r="X26" i="19"/>
  <c r="Z31" i="19"/>
  <c r="AI31" i="19" s="1"/>
  <c r="Z33" i="19"/>
  <c r="Z35" i="19"/>
  <c r="Z37" i="19"/>
  <c r="AI37" i="19" s="1"/>
  <c r="X40" i="19"/>
  <c r="AF44" i="19"/>
  <c r="AF50" i="19"/>
  <c r="AJ52" i="19"/>
  <c r="F65" i="19"/>
  <c r="C67" i="19"/>
  <c r="F67" i="19" s="1"/>
  <c r="L64" i="19"/>
  <c r="Y64" i="19"/>
  <c r="P42" i="19"/>
  <c r="R42" i="19"/>
  <c r="T42" i="19"/>
  <c r="AC42" i="19"/>
  <c r="Q65" i="19"/>
  <c r="R65" i="19" s="1"/>
  <c r="S65" i="19"/>
  <c r="V43" i="19"/>
  <c r="AA65" i="19"/>
  <c r="AF43" i="19"/>
  <c r="AM65" i="19"/>
  <c r="BC65" i="19"/>
  <c r="BE65" i="19"/>
  <c r="P44" i="19"/>
  <c r="R44" i="19"/>
  <c r="T44" i="19"/>
  <c r="AC44" i="19"/>
  <c r="P46" i="19"/>
  <c r="R46" i="19"/>
  <c r="T46" i="19"/>
  <c r="AC46" i="19"/>
  <c r="AC65" i="19" s="1"/>
  <c r="V47" i="19"/>
  <c r="P48" i="19"/>
  <c r="R48" i="19"/>
  <c r="T48" i="19"/>
  <c r="W48" i="19"/>
  <c r="X48" i="19" s="1"/>
  <c r="AC48" i="19"/>
  <c r="BL48" i="19"/>
  <c r="V49" i="19"/>
  <c r="P50" i="19"/>
  <c r="R50" i="19"/>
  <c r="T50" i="19"/>
  <c r="AC50" i="19"/>
  <c r="V51" i="19"/>
  <c r="V52" i="19"/>
  <c r="P53" i="19"/>
  <c r="R53" i="19"/>
  <c r="T53" i="19"/>
  <c r="AC53" i="19"/>
  <c r="X54" i="19"/>
  <c r="P55" i="19"/>
  <c r="P69" i="19" s="1"/>
  <c r="R55" i="19"/>
  <c r="AP55" i="19"/>
  <c r="AP69" i="19" s="1"/>
  <c r="AP70" i="19" s="1"/>
  <c r="F51" i="16" s="1"/>
  <c r="U68" i="19"/>
  <c r="W66" i="19"/>
  <c r="Z66" i="19" s="1"/>
  <c r="Z43" i="19"/>
  <c r="BL65" i="19"/>
  <c r="Z47" i="19"/>
  <c r="Z49" i="19"/>
  <c r="AI49" i="19" s="1"/>
  <c r="Z51" i="19"/>
  <c r="AI51" i="19" s="1"/>
  <c r="Z52" i="19"/>
  <c r="P54" i="19"/>
  <c r="R54" i="19"/>
  <c r="R59" i="19"/>
  <c r="AK68" i="19"/>
  <c r="R66" i="19"/>
  <c r="AG64" i="19"/>
  <c r="BO64" i="19"/>
  <c r="L67" i="19"/>
  <c r="Y67" i="19"/>
  <c r="AG67" i="19"/>
  <c r="BO67" i="19"/>
  <c r="P61" i="19"/>
  <c r="P62" i="19"/>
  <c r="P65" i="19"/>
  <c r="X61" i="19" l="1"/>
  <c r="Z41" i="19"/>
  <c r="AI41" i="19" s="1"/>
  <c r="V45" i="19"/>
  <c r="Z39" i="19"/>
  <c r="AI15" i="19"/>
  <c r="AF41" i="19"/>
  <c r="V33" i="19"/>
  <c r="AH39" i="19"/>
  <c r="AJ39" i="19" s="1"/>
  <c r="AQ33" i="19"/>
  <c r="BA33" i="19" s="1"/>
  <c r="BD33" i="19" s="1"/>
  <c r="AH29" i="19"/>
  <c r="AJ29" i="19" s="1"/>
  <c r="AH21" i="19"/>
  <c r="AJ21" i="19" s="1"/>
  <c r="AF29" i="19"/>
  <c r="X39" i="19"/>
  <c r="X29" i="19"/>
  <c r="R63" i="19"/>
  <c r="AA67" i="19"/>
  <c r="Z29" i="19"/>
  <c r="AI29" i="19" s="1"/>
  <c r="AD41" i="19"/>
  <c r="W62" i="19"/>
  <c r="Z62" i="19" s="1"/>
  <c r="AF39" i="19"/>
  <c r="AQ27" i="19"/>
  <c r="AQ17" i="19"/>
  <c r="BA17" i="19" s="1"/>
  <c r="BD17" i="19" s="1"/>
  <c r="AF17" i="19"/>
  <c r="X41" i="19"/>
  <c r="R61" i="19"/>
  <c r="AI52" i="19"/>
  <c r="T65" i="19"/>
  <c r="X43" i="19"/>
  <c r="V41" i="19"/>
  <c r="Z27" i="19"/>
  <c r="V39" i="19"/>
  <c r="V29" i="19"/>
  <c r="AP64" i="19"/>
  <c r="AP68" i="19" s="1"/>
  <c r="V13" i="19"/>
  <c r="AH27" i="19"/>
  <c r="AJ27" i="19" s="1"/>
  <c r="AH11" i="19"/>
  <c r="AI11" i="19" s="1"/>
  <c r="D28" i="25"/>
  <c r="AI17" i="19"/>
  <c r="X62" i="19"/>
  <c r="P66" i="19"/>
  <c r="Z45" i="19"/>
  <c r="R62" i="19"/>
  <c r="AI39" i="19"/>
  <c r="AI35" i="19"/>
  <c r="AI25" i="19"/>
  <c r="Z21" i="19"/>
  <c r="Z19" i="19"/>
  <c r="AI19" i="19" s="1"/>
  <c r="AQ45" i="19"/>
  <c r="BA45" i="19" s="1"/>
  <c r="BD45" i="19" s="1"/>
  <c r="AF45" i="19"/>
  <c r="AC63" i="19"/>
  <c r="V17" i="19"/>
  <c r="AC60" i="19"/>
  <c r="T60" i="19"/>
  <c r="AH33" i="19"/>
  <c r="AI33" i="19" s="1"/>
  <c r="AQ21" i="19"/>
  <c r="BA21" i="19" s="1"/>
  <c r="BD21" i="19" s="1"/>
  <c r="AD19" i="19"/>
  <c r="AD17" i="19"/>
  <c r="AF33" i="19"/>
  <c r="Z6" i="19"/>
  <c r="B31" i="4"/>
  <c r="D11" i="26" s="1"/>
  <c r="X19" i="19"/>
  <c r="X6" i="19"/>
  <c r="BJ68" i="19"/>
  <c r="X17" i="19"/>
  <c r="X66" i="19"/>
  <c r="BC67" i="19"/>
  <c r="AI45" i="19"/>
  <c r="P58" i="19"/>
  <c r="P60" i="19"/>
  <c r="AM67" i="19"/>
  <c r="T63" i="19"/>
  <c r="BL63" i="19"/>
  <c r="BM63" i="19" s="1"/>
  <c r="X21" i="19"/>
  <c r="BI68" i="19"/>
  <c r="X37" i="19"/>
  <c r="AI47" i="19"/>
  <c r="AI43" i="19"/>
  <c r="S67" i="19"/>
  <c r="AI23" i="19"/>
  <c r="V37" i="19"/>
  <c r="V21" i="19"/>
  <c r="AF11" i="19"/>
  <c r="X4" i="19"/>
  <c r="AO68" i="19"/>
  <c r="X45" i="19"/>
  <c r="AL68" i="19"/>
  <c r="X33" i="19"/>
  <c r="V7" i="19"/>
  <c r="Z7" i="19"/>
  <c r="C33" i="16"/>
  <c r="BM55" i="19"/>
  <c r="BL70" i="19"/>
  <c r="AG68" i="19"/>
  <c r="AI66" i="19"/>
  <c r="BO68" i="19"/>
  <c r="AI61" i="19"/>
  <c r="BM65" i="19"/>
  <c r="V66" i="19"/>
  <c r="AE66" i="19"/>
  <c r="BL66" i="19"/>
  <c r="BM66" i="19" s="1"/>
  <c r="BM48" i="19"/>
  <c r="V48" i="19"/>
  <c r="AE48" i="19"/>
  <c r="Z48" i="19"/>
  <c r="Q67" i="19"/>
  <c r="P67" i="19" s="1"/>
  <c r="W65" i="19"/>
  <c r="O65" i="19"/>
  <c r="L68" i="19"/>
  <c r="AH54" i="19"/>
  <c r="AI54" i="19" s="1"/>
  <c r="AQ54" i="19"/>
  <c r="AD54" i="19"/>
  <c r="BA51" i="19"/>
  <c r="BD51" i="19" s="1"/>
  <c r="AR51" i="19"/>
  <c r="AU51" i="19"/>
  <c r="AY51" i="19" s="1"/>
  <c r="BA49" i="19"/>
  <c r="BD49" i="19" s="1"/>
  <c r="AR49" i="19"/>
  <c r="AU49" i="19"/>
  <c r="AY49" i="19" s="1"/>
  <c r="AQ46" i="19"/>
  <c r="AD46" i="19"/>
  <c r="AH46" i="19"/>
  <c r="AI46" i="19" s="1"/>
  <c r="AQ44" i="19"/>
  <c r="AQ65" i="19" s="1"/>
  <c r="AD44" i="19"/>
  <c r="AH44" i="19"/>
  <c r="AI44" i="19" s="1"/>
  <c r="AQ42" i="19"/>
  <c r="AD42" i="19"/>
  <c r="AH42" i="19"/>
  <c r="AJ42" i="19" s="1"/>
  <c r="V61" i="19"/>
  <c r="AE61" i="19"/>
  <c r="BL62" i="19"/>
  <c r="BM62" i="19" s="1"/>
  <c r="BM26" i="19"/>
  <c r="V20" i="19"/>
  <c r="AE20" i="19"/>
  <c r="Z20" i="19"/>
  <c r="W60" i="19"/>
  <c r="O60" i="19"/>
  <c r="W59" i="19"/>
  <c r="O59" i="19"/>
  <c r="AQ53" i="19"/>
  <c r="AD53" i="19"/>
  <c r="AH53" i="19"/>
  <c r="AJ53" i="19" s="1"/>
  <c r="AU39" i="19"/>
  <c r="AY39" i="19" s="1"/>
  <c r="BA39" i="19"/>
  <c r="BD39" i="19" s="1"/>
  <c r="AR39" i="19"/>
  <c r="AQ38" i="19"/>
  <c r="AD38" i="19"/>
  <c r="AH38" i="19"/>
  <c r="AQ36" i="19"/>
  <c r="AD36" i="19"/>
  <c r="AH36" i="19"/>
  <c r="AJ36" i="19" s="1"/>
  <c r="AQ34" i="19"/>
  <c r="AD34" i="19"/>
  <c r="AH34" i="19"/>
  <c r="AI34" i="19" s="1"/>
  <c r="AQ32" i="19"/>
  <c r="AD32" i="19"/>
  <c r="AH32" i="19"/>
  <c r="AI32" i="19" s="1"/>
  <c r="AQ30" i="19"/>
  <c r="AD30" i="19"/>
  <c r="AH30" i="19"/>
  <c r="AI30" i="19" s="1"/>
  <c r="AQ28" i="19"/>
  <c r="AD28" i="19"/>
  <c r="AH28" i="19"/>
  <c r="AJ28" i="19" s="1"/>
  <c r="BA25" i="19"/>
  <c r="BD25" i="19" s="1"/>
  <c r="AR25" i="19"/>
  <c r="AU25" i="19"/>
  <c r="AY25" i="19" s="1"/>
  <c r="BA23" i="19"/>
  <c r="BD23" i="19" s="1"/>
  <c r="AR23" i="19"/>
  <c r="AU23" i="19"/>
  <c r="AY23" i="19" s="1"/>
  <c r="AQ18" i="19"/>
  <c r="AD18" i="19"/>
  <c r="AH18" i="19"/>
  <c r="AQ16" i="19"/>
  <c r="AD16" i="19"/>
  <c r="AH16" i="19"/>
  <c r="AJ16" i="19" s="1"/>
  <c r="AQ14" i="19"/>
  <c r="AD14" i="19"/>
  <c r="AH14" i="19"/>
  <c r="AJ14" i="19" s="1"/>
  <c r="AQ12" i="19"/>
  <c r="AD12" i="19"/>
  <c r="AH12" i="19"/>
  <c r="AJ12" i="19" s="1"/>
  <c r="AQ10" i="19"/>
  <c r="AD10" i="19"/>
  <c r="AH10" i="19"/>
  <c r="AE8" i="19"/>
  <c r="Z8" i="19"/>
  <c r="V8" i="19"/>
  <c r="AH6" i="19"/>
  <c r="AQ6" i="19"/>
  <c r="AD6" i="19"/>
  <c r="AQ4" i="19"/>
  <c r="AD4" i="19"/>
  <c r="AH4" i="19"/>
  <c r="G49" i="16"/>
  <c r="BE69" i="19"/>
  <c r="BE70" i="19" s="1"/>
  <c r="Q64" i="19"/>
  <c r="W58" i="19"/>
  <c r="O58" i="19"/>
  <c r="AH5" i="19"/>
  <c r="AJ5" i="19" s="1"/>
  <c r="AQ5" i="19"/>
  <c r="AD5" i="19"/>
  <c r="AJ43" i="19"/>
  <c r="AJ41" i="19"/>
  <c r="AC62" i="19"/>
  <c r="T62" i="19"/>
  <c r="AJ37" i="19"/>
  <c r="AJ11" i="19"/>
  <c r="X8" i="19"/>
  <c r="AM64" i="19"/>
  <c r="AM68" i="19" s="1"/>
  <c r="AA64" i="19"/>
  <c r="AA68" i="19" s="1"/>
  <c r="BL58" i="19"/>
  <c r="AF6" i="19"/>
  <c r="R67" i="19"/>
  <c r="AJ46" i="19"/>
  <c r="BE67" i="19"/>
  <c r="Y68" i="19"/>
  <c r="AQ50" i="19"/>
  <c r="AD50" i="19"/>
  <c r="AH50" i="19"/>
  <c r="AI50" i="19" s="1"/>
  <c r="BA47" i="19"/>
  <c r="BD47" i="19" s="1"/>
  <c r="AR47" i="19"/>
  <c r="AU47" i="19"/>
  <c r="AY47" i="19" s="1"/>
  <c r="AR45" i="19"/>
  <c r="BA43" i="19"/>
  <c r="BD43" i="19" s="1"/>
  <c r="AR43" i="19"/>
  <c r="AU43" i="19"/>
  <c r="AY43" i="19" s="1"/>
  <c r="BA41" i="19"/>
  <c r="BD41" i="19" s="1"/>
  <c r="AR41" i="19"/>
  <c r="AU41" i="19"/>
  <c r="AY41" i="19" s="1"/>
  <c r="W63" i="19"/>
  <c r="O63" i="19"/>
  <c r="V26" i="19"/>
  <c r="AE26" i="19"/>
  <c r="Z26" i="19"/>
  <c r="BL61" i="19"/>
  <c r="BM61" i="19" s="1"/>
  <c r="BM20" i="19"/>
  <c r="AJ18" i="19"/>
  <c r="BA52" i="19"/>
  <c r="BD52" i="19" s="1"/>
  <c r="AR52" i="19"/>
  <c r="AU52" i="19"/>
  <c r="AY52" i="19" s="1"/>
  <c r="AE40" i="19"/>
  <c r="Z40" i="19"/>
  <c r="V40" i="19"/>
  <c r="BA37" i="19"/>
  <c r="BD37" i="19" s="1"/>
  <c r="AR37" i="19"/>
  <c r="AU37" i="19"/>
  <c r="AY37" i="19" s="1"/>
  <c r="BA35" i="19"/>
  <c r="BD35" i="19" s="1"/>
  <c r="AR35" i="19"/>
  <c r="AU35" i="19"/>
  <c r="AY35" i="19" s="1"/>
  <c r="AR33" i="19"/>
  <c r="AU33" i="19"/>
  <c r="AY33" i="19" s="1"/>
  <c r="BA31" i="19"/>
  <c r="BD31" i="19" s="1"/>
  <c r="AR31" i="19"/>
  <c r="AU31" i="19"/>
  <c r="AY31" i="19" s="1"/>
  <c r="BA29" i="19"/>
  <c r="BD29" i="19" s="1"/>
  <c r="AR29" i="19"/>
  <c r="AU29" i="19"/>
  <c r="AY29" i="19" s="1"/>
  <c r="BA27" i="19"/>
  <c r="BD27" i="19" s="1"/>
  <c r="AR27" i="19"/>
  <c r="AU27" i="19"/>
  <c r="AY27" i="19" s="1"/>
  <c r="AQ24" i="19"/>
  <c r="AD24" i="19"/>
  <c r="AH24" i="19"/>
  <c r="AQ22" i="19"/>
  <c r="AD22" i="19"/>
  <c r="AH22" i="19"/>
  <c r="AI22" i="19" s="1"/>
  <c r="BA19" i="19"/>
  <c r="BD19" i="19" s="1"/>
  <c r="AR19" i="19"/>
  <c r="AU19" i="19"/>
  <c r="AY19" i="19" s="1"/>
  <c r="AR17" i="19"/>
  <c r="AU17" i="19"/>
  <c r="AY17" i="19" s="1"/>
  <c r="BA15" i="19"/>
  <c r="BD15" i="19" s="1"/>
  <c r="AR15" i="19"/>
  <c r="AU15" i="19"/>
  <c r="AY15" i="19" s="1"/>
  <c r="BA13" i="19"/>
  <c r="BD13" i="19" s="1"/>
  <c r="AR13" i="19"/>
  <c r="AU13" i="19"/>
  <c r="AY13" i="19" s="1"/>
  <c r="BA11" i="19"/>
  <c r="BD11" i="19" s="1"/>
  <c r="AR11" i="19"/>
  <c r="AU11" i="19"/>
  <c r="AY11" i="19" s="1"/>
  <c r="AQ9" i="19"/>
  <c r="AD9" i="19"/>
  <c r="AH9" i="19"/>
  <c r="AQ7" i="19"/>
  <c r="AD7" i="19"/>
  <c r="AH7" i="19"/>
  <c r="BE64" i="19"/>
  <c r="Q69" i="19"/>
  <c r="Q70" i="19"/>
  <c r="D43" i="16" s="1"/>
  <c r="O55" i="19"/>
  <c r="W55" i="19"/>
  <c r="F58" i="19"/>
  <c r="C64" i="19"/>
  <c r="AC66" i="19"/>
  <c r="AC67" i="19" s="1"/>
  <c r="T66" i="19"/>
  <c r="T67" i="19" s="1"/>
  <c r="AW51" i="19"/>
  <c r="AI42" i="19"/>
  <c r="AJ51" i="19"/>
  <c r="AJ49" i="19"/>
  <c r="AC61" i="19"/>
  <c r="T61" i="19"/>
  <c r="T64" i="19" s="1"/>
  <c r="AI53" i="19"/>
  <c r="AW39" i="19"/>
  <c r="AI38" i="19"/>
  <c r="AI36" i="19"/>
  <c r="AI28" i="19"/>
  <c r="AI18" i="19"/>
  <c r="AI10" i="19"/>
  <c r="AJ35" i="19"/>
  <c r="AJ33" i="19"/>
  <c r="AJ31" i="19"/>
  <c r="AJ25" i="19"/>
  <c r="AJ23" i="19"/>
  <c r="S64" i="19"/>
  <c r="AI6" i="19"/>
  <c r="BC64" i="19"/>
  <c r="AI5" i="19"/>
  <c r="AW21" i="19" l="1"/>
  <c r="AW49" i="19"/>
  <c r="AU21" i="19"/>
  <c r="AY21" i="19" s="1"/>
  <c r="AE62" i="19"/>
  <c r="AF62" i="19" s="1"/>
  <c r="AI21" i="19"/>
  <c r="AI62" i="19"/>
  <c r="AI27" i="19"/>
  <c r="AJ30" i="19"/>
  <c r="AJ54" i="19"/>
  <c r="AR21" i="19"/>
  <c r="V62" i="19"/>
  <c r="BC68" i="19"/>
  <c r="AI12" i="19"/>
  <c r="AU45" i="19"/>
  <c r="AQ60" i="19"/>
  <c r="AU60" i="19" s="1"/>
  <c r="AJ32" i="19"/>
  <c r="AJ44" i="19"/>
  <c r="AI14" i="19"/>
  <c r="AW23" i="19"/>
  <c r="AC64" i="19"/>
  <c r="AC68" i="19" s="1"/>
  <c r="AJ34" i="19"/>
  <c r="S68" i="19"/>
  <c r="AI16" i="19"/>
  <c r="AW25" i="19"/>
  <c r="W69" i="19"/>
  <c r="W70" i="19" s="1"/>
  <c r="X55" i="19"/>
  <c r="X69" i="19" s="1"/>
  <c r="V55" i="19"/>
  <c r="AE55" i="19"/>
  <c r="Z55" i="19"/>
  <c r="Z69" i="19" s="1"/>
  <c r="AU7" i="19"/>
  <c r="AY7" i="19" s="1"/>
  <c r="BA7" i="19"/>
  <c r="BD7" i="19" s="1"/>
  <c r="AR7" i="19"/>
  <c r="AI9" i="19"/>
  <c r="AJ9" i="19"/>
  <c r="AQ59" i="19"/>
  <c r="BA9" i="19"/>
  <c r="BD9" i="19" s="1"/>
  <c r="AU9" i="19"/>
  <c r="AY9" i="19" s="1"/>
  <c r="AR9" i="19"/>
  <c r="BA60" i="19"/>
  <c r="BD60" i="19" s="1"/>
  <c r="AR60" i="19"/>
  <c r="BH15" i="19"/>
  <c r="BF15" i="19"/>
  <c r="BK15" i="19"/>
  <c r="BH19" i="19"/>
  <c r="BF19" i="19"/>
  <c r="BK19" i="19"/>
  <c r="AU24" i="19"/>
  <c r="AY24" i="19" s="1"/>
  <c r="BA24" i="19"/>
  <c r="BD24" i="19" s="1"/>
  <c r="AR24" i="19"/>
  <c r="BH29" i="19"/>
  <c r="BF29" i="19"/>
  <c r="BK29" i="19"/>
  <c r="BH33" i="19"/>
  <c r="BF33" i="19"/>
  <c r="BK33" i="19"/>
  <c r="AH40" i="19"/>
  <c r="AI40" i="19" s="1"/>
  <c r="AD40" i="19"/>
  <c r="AQ40" i="19"/>
  <c r="AF40" i="19"/>
  <c r="V63" i="19"/>
  <c r="AE63" i="19"/>
  <c r="X63" i="19"/>
  <c r="Z63" i="19"/>
  <c r="AI63" i="19" s="1"/>
  <c r="BH43" i="19"/>
  <c r="BF43" i="19"/>
  <c r="BK43" i="19"/>
  <c r="BH45" i="19"/>
  <c r="BF45" i="19"/>
  <c r="BK45" i="19"/>
  <c r="AU50" i="19"/>
  <c r="AY50" i="19" s="1"/>
  <c r="BA50" i="19"/>
  <c r="BD50" i="19" s="1"/>
  <c r="AR50" i="19"/>
  <c r="AU5" i="19"/>
  <c r="AY5" i="19" s="1"/>
  <c r="BA5" i="19"/>
  <c r="BD5" i="19" s="1"/>
  <c r="AR5" i="19"/>
  <c r="Q68" i="19"/>
  <c r="R68" i="19" s="1"/>
  <c r="O64" i="19"/>
  <c r="AJ6" i="19"/>
  <c r="AU10" i="19"/>
  <c r="AY10" i="19" s="1"/>
  <c r="BA10" i="19"/>
  <c r="BD10" i="19" s="1"/>
  <c r="AR10" i="19"/>
  <c r="AU14" i="19"/>
  <c r="AY14" i="19" s="1"/>
  <c r="BA14" i="19"/>
  <c r="BD14" i="19" s="1"/>
  <c r="AR14" i="19"/>
  <c r="AU18" i="19"/>
  <c r="AY18" i="19" s="1"/>
  <c r="BA18" i="19"/>
  <c r="BD18" i="19" s="1"/>
  <c r="AR18" i="19"/>
  <c r="BH23" i="19"/>
  <c r="BF23" i="19"/>
  <c r="BK23" i="19"/>
  <c r="AU28" i="19"/>
  <c r="AY28" i="19" s="1"/>
  <c r="BA28" i="19"/>
  <c r="BD28" i="19" s="1"/>
  <c r="AR28" i="19"/>
  <c r="AU32" i="19"/>
  <c r="AY32" i="19" s="1"/>
  <c r="BA32" i="19"/>
  <c r="BD32" i="19" s="1"/>
  <c r="AR32" i="19"/>
  <c r="AU36" i="19"/>
  <c r="AY36" i="19" s="1"/>
  <c r="BA36" i="19"/>
  <c r="BD36" i="19" s="1"/>
  <c r="AR36" i="19"/>
  <c r="AU44" i="19"/>
  <c r="AY44" i="19" s="1"/>
  <c r="BA44" i="19"/>
  <c r="BD44" i="19" s="1"/>
  <c r="AR44" i="19"/>
  <c r="BH49" i="19"/>
  <c r="BF49" i="19"/>
  <c r="BK49" i="19"/>
  <c r="W67" i="19"/>
  <c r="O67" i="19"/>
  <c r="AQ48" i="19"/>
  <c r="AD48" i="19"/>
  <c r="AH48" i="19"/>
  <c r="AI48" i="19" s="1"/>
  <c r="AF48" i="19"/>
  <c r="AD66" i="19"/>
  <c r="AH66" i="19"/>
  <c r="AF66" i="19"/>
  <c r="T68" i="19"/>
  <c r="AW24" i="19"/>
  <c r="AJ22" i="19"/>
  <c r="AW50" i="19"/>
  <c r="AW13" i="19"/>
  <c r="AW17" i="19"/>
  <c r="AW27" i="19"/>
  <c r="AW31" i="19"/>
  <c r="AW35" i="19"/>
  <c r="AW52" i="19"/>
  <c r="AW43" i="19"/>
  <c r="AW47" i="19"/>
  <c r="AW10" i="19"/>
  <c r="AW18" i="19"/>
  <c r="AW32" i="19"/>
  <c r="AJ10" i="19"/>
  <c r="AW44" i="19"/>
  <c r="P64" i="19"/>
  <c r="AJ50" i="19"/>
  <c r="F64" i="19"/>
  <c r="C68" i="19"/>
  <c r="F68" i="19" s="1"/>
  <c r="BE68" i="19"/>
  <c r="AJ7" i="19"/>
  <c r="AI7" i="19"/>
  <c r="BH11" i="19"/>
  <c r="BF11" i="19"/>
  <c r="BK11" i="19"/>
  <c r="BH13" i="19"/>
  <c r="BF13" i="19"/>
  <c r="BK13" i="19"/>
  <c r="BH17" i="19"/>
  <c r="BF17" i="19"/>
  <c r="BK17" i="19"/>
  <c r="AU22" i="19"/>
  <c r="AY22" i="19" s="1"/>
  <c r="BA22" i="19"/>
  <c r="BD22" i="19" s="1"/>
  <c r="AR22" i="19"/>
  <c r="BH27" i="19"/>
  <c r="BF27" i="19"/>
  <c r="BK27" i="19"/>
  <c r="BH31" i="19"/>
  <c r="BF31" i="19"/>
  <c r="BK31" i="19"/>
  <c r="BH35" i="19"/>
  <c r="BF35" i="19"/>
  <c r="BK35" i="19"/>
  <c r="BH37" i="19"/>
  <c r="BF37" i="19"/>
  <c r="BK37" i="19"/>
  <c r="BH52" i="19"/>
  <c r="BF52" i="19"/>
  <c r="BK52" i="19"/>
  <c r="AQ26" i="19"/>
  <c r="AD26" i="19"/>
  <c r="AH26" i="19"/>
  <c r="AI26" i="19" s="1"/>
  <c r="AF26" i="19"/>
  <c r="BH41" i="19"/>
  <c r="BF41" i="19"/>
  <c r="BK41" i="19"/>
  <c r="BA65" i="19"/>
  <c r="BD65" i="19" s="1"/>
  <c r="AU65" i="19"/>
  <c r="AR65" i="19"/>
  <c r="BH47" i="19"/>
  <c r="BF47" i="19"/>
  <c r="BK47" i="19"/>
  <c r="BL64" i="19"/>
  <c r="BM58" i="19"/>
  <c r="V58" i="19"/>
  <c r="W64" i="19"/>
  <c r="AE58" i="19"/>
  <c r="Z58" i="19"/>
  <c r="AI58" i="19" s="1"/>
  <c r="X58" i="19"/>
  <c r="AI4" i="19"/>
  <c r="AJ4" i="19"/>
  <c r="AU4" i="19"/>
  <c r="AY4" i="19" s="1"/>
  <c r="BA4" i="19"/>
  <c r="BD4" i="19" s="1"/>
  <c r="AR4" i="19"/>
  <c r="BA6" i="19"/>
  <c r="BD6" i="19" s="1"/>
  <c r="AR6" i="19"/>
  <c r="AU6" i="19"/>
  <c r="AY6" i="19" s="1"/>
  <c r="AH8" i="19"/>
  <c r="AQ8" i="19"/>
  <c r="AD8" i="19"/>
  <c r="AF8" i="19"/>
  <c r="AU12" i="19"/>
  <c r="AY12" i="19" s="1"/>
  <c r="BA12" i="19"/>
  <c r="BD12" i="19" s="1"/>
  <c r="AR12" i="19"/>
  <c r="AU16" i="19"/>
  <c r="AY16" i="19" s="1"/>
  <c r="BA16" i="19"/>
  <c r="BD16" i="19" s="1"/>
  <c r="AR16" i="19"/>
  <c r="BH21" i="19"/>
  <c r="BF21" i="19"/>
  <c r="BK21" i="19"/>
  <c r="BH25" i="19"/>
  <c r="BF25" i="19"/>
  <c r="BK25" i="19"/>
  <c r="AU30" i="19"/>
  <c r="AY30" i="19" s="1"/>
  <c r="BA30" i="19"/>
  <c r="BD30" i="19" s="1"/>
  <c r="AR30" i="19"/>
  <c r="AU34" i="19"/>
  <c r="AY34" i="19" s="1"/>
  <c r="BA34" i="19"/>
  <c r="BD34" i="19" s="1"/>
  <c r="AR34" i="19"/>
  <c r="AU38" i="19"/>
  <c r="AY38" i="19" s="1"/>
  <c r="BA38" i="19"/>
  <c r="BD38" i="19" s="1"/>
  <c r="AR38" i="19"/>
  <c r="BK39" i="19"/>
  <c r="BH39" i="19"/>
  <c r="BF39" i="19"/>
  <c r="AU53" i="19"/>
  <c r="AY53" i="19" s="1"/>
  <c r="BA53" i="19"/>
  <c r="BD53" i="19" s="1"/>
  <c r="AR53" i="19"/>
  <c r="V59" i="19"/>
  <c r="AE59" i="19"/>
  <c r="X59" i="19"/>
  <c r="Z59" i="19"/>
  <c r="AI59" i="19" s="1"/>
  <c r="V60" i="19"/>
  <c r="AE60" i="19"/>
  <c r="Z60" i="19"/>
  <c r="AI60" i="19" s="1"/>
  <c r="X60" i="19"/>
  <c r="AQ20" i="19"/>
  <c r="AD20" i="19"/>
  <c r="AH20" i="19"/>
  <c r="AI20" i="19" s="1"/>
  <c r="AF20" i="19"/>
  <c r="AD61" i="19"/>
  <c r="AF61" i="19"/>
  <c r="AH61" i="19"/>
  <c r="AD62" i="19"/>
  <c r="AH62" i="19"/>
  <c r="AU42" i="19"/>
  <c r="AY42" i="19" s="1"/>
  <c r="BA42" i="19"/>
  <c r="BD42" i="19" s="1"/>
  <c r="AR42" i="19"/>
  <c r="AU46" i="19"/>
  <c r="AY46" i="19" s="1"/>
  <c r="BA46" i="19"/>
  <c r="BD46" i="19" s="1"/>
  <c r="AR46" i="19"/>
  <c r="BH51" i="19"/>
  <c r="BF51" i="19"/>
  <c r="BK51" i="19"/>
  <c r="BP51" i="19" s="1"/>
  <c r="BA54" i="19"/>
  <c r="BD54" i="19" s="1"/>
  <c r="AR54" i="19"/>
  <c r="AU54" i="19"/>
  <c r="AY54" i="19" s="1"/>
  <c r="V65" i="19"/>
  <c r="AE65" i="19"/>
  <c r="X65" i="19"/>
  <c r="Z65" i="19"/>
  <c r="AI65" i="19" s="1"/>
  <c r="AW22" i="19"/>
  <c r="AW11" i="19"/>
  <c r="AW15" i="19"/>
  <c r="AW19" i="19"/>
  <c r="AI24" i="19"/>
  <c r="AW29" i="19"/>
  <c r="AW33" i="19"/>
  <c r="AW37" i="19"/>
  <c r="AW41" i="19"/>
  <c r="AW5" i="19"/>
  <c r="AW16" i="19"/>
  <c r="AW53" i="19"/>
  <c r="AJ24" i="19"/>
  <c r="AJ38" i="19"/>
  <c r="R64" i="19"/>
  <c r="BL67" i="19"/>
  <c r="BM67" i="19" s="1"/>
  <c r="AW14" i="19" l="1"/>
  <c r="AW38" i="19"/>
  <c r="AY45" i="19"/>
  <c r="AW45" i="19"/>
  <c r="AW46" i="19"/>
  <c r="AW12" i="19"/>
  <c r="AW34" i="19"/>
  <c r="P68" i="19"/>
  <c r="AW7" i="19"/>
  <c r="AW30" i="19"/>
  <c r="AD65" i="19"/>
  <c r="AH65" i="19"/>
  <c r="AF65" i="19"/>
  <c r="BH54" i="19"/>
  <c r="BF54" i="19"/>
  <c r="BK54" i="19"/>
  <c r="BK42" i="19"/>
  <c r="BH42" i="19"/>
  <c r="BF42" i="19"/>
  <c r="AD60" i="19"/>
  <c r="AF60" i="19"/>
  <c r="AH60" i="19"/>
  <c r="AD59" i="19"/>
  <c r="AH59" i="19"/>
  <c r="AF59" i="19"/>
  <c r="BK34" i="19"/>
  <c r="BF34" i="19"/>
  <c r="BH34" i="19"/>
  <c r="BP21" i="19"/>
  <c r="BN21" i="19"/>
  <c r="BK16" i="19"/>
  <c r="BH16" i="19"/>
  <c r="BF16" i="19"/>
  <c r="AJ8" i="19"/>
  <c r="V64" i="19"/>
  <c r="AE64" i="19"/>
  <c r="Z64" i="19"/>
  <c r="AI64" i="19" s="1"/>
  <c r="BP47" i="19"/>
  <c r="BN47" i="19"/>
  <c r="BP52" i="19"/>
  <c r="BN52" i="19"/>
  <c r="BP35" i="19"/>
  <c r="BN35" i="19"/>
  <c r="BP27" i="19"/>
  <c r="BN27" i="19"/>
  <c r="BK22" i="19"/>
  <c r="BF22" i="19"/>
  <c r="BH22" i="19"/>
  <c r="BP17" i="19"/>
  <c r="BN17" i="19"/>
  <c r="BP11" i="19"/>
  <c r="BN11" i="19"/>
  <c r="AJ48" i="19"/>
  <c r="AQ66" i="19"/>
  <c r="AU48" i="19"/>
  <c r="AY48" i="19" s="1"/>
  <c r="BA48" i="19"/>
  <c r="BD48" i="19" s="1"/>
  <c r="AR48" i="19"/>
  <c r="V67" i="19"/>
  <c r="AE67" i="19"/>
  <c r="X67" i="19"/>
  <c r="Z67" i="19"/>
  <c r="AI67" i="19" s="1"/>
  <c r="BK36" i="19"/>
  <c r="BF36" i="19"/>
  <c r="BH36" i="19"/>
  <c r="BK28" i="19"/>
  <c r="BH28" i="19"/>
  <c r="BF28" i="19"/>
  <c r="BP23" i="19"/>
  <c r="BN23" i="19"/>
  <c r="BK18" i="19"/>
  <c r="BF18" i="19"/>
  <c r="BH18" i="19"/>
  <c r="BK10" i="19"/>
  <c r="BF10" i="19"/>
  <c r="BH10" i="19"/>
  <c r="BK50" i="19"/>
  <c r="BH50" i="19"/>
  <c r="BF50" i="19"/>
  <c r="BP45" i="19"/>
  <c r="BN45" i="19"/>
  <c r="AD63" i="19"/>
  <c r="AH63" i="19"/>
  <c r="AF63" i="19"/>
  <c r="BP33" i="19"/>
  <c r="BN33" i="19"/>
  <c r="BP15" i="19"/>
  <c r="BN15" i="19"/>
  <c r="BH9" i="19"/>
  <c r="BF9" i="19"/>
  <c r="BK9" i="19"/>
  <c r="BK7" i="19"/>
  <c r="BH7" i="19"/>
  <c r="BF7" i="19"/>
  <c r="AW42" i="19"/>
  <c r="AW4" i="19"/>
  <c r="AW36" i="19"/>
  <c r="AW28" i="19"/>
  <c r="AI8" i="19"/>
  <c r="X64" i="19"/>
  <c r="AW9" i="19"/>
  <c r="BK46" i="19"/>
  <c r="BF46" i="19"/>
  <c r="BH46" i="19"/>
  <c r="AJ62" i="19"/>
  <c r="AJ61" i="19"/>
  <c r="AJ20" i="19"/>
  <c r="AQ61" i="19"/>
  <c r="AU20" i="19"/>
  <c r="AY20" i="19" s="1"/>
  <c r="BA20" i="19"/>
  <c r="BD20" i="19" s="1"/>
  <c r="AR20" i="19"/>
  <c r="BK53" i="19"/>
  <c r="BH53" i="19"/>
  <c r="BF53" i="19"/>
  <c r="BP39" i="19"/>
  <c r="BN39" i="19"/>
  <c r="BK38" i="19"/>
  <c r="BF38" i="19"/>
  <c r="BH38" i="19"/>
  <c r="BK30" i="19"/>
  <c r="BF30" i="19"/>
  <c r="BH30" i="19"/>
  <c r="BP25" i="19"/>
  <c r="BN25" i="19"/>
  <c r="BK12" i="19"/>
  <c r="BH12" i="19"/>
  <c r="BF12" i="19"/>
  <c r="BA8" i="19"/>
  <c r="BD8" i="19" s="1"/>
  <c r="AR8" i="19"/>
  <c r="AU8" i="19"/>
  <c r="AY8" i="19" s="1"/>
  <c r="BH6" i="19"/>
  <c r="BF6" i="19"/>
  <c r="BK6" i="19"/>
  <c r="BH4" i="19"/>
  <c r="BK4" i="19"/>
  <c r="BF4" i="19"/>
  <c r="AD58" i="19"/>
  <c r="AH58" i="19"/>
  <c r="AF58" i="19"/>
  <c r="BL68" i="19"/>
  <c r="BM68" i="19" s="1"/>
  <c r="BM64" i="19"/>
  <c r="BF65" i="19"/>
  <c r="BH65" i="19"/>
  <c r="BP41" i="19"/>
  <c r="BN41" i="19"/>
  <c r="AJ26" i="19"/>
  <c r="AQ62" i="19"/>
  <c r="AU26" i="19"/>
  <c r="AY26" i="19" s="1"/>
  <c r="BA26" i="19"/>
  <c r="BD26" i="19" s="1"/>
  <c r="AR26" i="19"/>
  <c r="BP37" i="19"/>
  <c r="BN37" i="19"/>
  <c r="BP31" i="19"/>
  <c r="BN31" i="19"/>
  <c r="BP13" i="19"/>
  <c r="BN13" i="19"/>
  <c r="AJ66" i="19"/>
  <c r="BP49" i="19"/>
  <c r="BN49" i="19"/>
  <c r="BK44" i="19"/>
  <c r="BK65" i="19" s="1"/>
  <c r="BF44" i="19"/>
  <c r="BH44" i="19"/>
  <c r="BK32" i="19"/>
  <c r="BH32" i="19"/>
  <c r="BF32" i="19"/>
  <c r="BK14" i="19"/>
  <c r="BF14" i="19"/>
  <c r="BH14" i="19"/>
  <c r="W68" i="19"/>
  <c r="O68" i="19"/>
  <c r="BK5" i="19"/>
  <c r="BF5" i="19"/>
  <c r="BH5" i="19"/>
  <c r="BP43" i="19"/>
  <c r="BN43" i="19"/>
  <c r="BA40" i="19"/>
  <c r="BD40" i="19" s="1"/>
  <c r="AR40" i="19"/>
  <c r="AU40" i="19"/>
  <c r="AY40" i="19" s="1"/>
  <c r="AQ63" i="19"/>
  <c r="AW40" i="19"/>
  <c r="AJ40" i="19"/>
  <c r="BP29" i="19"/>
  <c r="BN29" i="19"/>
  <c r="BK24" i="19"/>
  <c r="BH24" i="19"/>
  <c r="BF24" i="19"/>
  <c r="BP19" i="19"/>
  <c r="BN19" i="19"/>
  <c r="BH60" i="19"/>
  <c r="BF60" i="19"/>
  <c r="BA59" i="19"/>
  <c r="BD59" i="19" s="1"/>
  <c r="AU59" i="19"/>
  <c r="AR59" i="19"/>
  <c r="AE69" i="19"/>
  <c r="AE70" i="19" s="1"/>
  <c r="AQ55" i="19"/>
  <c r="AF55" i="19"/>
  <c r="AF69" i="19" s="1"/>
  <c r="AD55" i="19"/>
  <c r="AH55" i="19"/>
  <c r="AQ58" i="19"/>
  <c r="AW54" i="19"/>
  <c r="AW6" i="19"/>
  <c r="AW48" i="19" l="1"/>
  <c r="AQ70" i="19"/>
  <c r="BA70" i="19" s="1"/>
  <c r="E43" i="16"/>
  <c r="BK60" i="19"/>
  <c r="BN60" i="19" s="1"/>
  <c r="AQ69" i="19"/>
  <c r="BA55" i="19"/>
  <c r="BD55" i="19" s="1"/>
  <c r="AR55" i="19"/>
  <c r="AU55" i="19"/>
  <c r="AY55" i="19" s="1"/>
  <c r="BH59" i="19"/>
  <c r="BF59" i="19"/>
  <c r="BA63" i="19"/>
  <c r="BD63" i="19" s="1"/>
  <c r="AU63" i="19"/>
  <c r="AR63" i="19"/>
  <c r="BP65" i="19"/>
  <c r="BN65" i="19"/>
  <c r="BP14" i="19"/>
  <c r="BN14" i="19"/>
  <c r="BP44" i="19"/>
  <c r="BN44" i="19"/>
  <c r="BK26" i="19"/>
  <c r="BH26" i="19"/>
  <c r="BF26" i="19"/>
  <c r="BA62" i="19"/>
  <c r="BD62" i="19" s="1"/>
  <c r="AU62" i="19"/>
  <c r="AW62" i="19" s="1"/>
  <c r="AR62" i="19"/>
  <c r="AJ58" i="19"/>
  <c r="BK8" i="19"/>
  <c r="BK58" i="19" s="1"/>
  <c r="BH8" i="19"/>
  <c r="BF8" i="19"/>
  <c r="BP30" i="19"/>
  <c r="BN30" i="19"/>
  <c r="BP53" i="19"/>
  <c r="BN53" i="19"/>
  <c r="BK20" i="19"/>
  <c r="BF20" i="19"/>
  <c r="BH20" i="19"/>
  <c r="BA61" i="19"/>
  <c r="BD61" i="19" s="1"/>
  <c r="AU61" i="19"/>
  <c r="AW61" i="19" s="1"/>
  <c r="AR61" i="19"/>
  <c r="BP7" i="19"/>
  <c r="BN7" i="19"/>
  <c r="BP10" i="19"/>
  <c r="BN10" i="19"/>
  <c r="BP28" i="19"/>
  <c r="BN28" i="19"/>
  <c r="AD67" i="19"/>
  <c r="AH67" i="19"/>
  <c r="AF67" i="19"/>
  <c r="AD64" i="19"/>
  <c r="AH64" i="19"/>
  <c r="AF64" i="19"/>
  <c r="BP16" i="19"/>
  <c r="BN16" i="19"/>
  <c r="BP42" i="19"/>
  <c r="BN42" i="19"/>
  <c r="AW26" i="19"/>
  <c r="AW20" i="19"/>
  <c r="AQ64" i="19"/>
  <c r="BA58" i="19"/>
  <c r="BD58" i="19" s="1"/>
  <c r="AU58" i="19"/>
  <c r="AW58" i="19" s="1"/>
  <c r="AR58" i="19"/>
  <c r="AW55" i="19"/>
  <c r="AJ55" i="19"/>
  <c r="BP24" i="19"/>
  <c r="BN24" i="19"/>
  <c r="BK40" i="19"/>
  <c r="BK63" i="19" s="1"/>
  <c r="BF40" i="19"/>
  <c r="BH40" i="19"/>
  <c r="BP5" i="19"/>
  <c r="BN5" i="19"/>
  <c r="V68" i="19"/>
  <c r="AE68" i="19"/>
  <c r="Z68" i="19"/>
  <c r="AI68" i="19" s="1"/>
  <c r="X68" i="19"/>
  <c r="BP32" i="19"/>
  <c r="BN32" i="19"/>
  <c r="BP4" i="19"/>
  <c r="BN4" i="19"/>
  <c r="BP6" i="19"/>
  <c r="BN6" i="19"/>
  <c r="BP12" i="19"/>
  <c r="BN12" i="19"/>
  <c r="BP38" i="19"/>
  <c r="BN38" i="19"/>
  <c r="BP46" i="19"/>
  <c r="BN46" i="19"/>
  <c r="BK59" i="19"/>
  <c r="BP9" i="19"/>
  <c r="BN9" i="19"/>
  <c r="AW63" i="19"/>
  <c r="AJ63" i="19"/>
  <c r="BP50" i="19"/>
  <c r="BN50" i="19"/>
  <c r="BP18" i="19"/>
  <c r="BN18" i="19"/>
  <c r="BP36" i="19"/>
  <c r="BN36" i="19"/>
  <c r="BK48" i="19"/>
  <c r="BH48" i="19"/>
  <c r="BF48" i="19"/>
  <c r="BA66" i="19"/>
  <c r="BD66" i="19" s="1"/>
  <c r="AU66" i="19"/>
  <c r="AW66" i="19" s="1"/>
  <c r="AR66" i="19"/>
  <c r="AQ67" i="19"/>
  <c r="BP22" i="19"/>
  <c r="BN22" i="19"/>
  <c r="BP34" i="19"/>
  <c r="BN34" i="19"/>
  <c r="AW59" i="19"/>
  <c r="AJ59" i="19"/>
  <c r="AW60" i="19"/>
  <c r="AJ60" i="19"/>
  <c r="BP54" i="19"/>
  <c r="BN54" i="19"/>
  <c r="AW65" i="19"/>
  <c r="AJ65" i="19"/>
  <c r="AW8" i="19"/>
  <c r="BD70" i="19" l="1"/>
  <c r="BK70" i="19" s="1"/>
  <c r="G43" i="16" s="1"/>
  <c r="F43" i="16"/>
  <c r="BP60" i="19"/>
  <c r="BP58" i="19"/>
  <c r="BN58" i="19"/>
  <c r="BP63" i="19"/>
  <c r="BN63" i="19"/>
  <c r="BA67" i="19"/>
  <c r="BD67" i="19" s="1"/>
  <c r="AU67" i="19"/>
  <c r="AW67" i="19" s="1"/>
  <c r="AR67" i="19"/>
  <c r="BK66" i="19"/>
  <c r="BP48" i="19"/>
  <c r="BN48" i="19"/>
  <c r="BH58" i="19"/>
  <c r="BF58" i="19"/>
  <c r="AJ64" i="19"/>
  <c r="BK61" i="19"/>
  <c r="BP20" i="19"/>
  <c r="BN20" i="19"/>
  <c r="BF62" i="19"/>
  <c r="BH62" i="19"/>
  <c r="BD69" i="19"/>
  <c r="BK55" i="19"/>
  <c r="BH55" i="19"/>
  <c r="BF55" i="19"/>
  <c r="BH66" i="19"/>
  <c r="BF66" i="19"/>
  <c r="BP59" i="19"/>
  <c r="BN59" i="19"/>
  <c r="AD68" i="19"/>
  <c r="AH68" i="19"/>
  <c r="AF68" i="19"/>
  <c r="BP40" i="19"/>
  <c r="BN40" i="19"/>
  <c r="AQ68" i="19"/>
  <c r="BA64" i="19"/>
  <c r="BD64" i="19" s="1"/>
  <c r="AU64" i="19"/>
  <c r="AW64" i="19" s="1"/>
  <c r="AR64" i="19"/>
  <c r="AJ67" i="19"/>
  <c r="BH61" i="19"/>
  <c r="BF61" i="19"/>
  <c r="BP8" i="19"/>
  <c r="BN8" i="19"/>
  <c r="BK62" i="19"/>
  <c r="BP26" i="19"/>
  <c r="BN26" i="19"/>
  <c r="BF63" i="19"/>
  <c r="BH63" i="19"/>
  <c r="BK64" i="19" l="1"/>
  <c r="BP64" i="19" s="1"/>
  <c r="BP55" i="19"/>
  <c r="BN55" i="19"/>
  <c r="BH64" i="19"/>
  <c r="BF64" i="19"/>
  <c r="BP66" i="19"/>
  <c r="BN66" i="19"/>
  <c r="BK67" i="19"/>
  <c r="BP62" i="19"/>
  <c r="BN62" i="19"/>
  <c r="BA68" i="19"/>
  <c r="BD68" i="19" s="1"/>
  <c r="AU68" i="19"/>
  <c r="AR68" i="19"/>
  <c r="AW68" i="19"/>
  <c r="AJ68" i="19"/>
  <c r="BP61" i="19"/>
  <c r="BN61" i="19"/>
  <c r="BF67" i="19"/>
  <c r="BH67" i="19"/>
  <c r="BN64" i="19" l="1"/>
  <c r="BP67" i="19"/>
  <c r="BN67" i="19"/>
  <c r="BF68" i="19"/>
  <c r="BH68" i="19"/>
  <c r="BK68" i="19"/>
  <c r="BP68" i="19" l="1"/>
  <c r="BN68" i="19"/>
  <c r="C5" i="16" l="1"/>
  <c r="C34" i="16" s="1"/>
  <c r="L54" i="16"/>
  <c r="M54" i="16" s="1"/>
  <c r="N54" i="16" l="1"/>
  <c r="O54" i="16" l="1"/>
  <c r="P54" i="16" l="1"/>
  <c r="Q54" i="16" l="1"/>
  <c r="R54" i="16" l="1"/>
  <c r="S54" i="16" l="1"/>
  <c r="T54" i="16" l="1"/>
  <c r="U54" i="16" l="1"/>
  <c r="V54" i="16" l="1"/>
  <c r="W54" i="16" l="1"/>
  <c r="C10" i="16" l="1"/>
  <c r="AR6" i="4" l="1"/>
  <c r="D6" i="4"/>
  <c r="E6" i="4" s="1"/>
  <c r="F6" i="4" s="1"/>
  <c r="G6" i="4" s="1"/>
  <c r="H6" i="4" s="1"/>
  <c r="I6" i="4" s="1"/>
  <c r="J6" i="4" s="1"/>
  <c r="K6" i="4" s="1"/>
  <c r="L6" i="4" s="1"/>
  <c r="M6" i="4" s="1"/>
  <c r="N6" i="4" s="1"/>
  <c r="O6" i="4" s="1"/>
  <c r="P6" i="4" s="1"/>
  <c r="Q6" i="4" s="1"/>
  <c r="R6" i="4" s="1"/>
  <c r="S6" i="4" s="1"/>
  <c r="T6" i="4" s="1"/>
  <c r="U6" i="4" s="1"/>
  <c r="V6" i="4" s="1"/>
  <c r="AR5" i="4"/>
  <c r="D5" i="4"/>
  <c r="E5" i="4" s="1"/>
  <c r="F5" i="4" s="1"/>
  <c r="G5" i="4" s="1"/>
  <c r="H5" i="4" s="1"/>
  <c r="I5" i="4" s="1"/>
  <c r="J5" i="4" s="1"/>
  <c r="K5" i="4" s="1"/>
  <c r="L5" i="4" s="1"/>
  <c r="M5" i="4" s="1"/>
  <c r="N5" i="4" s="1"/>
  <c r="O5" i="4" s="1"/>
  <c r="P5" i="4" s="1"/>
  <c r="Q5" i="4" s="1"/>
  <c r="R5" i="4" s="1"/>
  <c r="S5" i="4" s="1"/>
  <c r="T5" i="4" s="1"/>
  <c r="U5" i="4" s="1"/>
  <c r="V5" i="4" s="1"/>
  <c r="C15" i="16" l="1"/>
  <c r="D5" i="16" l="1"/>
  <c r="E5" i="16" s="1"/>
  <c r="B19" i="5"/>
  <c r="B17" i="5"/>
  <c r="B15" i="5"/>
  <c r="E14" i="5"/>
  <c r="E24" i="3"/>
  <c r="D24" i="3"/>
  <c r="AG5" i="3"/>
  <c r="AH5" i="3" s="1"/>
  <c r="AI5" i="3" s="1"/>
  <c r="AJ5" i="3" s="1"/>
  <c r="AK5" i="3" s="1"/>
  <c r="AL5" i="3" s="1"/>
  <c r="AM5" i="3" s="1"/>
  <c r="AN5" i="3" s="1"/>
  <c r="D5" i="3"/>
  <c r="AG4" i="3"/>
  <c r="AH4" i="3" s="1"/>
  <c r="AI4" i="3" s="1"/>
  <c r="AJ4" i="3" s="1"/>
  <c r="AK4" i="3" s="1"/>
  <c r="AL4" i="3" s="1"/>
  <c r="AM4" i="3" s="1"/>
  <c r="AN4" i="3" s="1"/>
  <c r="D4" i="3"/>
  <c r="E4" i="3" s="1"/>
  <c r="F4" i="3" s="1"/>
  <c r="G4" i="3" s="1"/>
  <c r="H4" i="3" s="1"/>
  <c r="I4" i="3" s="1"/>
  <c r="J4" i="3" s="1"/>
  <c r="K4" i="3" s="1"/>
  <c r="L4" i="3" s="1"/>
  <c r="M4" i="3" s="1"/>
  <c r="N4" i="3" s="1"/>
  <c r="O4" i="3" s="1"/>
  <c r="P4" i="3" s="1"/>
  <c r="Q4" i="3" s="1"/>
  <c r="R4" i="3" s="1"/>
  <c r="S4" i="3" s="1"/>
  <c r="T4" i="3" s="1"/>
  <c r="U4" i="3" s="1"/>
  <c r="V4" i="3" s="1"/>
  <c r="B40" i="1"/>
  <c r="E36" i="1"/>
  <c r="D36" i="1"/>
  <c r="C36" i="1"/>
  <c r="B36" i="1"/>
  <c r="B27" i="1"/>
  <c r="B12" i="1"/>
  <c r="B10" i="1"/>
  <c r="B11" i="14"/>
  <c r="A11" i="14"/>
  <c r="B30" i="1" l="1"/>
  <c r="C30" i="1" s="1"/>
  <c r="I13" i="3"/>
  <c r="H13" i="3"/>
  <c r="G13" i="3"/>
  <c r="E13" i="3"/>
  <c r="C13" i="3"/>
  <c r="F13" i="3"/>
  <c r="D13" i="3"/>
  <c r="I12" i="3"/>
  <c r="H12" i="3"/>
  <c r="G12" i="3"/>
  <c r="F12" i="3"/>
  <c r="E12" i="3"/>
  <c r="D12" i="3"/>
  <c r="C12" i="3"/>
  <c r="M16" i="3"/>
  <c r="J11" i="3"/>
  <c r="D30" i="1"/>
  <c r="H20" i="3" s="1"/>
  <c r="M11" i="3"/>
  <c r="K11" i="3"/>
  <c r="N11" i="3"/>
  <c r="L11" i="3"/>
  <c r="I9" i="3"/>
  <c r="O11" i="3"/>
  <c r="B25" i="5"/>
  <c r="F14" i="5"/>
  <c r="F19" i="3" l="1"/>
  <c r="C19" i="3"/>
  <c r="C24" i="3" s="1"/>
  <c r="C27" i="3" s="1"/>
  <c r="C30" i="3" s="1"/>
  <c r="F20" i="3"/>
  <c r="F22" i="3"/>
  <c r="F21" i="3"/>
  <c r="J13" i="3"/>
  <c r="J12" i="3"/>
  <c r="O13" i="3"/>
  <c r="O12" i="3"/>
  <c r="L13" i="3"/>
  <c r="L12" i="3"/>
  <c r="K13" i="3"/>
  <c r="K12" i="3"/>
  <c r="N13" i="3"/>
  <c r="N12" i="3"/>
  <c r="M13" i="3"/>
  <c r="M12" i="3"/>
  <c r="V20" i="3"/>
  <c r="T20" i="3"/>
  <c r="R20" i="3"/>
  <c r="P20" i="3"/>
  <c r="N20" i="3"/>
  <c r="L20" i="3"/>
  <c r="J20" i="3"/>
  <c r="V22" i="3"/>
  <c r="T22" i="3"/>
  <c r="R22" i="3"/>
  <c r="P22" i="3"/>
  <c r="N22" i="3"/>
  <c r="L22" i="3"/>
  <c r="J22" i="3"/>
  <c r="U21" i="3"/>
  <c r="S21" i="3"/>
  <c r="Q21" i="3"/>
  <c r="O21" i="3"/>
  <c r="M21" i="3"/>
  <c r="K21" i="3"/>
  <c r="V19" i="3"/>
  <c r="T19" i="3"/>
  <c r="R19" i="3"/>
  <c r="P19" i="3"/>
  <c r="N19" i="3"/>
  <c r="L19" i="3"/>
  <c r="J19" i="3"/>
  <c r="I21" i="3"/>
  <c r="H22" i="3"/>
  <c r="H19" i="3"/>
  <c r="U20" i="3"/>
  <c r="S20" i="3"/>
  <c r="Q20" i="3"/>
  <c r="O20" i="3"/>
  <c r="M20" i="3"/>
  <c r="K20" i="3"/>
  <c r="I20" i="3"/>
  <c r="U22" i="3"/>
  <c r="S22" i="3"/>
  <c r="Q22" i="3"/>
  <c r="O22" i="3"/>
  <c r="M22" i="3"/>
  <c r="K22" i="3"/>
  <c r="V21" i="3"/>
  <c r="T21" i="3"/>
  <c r="R21" i="3"/>
  <c r="P21" i="3"/>
  <c r="N21" i="3"/>
  <c r="L21" i="3"/>
  <c r="J21" i="3"/>
  <c r="U19" i="3"/>
  <c r="S19" i="3"/>
  <c r="Q19" i="3"/>
  <c r="O19" i="3"/>
  <c r="M19" i="3"/>
  <c r="K19" i="3"/>
  <c r="I22" i="3"/>
  <c r="I19" i="3"/>
  <c r="H21" i="3"/>
  <c r="E30" i="1"/>
  <c r="G26" i="3"/>
  <c r="D27" i="3"/>
  <c r="D30" i="3" s="1"/>
  <c r="H26" i="3"/>
  <c r="J9" i="3"/>
  <c r="P11" i="3"/>
  <c r="E26" i="3"/>
  <c r="C26" i="3"/>
  <c r="D26" i="3"/>
  <c r="E27" i="3"/>
  <c r="E30" i="3" s="1"/>
  <c r="F26" i="3"/>
  <c r="P13" i="3" l="1"/>
  <c r="P12" i="3"/>
  <c r="G21" i="3"/>
  <c r="G20" i="3"/>
  <c r="G22" i="3"/>
  <c r="G19" i="3"/>
  <c r="K9" i="3"/>
  <c r="Q11" i="3"/>
  <c r="U24" i="3"/>
  <c r="V24" i="3"/>
  <c r="M24" i="3"/>
  <c r="S24" i="3"/>
  <c r="T24" i="3"/>
  <c r="P24" i="3"/>
  <c r="Q24" i="3"/>
  <c r="J24" i="3"/>
  <c r="N24" i="3"/>
  <c r="R24" i="3"/>
  <c r="L24" i="3"/>
  <c r="H24" i="3"/>
  <c r="F24" i="3"/>
  <c r="K24" i="3"/>
  <c r="O24" i="3"/>
  <c r="G24" i="3" l="1"/>
  <c r="Q13" i="3"/>
  <c r="Q12" i="3"/>
  <c r="L9" i="3"/>
  <c r="R11" i="3"/>
  <c r="O26" i="3"/>
  <c r="I24" i="3"/>
  <c r="M26" i="3"/>
  <c r="P26" i="3"/>
  <c r="N26" i="3"/>
  <c r="M27" i="3"/>
  <c r="M30" i="3" s="1"/>
  <c r="M10" i="4" s="1"/>
  <c r="Q26" i="3" l="1"/>
  <c r="R13" i="3"/>
  <c r="R12" i="3"/>
  <c r="M9" i="3"/>
  <c r="S11" i="3"/>
  <c r="L26" i="3"/>
  <c r="L27" i="3"/>
  <c r="L30" i="3" s="1"/>
  <c r="L10" i="4" s="1"/>
  <c r="F5" i="16"/>
  <c r="G5" i="16" s="1"/>
  <c r="I5" i="16" s="1"/>
  <c r="J5" i="16" s="1"/>
  <c r="L5" i="16" s="1"/>
  <c r="M5" i="16" s="1"/>
  <c r="N5" i="16" s="1"/>
  <c r="O5" i="16" s="1"/>
  <c r="P5" i="16" s="1"/>
  <c r="Q5" i="16" s="1"/>
  <c r="R5" i="16" s="1"/>
  <c r="S5" i="16" s="1"/>
  <c r="T5" i="16" s="1"/>
  <c r="U5" i="16" s="1"/>
  <c r="V5" i="16" s="1"/>
  <c r="W5" i="16" s="1"/>
  <c r="S13" i="3" l="1"/>
  <c r="S12" i="3"/>
  <c r="R26" i="3"/>
  <c r="N9" i="3"/>
  <c r="N16" i="3" s="1"/>
  <c r="T11" i="3"/>
  <c r="K26" i="3"/>
  <c r="K27" i="3"/>
  <c r="K30" i="3" s="1"/>
  <c r="K10" i="4" s="1"/>
  <c r="T13" i="3" l="1"/>
  <c r="T12" i="3"/>
  <c r="S26" i="3"/>
  <c r="O9" i="3"/>
  <c r="O16" i="3" s="1"/>
  <c r="N27" i="3"/>
  <c r="N30" i="3" s="1"/>
  <c r="N10" i="4" s="1"/>
  <c r="U11" i="3"/>
  <c r="I26" i="3"/>
  <c r="J26" i="3"/>
  <c r="J27" i="3"/>
  <c r="J30" i="3" s="1"/>
  <c r="J10" i="4" s="1"/>
  <c r="U13" i="3" l="1"/>
  <c r="U12" i="3"/>
  <c r="T26" i="3"/>
  <c r="P9" i="3"/>
  <c r="P16" i="3" s="1"/>
  <c r="O27" i="3"/>
  <c r="O30" i="3" s="1"/>
  <c r="O10" i="4" s="1"/>
  <c r="V11" i="3"/>
  <c r="I27" i="3"/>
  <c r="V13" i="3" l="1"/>
  <c r="V12" i="3"/>
  <c r="H27" i="3"/>
  <c r="I30" i="3"/>
  <c r="I10" i="4" s="1"/>
  <c r="U26" i="3"/>
  <c r="Q9" i="3"/>
  <c r="Q16" i="3" s="1"/>
  <c r="P27" i="3"/>
  <c r="E10" i="4"/>
  <c r="D10" i="4"/>
  <c r="C10" i="4"/>
  <c r="P30" i="3" l="1"/>
  <c r="P10" i="4" s="1"/>
  <c r="G27" i="3"/>
  <c r="H30" i="3"/>
  <c r="H10" i="4" s="1"/>
  <c r="R9" i="3"/>
  <c r="R16" i="3" s="1"/>
  <c r="V26" i="3"/>
  <c r="F27" i="3" l="1"/>
  <c r="F30" i="3" s="1"/>
  <c r="F10" i="4" s="1"/>
  <c r="G30" i="3"/>
  <c r="G10" i="4" s="1"/>
  <c r="Q27" i="3"/>
  <c r="S9" i="3"/>
  <c r="S16" i="3" s="1"/>
  <c r="Q30" i="3" l="1"/>
  <c r="Q10" i="4" s="1"/>
  <c r="R27" i="3"/>
  <c r="T9" i="3"/>
  <c r="T16" i="3" s="1"/>
  <c r="R30" i="3" l="1"/>
  <c r="R10" i="4" s="1"/>
  <c r="S27" i="3"/>
  <c r="U9" i="3"/>
  <c r="U16" i="3" s="1"/>
  <c r="S30" i="3" l="1"/>
  <c r="S10" i="4" s="1"/>
  <c r="T27" i="3"/>
  <c r="V9" i="3"/>
  <c r="V16" i="3" s="1"/>
  <c r="T30" i="3" l="1"/>
  <c r="T10" i="4" s="1"/>
  <c r="U27" i="3"/>
  <c r="V27" i="3"/>
  <c r="V30" i="3" l="1"/>
  <c r="V10" i="4" s="1"/>
  <c r="U30" i="3"/>
  <c r="U10" i="4" s="1"/>
  <c r="B23" i="4" l="1"/>
  <c r="C11" i="16"/>
  <c r="C12" i="16" l="1"/>
  <c r="C13" i="16"/>
  <c r="C35" i="16" l="1"/>
  <c r="C14" i="16" l="1"/>
  <c r="C42" i="16"/>
  <c r="C47" i="16" s="1"/>
  <c r="C37" i="16"/>
  <c r="C38" i="16" s="1"/>
  <c r="C60" i="16" s="1"/>
  <c r="C56" i="16" l="1"/>
  <c r="C16" i="16"/>
  <c r="D12" i="16" s="1"/>
  <c r="C18" i="16"/>
  <c r="D33" i="16"/>
  <c r="D48" i="16" s="1"/>
  <c r="C17" i="16"/>
  <c r="C27" i="16" s="1"/>
  <c r="D32" i="16"/>
  <c r="C21" i="16"/>
  <c r="C58" i="16" l="1"/>
  <c r="C57" i="16"/>
  <c r="C22" i="16"/>
  <c r="D11" i="16"/>
  <c r="C44" i="16"/>
  <c r="C40" i="16"/>
  <c r="C24" i="16" l="1"/>
  <c r="C25" i="16"/>
  <c r="C61" i="16"/>
  <c r="D31" i="16"/>
  <c r="D34" i="16" s="1"/>
  <c r="D38" i="16" s="1"/>
  <c r="D60" i="16" s="1"/>
  <c r="C19" i="16"/>
  <c r="D10" i="16" s="1"/>
  <c r="D13" i="16" s="1"/>
  <c r="D17" i="16" s="1"/>
  <c r="D27" i="16" s="1"/>
  <c r="D56" i="16" l="1"/>
  <c r="C28" i="16"/>
  <c r="C64" i="16" s="1"/>
  <c r="C11" i="4" s="1"/>
  <c r="C12" i="4" s="1"/>
  <c r="D42" i="16"/>
  <c r="D35" i="16"/>
  <c r="D37" i="16" s="1"/>
  <c r="D21" i="16"/>
  <c r="D14" i="16"/>
  <c r="D16" i="16" s="1"/>
  <c r="D58" i="16" l="1"/>
  <c r="D57" i="16"/>
  <c r="C14" i="4"/>
  <c r="D18" i="16"/>
  <c r="D19" i="16" s="1"/>
  <c r="E10" i="16" s="1"/>
  <c r="E12" i="16"/>
  <c r="E32" i="16"/>
  <c r="D22" i="16"/>
  <c r="E11" i="16"/>
  <c r="D24" i="16" l="1"/>
  <c r="D25" i="16"/>
  <c r="D50" i="16"/>
  <c r="D52" i="16" s="1"/>
  <c r="E33" i="16"/>
  <c r="E48" i="16" s="1"/>
  <c r="D39" i="16"/>
  <c r="D47" i="16" s="1"/>
  <c r="E13" i="16"/>
  <c r="E17" i="16" l="1"/>
  <c r="E27" i="16" s="1"/>
  <c r="D40" i="16"/>
  <c r="E31" i="16" s="1"/>
  <c r="E34" i="16" s="1"/>
  <c r="E14" i="16"/>
  <c r="E16" i="16" s="1"/>
  <c r="D28" i="16"/>
  <c r="E21" i="16"/>
  <c r="D61" i="16"/>
  <c r="E22" i="16" l="1"/>
  <c r="E18" i="16"/>
  <c r="E19" i="16" s="1"/>
  <c r="F10" i="16" s="1"/>
  <c r="E38" i="16"/>
  <c r="F11" i="16"/>
  <c r="E42" i="16"/>
  <c r="E35" i="16"/>
  <c r="E50" i="16" s="1"/>
  <c r="E52" i="16" s="1"/>
  <c r="F12" i="16"/>
  <c r="D64" i="16"/>
  <c r="D11" i="4" s="1"/>
  <c r="D12" i="4" s="1"/>
  <c r="E56" i="16" l="1"/>
  <c r="E60" i="16"/>
  <c r="E24" i="16"/>
  <c r="E25" i="16"/>
  <c r="F13" i="16"/>
  <c r="F17" i="16" s="1"/>
  <c r="F27" i="16" s="1"/>
  <c r="D14" i="4"/>
  <c r="F32" i="16"/>
  <c r="E37" i="16"/>
  <c r="E39" i="16" s="1"/>
  <c r="E47" i="16" s="1"/>
  <c r="E44" i="16"/>
  <c r="E58" i="16" l="1"/>
  <c r="E57" i="16"/>
  <c r="F21" i="16"/>
  <c r="F14" i="16"/>
  <c r="E28" i="16"/>
  <c r="E40" i="16"/>
  <c r="F31" i="16" s="1"/>
  <c r="F33" i="16"/>
  <c r="F48" i="16" s="1"/>
  <c r="F16" i="16"/>
  <c r="G12" i="16" s="1"/>
  <c r="F22" i="16"/>
  <c r="F24" i="16" l="1"/>
  <c r="F25" i="16"/>
  <c r="E61" i="16"/>
  <c r="E64" i="16" s="1"/>
  <c r="E11" i="4" s="1"/>
  <c r="E12" i="4" s="1"/>
  <c r="F34" i="16"/>
  <c r="F42" i="16" s="1"/>
  <c r="G11" i="16"/>
  <c r="F18" i="16"/>
  <c r="F19" i="16" s="1"/>
  <c r="G10" i="16" s="1"/>
  <c r="G13" i="16" s="1"/>
  <c r="G17" i="16" s="1"/>
  <c r="G27" i="16" s="1"/>
  <c r="E14" i="4" l="1"/>
  <c r="F35" i="16"/>
  <c r="F50" i="16" s="1"/>
  <c r="F52" i="16" s="1"/>
  <c r="F38" i="16"/>
  <c r="F60" i="16" s="1"/>
  <c r="F28" i="16"/>
  <c r="G21" i="16"/>
  <c r="G14" i="16"/>
  <c r="G16" i="16" s="1"/>
  <c r="H12" i="16" s="1"/>
  <c r="G22" i="16"/>
  <c r="G24" i="16" l="1"/>
  <c r="G25" i="16"/>
  <c r="F37" i="16"/>
  <c r="F39" i="16" s="1"/>
  <c r="F44" i="16"/>
  <c r="G32" i="16"/>
  <c r="H11" i="16"/>
  <c r="G18" i="16"/>
  <c r="G19" i="16" s="1"/>
  <c r="H10" i="16" s="1"/>
  <c r="H13" i="16" s="1"/>
  <c r="H17" i="16" s="1"/>
  <c r="H27" i="16" s="1"/>
  <c r="G33" i="16"/>
  <c r="G48" i="16" s="1"/>
  <c r="G28" i="16" l="1"/>
  <c r="H14" i="16"/>
  <c r="H16" i="16" s="1"/>
  <c r="I12" i="16" s="1"/>
  <c r="H21" i="16"/>
  <c r="F47" i="16"/>
  <c r="F40" i="16"/>
  <c r="H22" i="16"/>
  <c r="H24" i="16" l="1"/>
  <c r="H25" i="16"/>
  <c r="G31" i="16"/>
  <c r="G34" i="16" s="1"/>
  <c r="G38" i="16" s="1"/>
  <c r="G60" i="16" s="1"/>
  <c r="F55" i="16"/>
  <c r="F56" i="16" s="1"/>
  <c r="H18" i="16"/>
  <c r="H19" i="16" s="1"/>
  <c r="I10" i="16" s="1"/>
  <c r="I13" i="16" s="1"/>
  <c r="I14" i="16" s="1"/>
  <c r="I16" i="16" s="1"/>
  <c r="I11" i="16"/>
  <c r="G42" i="16"/>
  <c r="F58" i="16" l="1"/>
  <c r="F57" i="16"/>
  <c r="G35" i="16"/>
  <c r="G37" i="16" s="1"/>
  <c r="I21" i="16"/>
  <c r="I17" i="16"/>
  <c r="I27" i="16" s="1"/>
  <c r="G44" i="16"/>
  <c r="H32" i="16"/>
  <c r="H28" i="16"/>
  <c r="J12" i="16"/>
  <c r="G50" i="16" l="1"/>
  <c r="G52" i="16" s="1"/>
  <c r="F61" i="16"/>
  <c r="F64" i="16" s="1"/>
  <c r="F11" i="4" s="1"/>
  <c r="F12" i="4" s="1"/>
  <c r="J11" i="16"/>
  <c r="I18" i="16"/>
  <c r="I19" i="16" s="1"/>
  <c r="J10" i="16" s="1"/>
  <c r="J13" i="16" s="1"/>
  <c r="I22" i="16"/>
  <c r="H33" i="16"/>
  <c r="G39" i="16"/>
  <c r="G40" i="16" s="1"/>
  <c r="I25" i="16" l="1"/>
  <c r="I24" i="16"/>
  <c r="F14" i="4"/>
  <c r="H31" i="16"/>
  <c r="G55" i="16"/>
  <c r="G56" i="16" s="1"/>
  <c r="J21" i="16"/>
  <c r="J17" i="16"/>
  <c r="J27" i="16" s="1"/>
  <c r="H34" i="16"/>
  <c r="H42" i="16" s="1"/>
  <c r="J14" i="16"/>
  <c r="G58" i="16" l="1"/>
  <c r="G57" i="16"/>
  <c r="I28" i="16"/>
  <c r="H35" i="16"/>
  <c r="H37" i="16" s="1"/>
  <c r="I33" i="16" s="1"/>
  <c r="J16" i="16"/>
  <c r="L12" i="16" s="1"/>
  <c r="H38" i="16"/>
  <c r="H60" i="16" s="1"/>
  <c r="L11" i="16"/>
  <c r="G61" i="16" l="1"/>
  <c r="G64" i="16" s="1"/>
  <c r="G11" i="4" s="1"/>
  <c r="G12" i="4" s="1"/>
  <c r="H44" i="16"/>
  <c r="I32" i="16"/>
  <c r="J18" i="16"/>
  <c r="J19" i="16" s="1"/>
  <c r="L10" i="16" s="1"/>
  <c r="L13" i="16" s="1"/>
  <c r="L17" i="16" s="1"/>
  <c r="L27" i="16" s="1"/>
  <c r="J22" i="16"/>
  <c r="H39" i="16"/>
  <c r="H40" i="16" s="1"/>
  <c r="J24" i="16" l="1"/>
  <c r="J25" i="16"/>
  <c r="G14" i="4"/>
  <c r="I31" i="16"/>
  <c r="I34" i="16" s="1"/>
  <c r="I38" i="16" s="1"/>
  <c r="H55" i="16"/>
  <c r="H56" i="16" s="1"/>
  <c r="L14" i="16"/>
  <c r="L16" i="16" s="1"/>
  <c r="M12" i="16" s="1"/>
  <c r="L21" i="16"/>
  <c r="H58" i="16" l="1"/>
  <c r="H57" i="16"/>
  <c r="I42" i="16"/>
  <c r="I35" i="16"/>
  <c r="I37" i="16" s="1"/>
  <c r="J33" i="16" s="1"/>
  <c r="J28" i="16"/>
  <c r="L22" i="16"/>
  <c r="M11" i="16"/>
  <c r="L18" i="16"/>
  <c r="L19" i="16" s="1"/>
  <c r="M10" i="16" s="1"/>
  <c r="M13" i="16" s="1"/>
  <c r="J32" i="16"/>
  <c r="I44" i="16"/>
  <c r="H61" i="16" l="1"/>
  <c r="H64" i="16" s="1"/>
  <c r="H11" i="4" s="1"/>
  <c r="L25" i="16"/>
  <c r="L24" i="16"/>
  <c r="I39" i="16"/>
  <c r="I40" i="16" s="1"/>
  <c r="J31" i="16" s="1"/>
  <c r="J34" i="16" s="1"/>
  <c r="J38" i="16" s="1"/>
  <c r="J60" i="16" s="1"/>
  <c r="M21" i="16"/>
  <c r="M17" i="16"/>
  <c r="M27" i="16" s="1"/>
  <c r="M14" i="16"/>
  <c r="H12" i="4" l="1"/>
  <c r="H14" i="4" s="1"/>
  <c r="I55" i="16"/>
  <c r="I56" i="16" s="1"/>
  <c r="J44" i="16"/>
  <c r="J42" i="16"/>
  <c r="J35" i="16"/>
  <c r="J37" i="16" s="1"/>
  <c r="L33" i="16" s="1"/>
  <c r="L28" i="16"/>
  <c r="M16" i="16"/>
  <c r="L32" i="16"/>
  <c r="I57" i="16" l="1"/>
  <c r="I58" i="16"/>
  <c r="J39" i="16"/>
  <c r="J40" i="16" s="1"/>
  <c r="N11" i="16"/>
  <c r="M22" i="16"/>
  <c r="M18" i="16"/>
  <c r="M19" i="16" s="1"/>
  <c r="N10" i="16" s="1"/>
  <c r="N12" i="16"/>
  <c r="I61" i="16" l="1"/>
  <c r="I64" i="16" s="1"/>
  <c r="I11" i="4" s="1"/>
  <c r="M25" i="16"/>
  <c r="M24" i="16"/>
  <c r="L31" i="16"/>
  <c r="L34" i="16" s="1"/>
  <c r="L42" i="16" s="1"/>
  <c r="J55" i="16"/>
  <c r="J56" i="16" s="1"/>
  <c r="N13" i="16"/>
  <c r="I12" i="4" l="1"/>
  <c r="I14" i="4" s="1"/>
  <c r="J58" i="16"/>
  <c r="J57" i="16"/>
  <c r="L38" i="16"/>
  <c r="L35" i="16"/>
  <c r="L37" i="16" s="1"/>
  <c r="M33" i="16" s="1"/>
  <c r="N14" i="16"/>
  <c r="N16" i="16" s="1"/>
  <c r="N17" i="16"/>
  <c r="N27" i="16" s="1"/>
  <c r="N21" i="16"/>
  <c r="M28" i="16"/>
  <c r="M32" i="16" l="1"/>
  <c r="L60" i="16"/>
  <c r="L44" i="16"/>
  <c r="L39" i="16"/>
  <c r="L40" i="16" s="1"/>
  <c r="L55" i="16" s="1"/>
  <c r="L56" i="16" s="1"/>
  <c r="J61" i="16"/>
  <c r="J64" i="16" s="1"/>
  <c r="J11" i="4" s="1"/>
  <c r="O11" i="16"/>
  <c r="N22" i="16"/>
  <c r="O12" i="16"/>
  <c r="N18" i="16"/>
  <c r="N19" i="16" s="1"/>
  <c r="O10" i="16" s="1"/>
  <c r="J12" i="4" l="1"/>
  <c r="J14" i="4" s="1"/>
  <c r="L57" i="16"/>
  <c r="L58" i="16"/>
  <c r="N24" i="16"/>
  <c r="N25" i="16"/>
  <c r="M31" i="16"/>
  <c r="M34" i="16" s="1"/>
  <c r="M38" i="16" s="1"/>
  <c r="M60" i="16" s="1"/>
  <c r="O13" i="16"/>
  <c r="O21" i="16" s="1"/>
  <c r="L61" i="16" l="1"/>
  <c r="L64" i="16" s="1"/>
  <c r="K11" i="4" s="1"/>
  <c r="M42" i="16"/>
  <c r="M35" i="16"/>
  <c r="M37" i="16" s="1"/>
  <c r="N33" i="16" s="1"/>
  <c r="O14" i="16"/>
  <c r="O16" i="16" s="1"/>
  <c r="M44" i="16"/>
  <c r="O17" i="16"/>
  <c r="O27" i="16" s="1"/>
  <c r="N28" i="16"/>
  <c r="N32" i="16"/>
  <c r="K12" i="4" l="1"/>
  <c r="K14" i="4" s="1"/>
  <c r="M39" i="16"/>
  <c r="M40" i="16" s="1"/>
  <c r="N31" i="16" s="1"/>
  <c r="N34" i="16" s="1"/>
  <c r="N35" i="16" s="1"/>
  <c r="N37" i="16" s="1"/>
  <c r="O33" i="16" s="1"/>
  <c r="P11" i="16"/>
  <c r="O22" i="16"/>
  <c r="P12" i="16"/>
  <c r="O18" i="16"/>
  <c r="O19" i="16" s="1"/>
  <c r="P10" i="16" s="1"/>
  <c r="O25" i="16" l="1"/>
  <c r="O24" i="16"/>
  <c r="M55" i="16"/>
  <c r="M56" i="16" s="1"/>
  <c r="M58" i="16" s="1"/>
  <c r="N42" i="16"/>
  <c r="N38" i="16"/>
  <c r="N60" i="16" s="1"/>
  <c r="P13" i="16"/>
  <c r="P14" i="16" s="1"/>
  <c r="M57" i="16" l="1"/>
  <c r="M61" i="16" s="1"/>
  <c r="M64" i="16" s="1"/>
  <c r="L11" i="4" s="1"/>
  <c r="N44" i="16"/>
  <c r="N39" i="16"/>
  <c r="N40" i="16" s="1"/>
  <c r="N55" i="16" s="1"/>
  <c r="N56" i="16" s="1"/>
  <c r="O32" i="16"/>
  <c r="P21" i="16"/>
  <c r="P17" i="16"/>
  <c r="P27" i="16" s="1"/>
  <c r="O28" i="16"/>
  <c r="P16" i="16"/>
  <c r="L12" i="4" l="1"/>
  <c r="L14" i="4" s="1"/>
  <c r="N57" i="16"/>
  <c r="N58" i="16"/>
  <c r="O31" i="16"/>
  <c r="O34" i="16" s="1"/>
  <c r="O35" i="16" s="1"/>
  <c r="O37" i="16" s="1"/>
  <c r="P33" i="16" s="1"/>
  <c r="P22" i="16"/>
  <c r="Q11" i="16"/>
  <c r="Q12" i="16"/>
  <c r="P18" i="16"/>
  <c r="P19" i="16" s="1"/>
  <c r="Q10" i="16" s="1"/>
  <c r="P25" i="16" l="1"/>
  <c r="P24" i="16"/>
  <c r="O42" i="16"/>
  <c r="O38" i="16"/>
  <c r="N61" i="16"/>
  <c r="N64" i="16" s="1"/>
  <c r="M11" i="4" s="1"/>
  <c r="Q13" i="16"/>
  <c r="Q21" i="16" s="1"/>
  <c r="M12" i="4" l="1"/>
  <c r="M14" i="4" s="1"/>
  <c r="P32" i="16"/>
  <c r="O60" i="16"/>
  <c r="O44" i="16"/>
  <c r="O39" i="16"/>
  <c r="O40" i="16" s="1"/>
  <c r="Q14" i="16"/>
  <c r="Q16" i="16" s="1"/>
  <c r="Q17" i="16"/>
  <c r="Q27" i="16" s="1"/>
  <c r="P28" i="16"/>
  <c r="P31" i="16" l="1"/>
  <c r="P34" i="16" s="1"/>
  <c r="O55" i="16"/>
  <c r="O56" i="16" s="1"/>
  <c r="Q22" i="16"/>
  <c r="R11" i="16"/>
  <c r="R12" i="16"/>
  <c r="Q18" i="16"/>
  <c r="Q19" i="16" s="1"/>
  <c r="R10" i="16" s="1"/>
  <c r="Q24" i="16" l="1"/>
  <c r="Q25" i="16"/>
  <c r="O57" i="16"/>
  <c r="O58" i="16"/>
  <c r="P42" i="16"/>
  <c r="P35" i="16"/>
  <c r="P37" i="16" s="1"/>
  <c r="P38" i="16"/>
  <c r="P60" i="16" s="1"/>
  <c r="R13" i="16"/>
  <c r="R14" i="16" s="1"/>
  <c r="Q32" i="16" l="1"/>
  <c r="P44" i="16"/>
  <c r="O61" i="16"/>
  <c r="O64" i="16" s="1"/>
  <c r="N11" i="4" s="1"/>
  <c r="Q33" i="16"/>
  <c r="P39" i="16"/>
  <c r="P40" i="16" s="1"/>
  <c r="R21" i="16"/>
  <c r="R17" i="16"/>
  <c r="R27" i="16" s="1"/>
  <c r="Q28" i="16"/>
  <c r="R16" i="16"/>
  <c r="N12" i="4" l="1"/>
  <c r="N14" i="4" s="1"/>
  <c r="Q31" i="16"/>
  <c r="Q34" i="16" s="1"/>
  <c r="Q35" i="16" s="1"/>
  <c r="Q37" i="16" s="1"/>
  <c r="P55" i="16"/>
  <c r="P56" i="16" s="1"/>
  <c r="R22" i="16"/>
  <c r="S11" i="16"/>
  <c r="S12" i="16"/>
  <c r="R18" i="16"/>
  <c r="R19" i="16" s="1"/>
  <c r="S10" i="16" s="1"/>
  <c r="R24" i="16" l="1"/>
  <c r="R25" i="16"/>
  <c r="P57" i="16"/>
  <c r="P58" i="16"/>
  <c r="R33" i="16"/>
  <c r="Q38" i="16"/>
  <c r="Q42" i="16"/>
  <c r="S13" i="16"/>
  <c r="S21" i="16" s="1"/>
  <c r="Q39" i="16" l="1"/>
  <c r="Q40" i="16" s="1"/>
  <c r="R31" i="16" s="1"/>
  <c r="R34" i="16" s="1"/>
  <c r="R35" i="16" s="1"/>
  <c r="R37" i="16" s="1"/>
  <c r="Q60" i="16"/>
  <c r="P61" i="16"/>
  <c r="P64" i="16" s="1"/>
  <c r="O11" i="4" s="1"/>
  <c r="R32" i="16"/>
  <c r="Q44" i="16"/>
  <c r="S14" i="16"/>
  <c r="S16" i="16" s="1"/>
  <c r="S17" i="16"/>
  <c r="S27" i="16" s="1"/>
  <c r="R28" i="16"/>
  <c r="O12" i="4" l="1"/>
  <c r="O14" i="4" s="1"/>
  <c r="Q55" i="16"/>
  <c r="Q56" i="16" s="1"/>
  <c r="Q58" i="16" s="1"/>
  <c r="R38" i="16"/>
  <c r="R42" i="16"/>
  <c r="S33" i="16"/>
  <c r="T11" i="16"/>
  <c r="S22" i="16"/>
  <c r="T12" i="16"/>
  <c r="S18" i="16"/>
  <c r="S19" i="16" s="1"/>
  <c r="T10" i="16" s="1"/>
  <c r="Q57" i="16" l="1"/>
  <c r="Q61" i="16" s="1"/>
  <c r="Q64" i="16" s="1"/>
  <c r="P11" i="4" s="1"/>
  <c r="S24" i="16"/>
  <c r="S25" i="16"/>
  <c r="R39" i="16"/>
  <c r="R40" i="16" s="1"/>
  <c r="S31" i="16" s="1"/>
  <c r="S34" i="16" s="1"/>
  <c r="S42" i="16" s="1"/>
  <c r="R60" i="16"/>
  <c r="S32" i="16"/>
  <c r="R44" i="16"/>
  <c r="T13" i="16"/>
  <c r="T14" i="16" s="1"/>
  <c r="P12" i="4" l="1"/>
  <c r="P14" i="4" s="1"/>
  <c r="R55" i="16"/>
  <c r="R56" i="16" s="1"/>
  <c r="R58" i="16" s="1"/>
  <c r="S35" i="16"/>
  <c r="S37" i="16" s="1"/>
  <c r="T33" i="16" s="1"/>
  <c r="S38" i="16"/>
  <c r="S60" i="16" s="1"/>
  <c r="T21" i="16"/>
  <c r="T17" i="16"/>
  <c r="T27" i="16" s="1"/>
  <c r="S28" i="16"/>
  <c r="T16" i="16"/>
  <c r="R57" i="16" l="1"/>
  <c r="R61" i="16" s="1"/>
  <c r="R64" i="16" s="1"/>
  <c r="Q11" i="4" s="1"/>
  <c r="S39" i="16"/>
  <c r="S40" i="16" s="1"/>
  <c r="S55" i="16" s="1"/>
  <c r="S56" i="16" s="1"/>
  <c r="T32" i="16"/>
  <c r="S44" i="16"/>
  <c r="U12" i="16"/>
  <c r="T18" i="16"/>
  <c r="T19" i="16" s="1"/>
  <c r="U10" i="16" s="1"/>
  <c r="U11" i="16"/>
  <c r="T22" i="16"/>
  <c r="Q12" i="4" l="1"/>
  <c r="Q14" i="4" s="1"/>
  <c r="T24" i="16"/>
  <c r="T25" i="16"/>
  <c r="S58" i="16"/>
  <c r="S57" i="16"/>
  <c r="T31" i="16"/>
  <c r="T34" i="16" s="1"/>
  <c r="T35" i="16" s="1"/>
  <c r="T37" i="16" s="1"/>
  <c r="U13" i="16"/>
  <c r="U14" i="16" s="1"/>
  <c r="T38" i="16" l="1"/>
  <c r="T60" i="16" s="1"/>
  <c r="T42" i="16"/>
  <c r="U33" i="16"/>
  <c r="S61" i="16"/>
  <c r="S64" i="16" s="1"/>
  <c r="R11" i="4" s="1"/>
  <c r="U21" i="16"/>
  <c r="U17" i="16"/>
  <c r="U27" i="16" s="1"/>
  <c r="T28" i="16"/>
  <c r="U16" i="16"/>
  <c r="R12" i="4" l="1"/>
  <c r="R14" i="4" s="1"/>
  <c r="U32" i="16"/>
  <c r="T39" i="16"/>
  <c r="T40" i="16" s="1"/>
  <c r="T55" i="16" s="1"/>
  <c r="T56" i="16" s="1"/>
  <c r="T44" i="16"/>
  <c r="V11" i="16"/>
  <c r="U22" i="16"/>
  <c r="V12" i="16"/>
  <c r="U18" i="16"/>
  <c r="U19" i="16" s="1"/>
  <c r="V10" i="16" s="1"/>
  <c r="T58" i="16" l="1"/>
  <c r="T57" i="16"/>
  <c r="U24" i="16"/>
  <c r="U25" i="16"/>
  <c r="U31" i="16"/>
  <c r="U34" i="16" s="1"/>
  <c r="U35" i="16" s="1"/>
  <c r="U37" i="16" s="1"/>
  <c r="V33" i="16" s="1"/>
  <c r="V13" i="16"/>
  <c r="V14" i="16" s="1"/>
  <c r="U42" i="16" l="1"/>
  <c r="U38" i="16"/>
  <c r="T61" i="16"/>
  <c r="T64" i="16" s="1"/>
  <c r="S11" i="4" s="1"/>
  <c r="U28" i="16"/>
  <c r="V21" i="16"/>
  <c r="V17" i="16"/>
  <c r="V27" i="16" s="1"/>
  <c r="V16" i="16"/>
  <c r="S12" i="4" l="1"/>
  <c r="S14" i="4" s="1"/>
  <c r="V32" i="16"/>
  <c r="U60" i="16"/>
  <c r="U39" i="16"/>
  <c r="U40" i="16" s="1"/>
  <c r="V31" i="16" s="1"/>
  <c r="V34" i="16" s="1"/>
  <c r="U44" i="16"/>
  <c r="W12" i="16"/>
  <c r="V18" i="16"/>
  <c r="V19" i="16" s="1"/>
  <c r="W10" i="16" s="1"/>
  <c r="W11" i="16"/>
  <c r="V22" i="16"/>
  <c r="V24" i="16" l="1"/>
  <c r="V25" i="16"/>
  <c r="U55" i="16"/>
  <c r="U56" i="16" s="1"/>
  <c r="V42" i="16"/>
  <c r="V38" i="16"/>
  <c r="V60" i="16" s="1"/>
  <c r="V35" i="16"/>
  <c r="V37" i="16" s="1"/>
  <c r="W13" i="16"/>
  <c r="W14" i="16" s="1"/>
  <c r="U58" i="16" l="1"/>
  <c r="U57" i="16"/>
  <c r="V39" i="16"/>
  <c r="V40" i="16" s="1"/>
  <c r="W33" i="16"/>
  <c r="W32" i="16"/>
  <c r="V44" i="16"/>
  <c r="W21" i="16"/>
  <c r="W17" i="16"/>
  <c r="W27" i="16" s="1"/>
  <c r="V28" i="16"/>
  <c r="W16" i="16"/>
  <c r="U61" i="16" l="1"/>
  <c r="U64" i="16" s="1"/>
  <c r="T11" i="4" s="1"/>
  <c r="W31" i="16"/>
  <c r="W34" i="16" s="1"/>
  <c r="V55" i="16"/>
  <c r="V56" i="16" s="1"/>
  <c r="W22" i="16"/>
  <c r="W18" i="16"/>
  <c r="W19" i="16" s="1"/>
  <c r="T12" i="4" l="1"/>
  <c r="T14" i="4" s="1"/>
  <c r="V58" i="16"/>
  <c r="V57" i="16"/>
  <c r="W24" i="16"/>
  <c r="W25" i="16"/>
  <c r="W35" i="16"/>
  <c r="W37" i="16" s="1"/>
  <c r="W42" i="16"/>
  <c r="W38" i="16"/>
  <c r="W60" i="16" s="1"/>
  <c r="V61" i="16" l="1"/>
  <c r="V64" i="16" s="1"/>
  <c r="U11" i="4" s="1"/>
  <c r="W44" i="16"/>
  <c r="W39" i="16"/>
  <c r="W40" i="16" s="1"/>
  <c r="W55" i="16" s="1"/>
  <c r="W56" i="16" s="1"/>
  <c r="W28" i="16"/>
  <c r="U12" i="4" l="1"/>
  <c r="U14" i="4" s="1"/>
  <c r="W58" i="16"/>
  <c r="W57" i="16"/>
  <c r="E5" i="3"/>
  <c r="F5" i="3" s="1"/>
  <c r="G5" i="3" s="1"/>
  <c r="H5" i="3" s="1"/>
  <c r="I5" i="3" s="1"/>
  <c r="J5" i="3" s="1"/>
  <c r="K5" i="3" s="1"/>
  <c r="L5" i="3" s="1"/>
  <c r="M5" i="3" s="1"/>
  <c r="N5" i="3" s="1"/>
  <c r="O5" i="3" s="1"/>
  <c r="P5" i="3" s="1"/>
  <c r="Q5" i="3" s="1"/>
  <c r="R5" i="3" s="1"/>
  <c r="S5" i="3" s="1"/>
  <c r="T5" i="3" s="1"/>
  <c r="U5" i="3" s="1"/>
  <c r="V5" i="3" s="1"/>
  <c r="W61" i="16" l="1"/>
  <c r="W64" i="16" s="1"/>
  <c r="V11" i="4" s="1"/>
  <c r="V12" i="4" s="1"/>
  <c r="D26" i="25" s="1"/>
  <c r="B30" i="4" l="1"/>
  <c r="D10" i="26" s="1"/>
  <c r="B17" i="4"/>
  <c r="B24" i="4"/>
  <c r="D29" i="26" l="1"/>
  <c r="F24" i="26"/>
  <c r="G24" i="26"/>
  <c r="H24" i="26"/>
  <c r="I24" i="26"/>
  <c r="V14" i="4"/>
  <c r="C15" i="13" s="1"/>
  <c r="B16" i="4" s="1"/>
  <c r="D19" i="25" s="1"/>
  <c r="B27" i="4"/>
  <c r="B26" i="4"/>
  <c r="G23" i="25" l="1"/>
  <c r="D9" i="26"/>
  <c r="H25" i="26"/>
  <c r="H29" i="26"/>
  <c r="F29" i="26"/>
  <c r="F25" i="26"/>
  <c r="I29" i="26"/>
  <c r="I25" i="26"/>
  <c r="G29" i="26"/>
  <c r="G25" i="26"/>
  <c r="D24" i="26"/>
  <c r="B28" i="4"/>
  <c r="D25" i="26" l="1"/>
</calcChain>
</file>

<file path=xl/comments1.xml><?xml version="1.0" encoding="utf-8"?>
<comments xmlns="http://schemas.openxmlformats.org/spreadsheetml/2006/main">
  <authors>
    <author>derenb</author>
  </authors>
  <commentList>
    <comment ref="A38" authorId="0">
      <text>
        <r>
          <rPr>
            <b/>
            <sz val="8"/>
            <color indexed="81"/>
            <rFont val="Tahoma"/>
            <family val="2"/>
          </rPr>
          <t>derenb:</t>
        </r>
        <r>
          <rPr>
            <sz val="8"/>
            <color indexed="81"/>
            <rFont val="Tahoma"/>
            <family val="2"/>
          </rPr>
          <t xml:space="preserve">
Excluding replantings
</t>
        </r>
      </text>
    </comment>
    <comment ref="A44" authorId="0">
      <text>
        <r>
          <rPr>
            <b/>
            <sz val="8"/>
            <color indexed="81"/>
            <rFont val="Tahoma"/>
            <family val="2"/>
          </rPr>
          <t>derenb:</t>
        </r>
        <r>
          <rPr>
            <sz val="8"/>
            <color indexed="81"/>
            <rFont val="Tahoma"/>
            <family val="2"/>
          </rPr>
          <t xml:space="preserve">
NB: natural attrition has not been taken into account</t>
        </r>
      </text>
    </comment>
  </commentList>
</comments>
</file>

<file path=xl/comments2.xml><?xml version="1.0" encoding="utf-8"?>
<comments xmlns="http://schemas.openxmlformats.org/spreadsheetml/2006/main">
  <authors>
    <author>user</author>
  </authors>
  <commentList>
    <comment ref="V3" authorId="0">
      <text>
        <r>
          <rPr>
            <b/>
            <sz val="9"/>
            <color indexed="81"/>
            <rFont val="Tahoma"/>
            <family val="2"/>
          </rPr>
          <t>user:</t>
        </r>
        <r>
          <rPr>
            <sz val="9"/>
            <color indexed="81"/>
            <rFont val="Tahoma"/>
            <family val="2"/>
          </rPr>
          <t xml:space="preserve">
Inclusao do retirado pelo abate de entao ate a data.
</t>
        </r>
      </text>
    </comment>
    <comment ref="AD3" authorId="0">
      <text>
        <r>
          <rPr>
            <b/>
            <sz val="9"/>
            <color indexed="81"/>
            <rFont val="Tahoma"/>
            <family val="2"/>
          </rPr>
          <t>user:</t>
        </r>
        <r>
          <rPr>
            <sz val="9"/>
            <color indexed="81"/>
            <rFont val="Tahoma"/>
            <family val="2"/>
          </rPr>
          <t xml:space="preserve">
Inclusao do retirado pelo abate de entao ate a data.
</t>
        </r>
      </text>
    </comment>
    <comment ref="H55" authorId="0">
      <text>
        <r>
          <rPr>
            <b/>
            <sz val="9"/>
            <color indexed="81"/>
            <rFont val="Tahoma"/>
            <family val="2"/>
          </rPr>
          <t>user:</t>
        </r>
        <r>
          <rPr>
            <sz val="9"/>
            <color indexed="81"/>
            <rFont val="Tahoma"/>
            <family val="2"/>
          </rPr>
          <t xml:space="preserve">
Esxclui 979(Mucupia e Gonhane)</t>
        </r>
      </text>
    </comment>
  </commentList>
</comments>
</file>

<file path=xl/sharedStrings.xml><?xml version="1.0" encoding="utf-8"?>
<sst xmlns="http://schemas.openxmlformats.org/spreadsheetml/2006/main" count="822" uniqueCount="509">
  <si>
    <t>Value</t>
  </si>
  <si>
    <t>Number of coconut fruits per tree per year</t>
  </si>
  <si>
    <t>Number of coconut fruits required for 1 kg of copra</t>
  </si>
  <si>
    <t>Price of green copra per kilogram (MTn)</t>
  </si>
  <si>
    <t>Year</t>
  </si>
  <si>
    <t>Price per coconut (MTn)</t>
  </si>
  <si>
    <t>Copra</t>
  </si>
  <si>
    <t>Coconut use (percent)</t>
  </si>
  <si>
    <t>coconut itself</t>
  </si>
  <si>
    <t>Project</t>
  </si>
  <si>
    <t>Coconut sales / consumption</t>
  </si>
  <si>
    <t>Value added products</t>
  </si>
  <si>
    <t>Green Copra sales</t>
  </si>
  <si>
    <t>Intercropping</t>
  </si>
  <si>
    <t>ERR</t>
  </si>
  <si>
    <t>Cost Stream</t>
  </si>
  <si>
    <t>Net Benefits</t>
  </si>
  <si>
    <t>ERR: 20 years</t>
  </si>
  <si>
    <t># leaves dropped by tree per yr</t>
  </si>
  <si>
    <t># leaves needed per mat</t>
  </si>
  <si>
    <t>Price per mat MTn</t>
  </si>
  <si>
    <t>Groundnut</t>
  </si>
  <si>
    <t>Cowpea</t>
  </si>
  <si>
    <t>Net income ha Groundnut</t>
  </si>
  <si>
    <t>Net income ha Cowpea</t>
  </si>
  <si>
    <t>Total intercropping</t>
  </si>
  <si>
    <t>Cumulative seedlings replaced</t>
  </si>
  <si>
    <t>Cumulative coconuts fruits as result of seedlings replaced</t>
  </si>
  <si>
    <t>Note: Seedlings experince 7 yrs lag to produce coconut fruit</t>
  </si>
  <si>
    <t>Difference of all benefits stream</t>
  </si>
  <si>
    <t>Small &amp; Medium Holders</t>
  </si>
  <si>
    <t>WITH PROJECT</t>
  </si>
  <si>
    <t>Total smallholder income from just coconuts</t>
  </si>
  <si>
    <t>Total smallholder income from all beneficiary streams</t>
  </si>
  <si>
    <t>Percent ha as Groundnut - amendoim</t>
  </si>
  <si>
    <t>Percent ha as sesame - gergelim</t>
  </si>
  <si>
    <t>Percent ha as Cowpea -  f. Nhemba</t>
  </si>
  <si>
    <t>Net income ha Sesame</t>
  </si>
  <si>
    <t>kg/ha</t>
  </si>
  <si>
    <t>Pigeon Pea</t>
  </si>
  <si>
    <t>Net income ha  Pigeon Pea</t>
  </si>
  <si>
    <t>Percent ha as Pigeon Pea</t>
  </si>
  <si>
    <t>Yield</t>
  </si>
  <si>
    <t>Net income</t>
  </si>
  <si>
    <t xml:space="preserve">Gross income </t>
  </si>
  <si>
    <t>Price</t>
  </si>
  <si>
    <t xml:space="preserve"> </t>
  </si>
  <si>
    <t>First seedlings bear fruit</t>
  </si>
  <si>
    <t>Second seedlings  bear fruit</t>
  </si>
  <si>
    <t>Third  seedlings bear fruit</t>
  </si>
  <si>
    <t>Fourth seedlings  bear fruit</t>
  </si>
  <si>
    <t>Mats</t>
  </si>
  <si>
    <t>Assumptions</t>
  </si>
  <si>
    <t>Unit</t>
  </si>
  <si>
    <t>Number of trees per hectare</t>
  </si>
  <si>
    <t>Intercropping coverage rate starting point</t>
  </si>
  <si>
    <t>Intercropping coverage drop off rate</t>
  </si>
  <si>
    <t>Year coconut tree begins production</t>
  </si>
  <si>
    <t>number</t>
  </si>
  <si>
    <t>Number of coconut fruits per tree per year  - with project</t>
  </si>
  <si>
    <t>Number seedlings replaced yr 2</t>
  </si>
  <si>
    <t>Number seedlings replaced yr 3</t>
  </si>
  <si>
    <t>Number seedlings replaced yr 4</t>
  </si>
  <si>
    <t>Number seedlings replaced yr 5</t>
  </si>
  <si>
    <t>Seedling Survival Rate</t>
  </si>
  <si>
    <t>percent</t>
  </si>
  <si>
    <t>MTn</t>
  </si>
  <si>
    <t>Number of estates trees</t>
  </si>
  <si>
    <t>milk</t>
  </si>
  <si>
    <t>WITHOUT PROJECT</t>
  </si>
  <si>
    <t>Number of coconuts in producing region</t>
  </si>
  <si>
    <t>Income from coconut sales / consumption</t>
  </si>
  <si>
    <t>mats</t>
  </si>
  <si>
    <t>Total income from coconuts without intervention</t>
  </si>
  <si>
    <t>First seedlings begin to bear fruit</t>
  </si>
  <si>
    <t>Second seedlings begin to bear fruit</t>
  </si>
  <si>
    <t>Third seedlings begin to bear fruit</t>
  </si>
  <si>
    <t>Fourth  seedlings begin to bear fruit</t>
  </si>
  <si>
    <t>Total  income from  coconuts</t>
  </si>
  <si>
    <t>Total Benefits from Project</t>
  </si>
  <si>
    <t>Epidemic Benefits</t>
  </si>
  <si>
    <t>Endemic Benefits</t>
  </si>
  <si>
    <t>Total Benefits</t>
  </si>
  <si>
    <t xml:space="preserve">  </t>
  </si>
  <si>
    <t>Mtn</t>
  </si>
  <si>
    <t>Mtnn</t>
  </si>
  <si>
    <t>Benefit source toggle</t>
  </si>
  <si>
    <t>Project Year</t>
  </si>
  <si>
    <t>Calendar Year</t>
  </si>
  <si>
    <t>Total Input Costs</t>
  </si>
  <si>
    <t>Sesame</t>
  </si>
  <si>
    <t>Survival Rate</t>
  </si>
  <si>
    <t>Request</t>
  </si>
  <si>
    <t>consumption for farmers with no profit.</t>
  </si>
  <si>
    <t>actual YR 4</t>
  </si>
  <si>
    <t>Percent of seedling beneficiaries trained in alternative crops</t>
  </si>
  <si>
    <t>beneficiary families</t>
  </si>
  <si>
    <t>trees per family</t>
  </si>
  <si>
    <t>Cumulative number ha intercropped yrs 2 to 5</t>
  </si>
  <si>
    <t>Coconut Seedling Survival Rate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</si>
  <si>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</si>
  <si>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</si>
  <si>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</si>
  <si>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</si>
  <si>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</si>
  <si>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</si>
  <si>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</si>
  <si>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</si>
  <si>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</si>
  <si>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</si>
  <si>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</si>
  <si>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</si>
  <si>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a18fb984-fc8e-4966-a413-37e9f9d87589</t>
  </si>
  <si>
    <t>CB_Block_0</t>
  </si>
  <si>
    <t>㜸〱敤㕣㕢㙣ㅣ㔷ㄹ摥㌳摥㔹敦慣敤搸㡤搳㑢㑡㘹㑤㐳㈹搴挱㡤搳㠶㔲㈰〴㕦㥡㑢㜱㘲㌷㜶㔲㄰㔴㥢昱敥㤹㜸㥡㥤ㄹ㜷㘶搶㠹㑢愵㐶㔰㙥攲㈶㤵㙢愱㕣㔴愰ㄲ㉦㕣㕥戸扦㈰㈱㠱㔰㤱㜸〰〹㈴ㅥち㐲㠰〰愱㐸扣昰㠰〴摦㜷㘶㘶㜷㜶搷㍢㜶户㉤戸挸㈷摤摦㘷捥㙤捥㌹晦昵晣晦㤹收㐴㉥㤷晢㌷ㄲ晦㌲攵㤹戹㘱㜱㍤〸愵㌳㌱攳搵㙡戲ㄲ摡㥥ㅢ㑣㑣昹扥戹㍥㘷〷㘱ㅦㅡㄴ捡㌶敡〳扤ㅣ搸て换㘲㜹㑤晡〱ㅡ改戹㕣戱㘸㘸愸攷㈰晣㡤㈴て〶㝢つ收〱㤶㘶愶攷㤷ㅦ挴愸㡢愱攷换晤㘳㘷愳扥㠷㈷㈷㈷㈶㈷づ摥㝤昰㜵ㄳ〷昶㡦捤搴㙢㘱摤㤷㠷㕤㔹て㝤戳戶㝦㙣愱扥㕣戳㉢㙦㤵敢㑢摥〵改ㅥ㤶换〷敥㔸㌶敦㝣晤攴㥤㠷づ㔹㜷摦晤晡㐱扣㍡㜷㙡㘶㝡挱㤷㔶昰〲㡤愹㜳捡㜷捥捡㡡捤戵㐹改摢敥昹㠹㤹㘹晣㤷㥡㍦㥥敥㥡㔸㕣㤱㌲攴慢愵㉦摤㡡っっ㜴ㅣ㜰愶㠲愰敥慣㜲昳っ攷㈸㤶㕡㌱㠳㔰㜷㘶㘴慤㘶㌸挹愸㐵㘷ㅥ㝢㔷㌳搷〷㥤㐵改〶㜶㘸慦搹攱㝡挱㔹挲㐰搵㈱攷㑣㈰㑦㥢敥㜹㜹捡㜴愴敥ㅣ慢摢搵㝣㤴㜲㝤户㈶㐳愴㈷愶㤶㍦㌱ㄵ㌸㌳㉢愶慦㘶ㄴ㜰㘳㌲摡ㅥ昵㉢慤㙤昷㜵ㅦ㤷㔳㔷㙦攰㤸户㜴㙦㠷㥡戳愶摦㘸㌹摥扤㘵扣昸搶ㄹ摣摥扤㝤㙡㡦㕡晢扣愶㝢ㅦ戵㤵慤慤挵㐰㑣摦㙡㐷戱ㄸ愳㐰搰㑦㔰㈴㈰〲㡤ㄲ挱〰挱㈰㠰挸晦〳㕣㤲敥挸㉡慤㙣㙡攵㘵慤㕣搱捡㔵慤㉣戵戲愵㤵捦㙢攵ㄵ慤㙣㙢攵〷戵昲〵戴㐹㔲戱扦㕦㡢搳㌷摦㔸㝦攰㉦㕦晥昵㕢㍥㝤昹㠱愷搷昶㝤昵捦㠳扢搰攸扥㜸㔲戳扥㜹ㄱ愴搶愴攲㠳ㄳ〷昸㙦㜳慥〰㔳㔸㠷慣扢慣挹挹敡愱〳收ㅤ愶捥㘵㘵㈰扦㠵㔰㐶搰㜶搰扡摦㜶慢摥㐵㠵扢ㅢ愶捤㐰㌶㌷㙥㍣慥㥢昶敡㙥㌵㜸搹挶㤵㡢愱ㄹ捡敢摢敢㥡㠳㜴㜴㕢〴㕢挹㐰扤敦挶昶㙥㘷捤㕡㕤㑥㕤戲愳敡㤷户㔵㍢ぢ扥户摣扤昶愸㉦ㅦ㙡搴㜶捣㘸ち㐲㙤㑤㡤摤戱捡愸㉡㥡搷搸捣㡡ㄷ㐸㔷㑤㙦摣㔹戰㉢ㄷ愴扦㈸㈹ㄲ㘵㔵㉤昵㙡㔶挵㕣㍦㍥敦㘲愱攰搶敡捤改㔲敢㥥㑢㈱㤸㔹㔶㌱摦㔵改㠷敢㑢收㜲㑤㕥搳搲㈴㝡㈷㉡昶戶ㄴㅦ昵㉡昵㘰挶㜳㐳摦慢戵搶㑣㔵搷㑣㐸㥡敡㐹慦㉡昳昹㥣ㄲち㄰戸㝤㝤㐲攴㙥敢捥ぢちㄱ㈹ㄴ㤳㤱慦㙢㈵扢㠹搳㔸ㅤ㔶㔱㤳愴㐹敤㤵㥢っ挶昹㉡ㄹ㤳挱㠱愹㌵㔱㝦昰愵慦摥㘴搸〶收㕥摣挶㥡㌶ㅡ慦晥㥥㌵改㠶挷㑤户㕡㤳㝥愶昶ㄳ㥣㤱㌱っ愰㕦㠱㐰攸扡㝢㔴㜵攲㤲㔸搷㉦摡搵㜰愵戰㈲敤昳㉢㈱捡愰㈱㡢㐵㙥㙤㐷㌲慥㐲㤱戱㥢㘰ㄴ愰㔴捡ㄵ昶戰㔱愱㠴㤴搳㈹㥤㌲㜸戹㐵㤰戳㕦ぢ㉦て㕡㐷敤㕡㈸㈳愱㍣㙣〱㈳㤱㔶㔳攸ㅢ㈲㠹晡㘶㈵㔲ㄸ㝢慣ㄹ㔰愹㘹扢攱㝡㤳㙦㍢戸㈴㈲愲ㅤ㔹戰敤㘴〱㐵㐱慢㍣挸攰㌵㄰㑤㥢㌴挸㙥㥣㈲㈲戲㐱㠶㘶挷挸慤㐴挶昶ㄹ㌲〲敤搳㐴挸搶〷扡换〸ㄲ㝢㈷㤱戲㔳㔷㝥摣㤱㘶ㅢ搹昲㤱㌴扢ㅡㅢ㘷㕣㐳㜰㉤挱㜵〴㝢〱挴ㅦ㈱攱㈸攵㤰㙦㑤挶换昰㙣摣㐰昰㜲〰挸㈷㠳㌲㈷ㄶ㔵戴愱戶㘲㐷戲摤㄰散㘴㘵ㄴ㐷愲㠸㤶㜱挳捥ㅣ㜲ㄴ愲㘳慢㜳㝢攸摡扣搲戱慦敡㑥㥢改攵㤰㈲㌳㥡愶搷扡㐹搳昴㐶戰㘹㡦㝡敢㈶㜴㌵挶〸㕥〱㔰㌲㙥㈶㠴㜲愱挱扢㌵㡢㥥㈶攵㑢挲㉣㡡㡣愱ㅥㄵ㝣㑣挸㍣〲㘴〸戹㡥攳换㡥つ㑤㜳㜰摣㝡挹摢搰晢扢昳㜷㡣昴㌶扤戹愳㜷攸㉦㝡㡥㔶昴㍥戰㤷昸㙤㔷ㅤ㜳ぢ慡㡤㔷ㄱ摣ち搰愶㘳㜸晡㝥慥㥥〲㘵ㄶ㍢㈹捣敤愶搷㐵㔹戹㑢敢慢㔲㘹愰㐱㙢挹昴捦换㄰ㅥ㡣ㄳ戳戰㠵㍤摦㤷㌵ㅣ㙡慢慡㠰攷㤷㙢㕢ぢ㠳愳扥攷戰㝣挷㐶づ㕥ㄲ㡡㈱㥦搷晡㜲㙤㌶㜲㠶慤㤹昲㌹愵㈸㠷㍡昸㡥敥㐲㈲搵愹㤵扣搸㉦晢㝣戹㈳㐹㝡㤰㈴慦挱戶ㅡ户〱㐰㑡㠸㕦㜵㤵㈸晢搹散戵慡㔹慢挵㑡て㕦挶改愴捤㠷搸㈱㐷〶㈲㠷敤㌴晣〷挱㤰戳㘸㍢つ㘱㌱攰㉣㐸扦〲摦㠲㕤㤳愵挸㉤㑢㔱戳㈳㉢㕥㈲戲愲慦慦攳㍣㥤攱㕦㔳㜴搲㈶㈵㌲戹㍤戳㌲攳㉣摥㈴㉡扡㈱㈹㔴㌲㕣㐳つ〹㐴捡㘳摢ㅤㄱ搳㠳㠸戹ㅤㅢ㘷ㅣ㈰㤸㈴㌸〸愰晦ㅣ㤲㘶慢ㅢ捦㜰㔸晦ㅡ㕤摡攵㜲慥㐸㌴㈸ㄷ攱㌳㕤㠵搵㈱扥收㜵〴㜷〱戴㤹㍦㜴㐰㘶㄰愲㐲㜹㡡㄰㔵ㄸ挳㍡㙢换㡢愴㠱㕤ㄶ〲㑢㌳昵㈰昴ㅣ㐶㤶㠶慣㔹敦㤴ㄷ捥摡挱㉡㈲㔱愳㔶㥣戹㝦㐵扡愰㉥ㅦ戶㑦㕢㤹户扡㉡慢㠶戵攸搵㈱摡㑥捣㙥㠷㠳㌹戶〳戶愴㍡㥢㙢〲愹户昳㌱㠶㄰搸㘹攵㙦愵㌷㜶㑢摥㙦ㅥ晡㠶㥢㍢扡㘴㠷㌵㌹㘰㐵㑣挷㝣搱挲㉥㈲㜲㔰敤户㤶㔶㝣㈹㘷㠷慣㘳扥㕤慤搹慥㈴㌲㘰㘳㌲㔸㌷㈷捦㈳㑡戰攰㌱〶攸戹㐳搶㤲㙦扡挱慡挹㠰攲晡敥㤶㈷ㄵㄶ搱慤㘹摢つ昰ㅡ㠵㐵收㠷慤挵ㄵ敦㈲㈲戶㜵挷㍤㘶慥〶摢〲㉢㈴晡㈸㈹搴〸㑤㘸㥡㈸㙡挵㕥昱挳〳㜹㉥㐷摥换ㄳ㈸㕣攵㜴晡捣㌳戴㌷敤晡㌸㐶㐳㍢㥤㜳ㅡ㐴昴愸㔱搸㤷㈹㠵挹愹挶摤散昳〶㠰㝢㡦㥤㌹搱㡣捣㍤慦㤸戵㑥㉦㝦㠶㡣㔷㘴搱〸㠴搰㐷户㉢㈲ㄵ㤶㤱㜲挰㠱挰㌸㥦摡挹慦㘴愹㌶愴扥㕤捤散㔱㐴㤲〶慤㌹㜳㔹搶㄰㡦㜶捣㜰㔷昴㐰㌳搶㌱㙢㐱㕣㌷攳㌹㡥㐹搲㈲㔹㉥㔶㑣㔲昰㔴㍤昴㑥摡慥㘱〱㈸晡㡢㡢捣㑢㈸㌲㉦愹愲㐱敢㌴㐳㠳㉡捦戱扣昳愶㙦㠷㉢㡥㕤㈹昲㠱攱扢㙤㐱㤳㘰㜲㑡摥㈴㈵㌲㘳慣捤㥡㍦〳㤳㉤㤸〰扡㈷㈰㐷戹㜵㐴㍦㈸㔷ㄳ〵晣ㄳ㍤㍡㤶㈰㘰㤴愷搴㜸ㄳ㐶搳搵敤〸㠸ㅣ㤵慥㈴㜷㌰慥㍣㡡㤲㐸〸ㄱ敢ㄹ㈴〲慦㘰㑡挸搳挵㕤戰捥戸㜶〸散ㄱ㘳㐷敤㜰㌶〰捡〱㤰㔵挷摢敢ㄵ㔶㔳㥤挶ㅢ㕡攱愶捥慡ㄶ㌵㜱㘳㘷㝤㕡㙦扣㜲㠳敡㐸愳愴ㄴ挹㘶㡤㤴㘶搹㘰㡥摢㐹搵〸愵戸ㄳ㙤㈳戲摣愶捤㝤愷ㄴ㜹ㅥ㡡㐹搱㑣捥㜸戳㈲ㄴ〴㝡㘳ㅤ㐵㥦㝤㌶㜹愴㈲㌶戴〱㑡搴㔳㔱搹㔰ㅣㄲ㍣㠱㙢㈷㔵㔹㡡㥦挰摦扢攲散㝣㍤㙣愹㌱㉦㡤挶㌵㔳戵摡扣ぢ㉢愱㘲晡搵㙤挲搲㔸㕢愴㘱ㄴ㜷昶慡晤愳敤㑤㌱㘲捣㠶っ㡢㘴昸㠱挱㠶㘰慥㔴㐴㤵搶搹㄰户扡㔱㕣攴搳㐹㘹扡ち〳㡢㘱㜵㔶慥㈹㌳慣㘹挹㡦慡づ㡤搳愲㤲愳㠶㌵戵ㅣ㐰愵㠷㤴攳㜱㑥㌱戸㘱㥤愶㕢ち㤷ㄸ㈰㜶攳摣㐲㈵㐴㘸户㌱〰㑦〶摢〷㍢搸㤱㈸㜴㐲敢㡣ㄲ戴㤰㐱戸慤㡢㈰敦昴㠸㔱〸㔲㑢愵扦ㅦㄱ㥦㝤㠲改㙢㐷㜲㐹㈶㘶㈲㠶扢㌲慣〷㈰㌷ㅤ㤹㈴ㄷ㡤㈶〱昳㐸戲㈹愱㌵㤸㤴搱挴ㄸ愲挹攷㠷戸挵挳㔸搶㌰搹愶㠶㝢㙥愱つ㙤㕡㕢摦㘵㥤㜰㉢戵㝡㔵㉡㔵㥣挸㙡愵㤱户〵扥搴ㄵ挰㠸㥢㌲昶㈵摥㤴ㄳ㌸㑡㜱挹㐴㔲敦㜶户㜱〴摤㤵㤰挳ㄸ㤱敡㘳〰㌲挳㉤愷〲㘲ㅤ昷ㄴ㘸ㅦ敥㙥㕥㘰㔰㤷攷㈰搲㍡㡡㈸换收㜰ㅦ慦ㄱ㐵㔶摣㤶㙡㌶攷捤㜹戴搹㔳㐵挷敤愸㘸㕢攰〸敢㡣〴㕥愱〰㘳愴㐷敥攰㈰戹㉢㜱㜴昷捡愳敡㌱㜷〵愸㔰ㄸ㄰㡣昱昲ㄴ㤴挳慥㠲㤱㘸㜰㙢㑤慢㕢㌰晡㑢换摢㤸〲㄰っ〳搳愰㐵换挸挰㤹㐱㝥㜳〳攷㈶戴捡㠸㤰愶㠳愹㡣㔱㡥挲㘱て愴㠱㥢㜸㤰㕥昲愰㠴挲㍤敡㘲㔸㜲㌷㜱摣挱ㄱ挸昳慦㘹㉢㕣㌰㐳㕣㝦㜱昷戶ㄵ㑦㔵慢㌴㜷攱㥦摢ㄶ㔸挵搵㡤挸ㅣ摤搳㜶㈹㑢慤㠹昶摤扥戶㡡昸戲攰挱搹㠹攳㘶㔸㔹㔹っ搷愳㡢㕢扤㤲㠴晥㐳昸㈳㌶㝣㍢㙤收扣换㡢愸㙢摣晢搲〵搷扢攸慡㜹改〱㙦晤㠱㐲㜰㠵戲㥦㤳㉣攵晥㡤㝦㉡㘹㌹晤〷ㄸ㜱㉢搳收〰㑤〷〹挷㔱㈹㤲〶㘳挸㘷搰〹㙣昷挶慤〱搲挹㥥㌶㍡㔱㠲㘰㠷㔰摣昳㉦ㄸ愱㠸敦〳慤㈴㤶攸㐸㡥㍤㝦ㅡ慣㉦扥㠷ㄲ㈲ㅣ捦戱ㄸ搱㕦㠱㕣〶敡㤴㈰㡦慦㜸昰㐲挸晦て㤶ㄲ㙥摥㤰㥤晥ぢ捣㉣扥摢㡥愲ㅢ㠹愲敦㜴愰㐸昰ㅡ㠸攲摦㝢㤱㐹㤲捥昰散㜳ち㠴㜳㑤㍢〷搰ㄷ晤挲敦晦昰〰㍡ㄷㄳ㠷戲搱㄰㙡扢〵捦つㄳ愱慦挳㐴㘰昰㕥㤹〸㈷㤱ㄱ㡣攲㐷㈶㐲散〳㤹㐷挱收㈶〲㘳㝢ㄹ㠶㘰㉡搴㥡㜲㙢昰〴㜶㡤㐳晦搸㜱㕣扣㤵〱攲昹㔰㕡挱っ㍣㔲搷㜶ㄶ㉦㤸扥改散㔵攵挷㝣〹㘵收㉦攱㈶户敡挲ㅥ搷㙦㔸愳㍡㙤攰慢㐸扣散㍢晥㤴慤摤㕦〷愶愲ㄴ戹敦㐵㔱ㄴ㥥㠷愷㐴昰摣㤰㝢搷㥥慦ㅦ晢摤挳㡦ㅤ攱㙤戵㤸㔶昵摢㤰敦㈵㘴㑦㝢〲㐱摤搴㐵㤱慢昹㘱捥㐹㝣愲㘴慦搶攴戴改㉢㉢㈸㌰㥣㈴ㅢㄱ㕥㡡㌰㈳攲摢づ㈶㈶敥㍤㐴㈶收㐴㥢扢㔳㝤搸愴㕣㠴ㄳ愹㠹㉢㥦㕥ㄲ㌶ㄴ㕤ㄵ㔹㡦搶愶晥㑤愸愲攷㌸㤱㔶㉢㤱愷㑥㈶㈱扥搱慥敢づ㔱搷㐵〷ㄹ㠶晤ㄳ㈹㠵昸〳㈹㈴㝤㤰攱㠵〰㈵愵㑥㈳愳摦づ㤰ㄱ㔹㙢て昱搲ㅦ戰㈳〴㘴攳搲㕦㡦ㅦ戱㘰ㄷ㠱挵挴ㄷ摦敢㠹㤶戶㘸愲㥡ㄸ慡㔵㌶捤㈲㌲敡昰挲㠲挹愴㜴〹㤹㈴改〷㤱摢戲㍢㡡㉦ㄹ㜲愲挰㕢挴搸扡㐳㕦㕢挹戹挷慤攳收〷昴㑣㐱㈹っ㜷㌷㡢㜱㈰㔵㌱扡愸㘹㈹㉡㈲ㅣ㡥戲㡤㑥〳㜱ㄵ㜴㤶扢ㄷ愷㔲〴晦昸愵㄰敢挷㥢㐳㕦摤㕥㐳ㅤ攷昶㘳㠱晣挱晥扡㌱㠳戱昱㔶㜲っ㈴散㤶㕡ㄵ愳敢攱㘷搰㠵㡢捥〹愳㤹㔵捦攲㄰晥㈴㥣搵愷㜵攸㝦㐶慦ㄵ㘷㥤㘵㙦㠶戱㕢昴晦摢㔰戰愹晥ㄷ㡣扤㈹㐴扥㍤捥昰㐱㘷晣㘴搳㤰つ㜷〴㥥㙤〴㙦搴挱搸㔰㔹㠶扣愳摣㈲㍥㕥㡤慡㤵〴㠷摦㉢摦㝥㌵愲搱㤷戶敤㐰㔷〱挸搸㤰晥㌴㐴㔰搷晥慤㜲㉢㌹摤ㄶ摥㠱㡥㝢㑥摡ㄵ摦ぢ㍣㉢ㅣ㕢㐴搰㜷㡣摦㥥㔹戰㜹愶挴㔷摡㠵摡㍥散挴攰〳攸㜳㙡ㅥ〲晢㤴っ㕦愸㔸㈴㈳ぢ㕢㡢㘴昰㍢愴㤱㔴㜸㠹摡㈱戸捡扡慦㙥搶昰改敡㍣㝣㥤㈱㡢戶㠵戲㡢㍣捥敤㌷㌴戸㜵戸愳昵㔶昸㠳㘴㙤〲挱㌱戵㠴㜷㍣挰㝤㙤摦㠳搶戶昱摡〲戶散捤攷㔶搲㥦〲㑥户昶㤶㔶㤲攱㍢昹㐵㜲挹㈸ㄳ攲搲晥ㄱ晣摤扡㠳㤶愳㡤㠲捥攳て扡改〸ㅢ慦挱㝤戶㠵攸昷㌹㜴ㄵ㔳〴昸ㄹ㘶㥣攱㠳愰㤷㡦慣㈸扥㠰㘵㤱〱㤰捦ㄵ㉡〰摤愹晡挹㡤愸㝡攴㕥昶㐴ㄲ㍣㘳㤰ㅣ㑢攲㜳㘸挸敤㡡㤶つ㤶攰戲㠵㍡㑢㈰㙦㈴㍤㤰捦〹㥥㈵搴㐴㍥㠳づ㡤㠹搸㈸敤㍥㤱㑦㙤㌴ㄱ㐱㉢㐰㉤㌴㍤晥㐸愲㐵㡣ㅡ慡つ㠷挰㈵昰〰㐶ㄲ㘵㌲㑣昹㐸愱㔳㠸㘲っ摦㈳㡡㤰㝥ㄱ晦㝤昶挸捦㥦㘱晡摢ㄱ愱㈴㈲慡㕡㔷㐱㠹愸㔶昱戱昴㉡㝣㤴㜶㕦挵㐷㌶㕡挵〸㠵㈵㘷㘲㠴〰㐳㝤愲㡣㍦㙡㔵㜵㘴戸愱晣㠹㜳〴昸戵捣㘲挴㐴㠹敡㝢ㄱㄹ昴攵捥慢㔶㤷㤰㐹晡敡摣㠸㡣慦㝣㤴愱挴ㅢ㤱㜴敡ㄴ㈲慦㙣㈱㔲㡦㐵㈷㜶挷㙥ぢ㈱㠱㈵昱戳搹慥戲扤搰㘳愸㕦扣㍦㐱捣昱攳挹㈷㔴㕡ㅣ㝣〲㘱㐴愶㈹〹㠹ㅢ㈹摥㤷㌴晥搶户㥢扥㔳㔴㈰㠱㝡愲挶㈴㌸搵昸扤㐹攳㠳昸㍣㑢戵挹昱㉡〱搳戳㐹㘳ㄲ愶㙡晣㔸搲昸慦〷昷㌶ㅡ㈷㜴ㄸ㡤慣㤳㐸㌲㡣㕥㜵っ㐸㝤慡㍤㡣收扡㐵㐵㍡㘰㐵挵ㄴ愱㉡㠶㕣㔳慡㜴㄰户㐲㝣㝣㉣㍤㠷㑢㑥戸ぢ〲㘹ㅢ晤㍦ㄳ㑥攰昲搳慣ㄹ㥡昸ㄶ㝡つ㔱㘷摦㔰㑦散㕣戰收㝤ㄴ昴㕢㈷〲ㅣ慥慡摢㡡㐴㘰ㄷ攴愳晤摤挴㍢㥦㘱㐳㌶昷㈳㠹㤶㘹扣㑣搲㥢ㄶ㔱ㄱ㤶扣㜸㜷㠲搹摣攵㈶捤ㄸ㡦〲㌹㄰㤳㠰捣ㄸ㤷〱愳㠸捣ㅥㄶ㡣㤰晦ㄵ㜳扦㥢ㄵ敦㈱㜸っ愰㈴挸散愴㠳挲㝢〱㠶㤳晦㘳挵搸㥡㜲㥣㘸攲攱攴㘵㘹㌲㌲摥捦づㅦ〰攸㠳ㅦ㔷挴㐴㔸㌲㍥㠸㤲昴㑢㈹㌸搴㑢㍦挴㡡てㄳ㝣〴愰愴㜳戲㕢摥㌵慥愹㐷ㄵ昶㔱㜴ㄵ㤷〹昰㌳㍥ㄶ㘷昸愰㜳ㅦ摥搸摤㘸收㤹㌸昹挲ㅦ㌱捦㤶㑦昹敦挱愷昹敢㕣㜴ㅦ晥捦㈴扡戲昰昳摡ㅢ㝡ㅢ㡢㑣㐰攳㕣晤㔶戱搹捦㘳ㅣ慥慢ㄹ㑡攱㠸㔴㉡㐵慤㈰㠸㙦㉥㔸㜸㜸〳摦㜲㔸㔵〸㐱ㅡ㔰ㄵ㙥㕣㜱〴〵挶挷搹㤴㌸㈶㥥㡣㑦昰㠹愸㔵㥢昸挹㌸挳〷㐱扣慡敥て挶摤㤳ㄷㄲ搷慡挲㙥㝢㈱昱慦㉡㔶搲㉦㝣㠲㠳㈹㘴㈱搳慡㤵㠸㌴㐵㐳㥦㐳㘶愸㙦㤸㜳扢ㅦ㍦敤㤲愸㥣慢㥥㍢昷捦攱晣搸昵昹户扤㘵昰㠹㘷㝦昶晢挷㝦昹捥挳㝦晡搷㤳㑦晥昲て㡦㍦昳慦ㅦ㉥ㅦ晥挹㔳㑦晤昸摥㉦㍥昳晢摤搶㤷戴㙦晦㜳敥㑢㡦㑣㕥㜸攴㈱敢捣㙤挷ㅥ㜹晢㠳昷㑤㉥㕣㌵摥搷搷摦㝦敢攸㑦慦㝢昵挸攵㠷扥㉢㝥昴㥢㙢㕤愱㤶㡢ㄷ戴㑥㠳换㔶搳昸㍣㌲㤸〶㘷晣愲㑥㠳换㔵ㅢ戵ㅣ㙦搴㌴ち㡡㜰㙥㜰〲慡挲㙣慤ㄸ昸て搶㙣戴㕦</t>
  </si>
  <si>
    <t>Decisioneering:7.0.0.0</t>
  </si>
  <si>
    <t>bbcad1f1-cbd5-4e9e-a2d5-76bf268894fd</t>
  </si>
  <si>
    <t>CB_Block_7.0.0.0:1</t>
  </si>
  <si>
    <t>㜸〱敤㕣㕢㙣ㅣ㔷ㄹ摥㌳摥㔹敦慣敤搸㡤搳㑢㑡㘹摤㤶㔲愸㠳ㅢ愷つ愵㐰〸扥攴㔶㥣搸㡤㥤ㄴ〴㘸㌳摥㍤ㄳ㑦戳㌳攳捥捣㍡㜱愹㘸〵攵㈶㙥ㄲ㌷㔱㈸㔰㔵愸ㄲ㉦㕣㕥愰〵ㅥ〰㈱㠱㔰㤱㄰㤷〷㈴ㅥち㐲昰挰㐵㤱㜸攱〱〹扥敦捣捣敥散慥㜷散㙥㕢㜰㤱㑦扡扦捦㥣摢㥣㜳晥敢昹晦㌳捤㠹㕣㉥昷㙦㈴晥㘵捡㌳㜳摤攲㝡㄰㑡㘷㘲挶慢搵㘴㈵戴㍤㌷㤸㤸昲㝤㜳㝤捥づ挲㍥㌴㈸㤴㙤搴〷㝡㌹戰ㅦ㤴挵昲㥡昴〳㌴搲㜳戹㘲搱搰㔰捦㐱昸ㅢ㐹ㅥっ昶ㅡ捣〳㉣捤㑣捦㉦摦㡦㔱ㄷ㐳捦㤷晢挶捥㐶㝤て㑤㑥㑥㑣㑥ㅣ戸晢挰敢㈷昶敦ㅢ㥢愹搷挲扡㉦て戹戲ㅥ晡㘶㙤摦搸㐲㝤戹㘶㔷摥㈶搷㤷扣ぢ搲㍤㈴㤷昷摦戱㙣摥昹㠶挹㍢てㅥ戴敥扥晢つ㠳㜸㜵敥搴捣昴㠲㉦慤攰㐵ㅡ㔳攷㤴敦㥣㤵ㄵ㥢㙢㤳搲户摤昳ㄳ㌳搳昸㉦㌵㝦㍣摤㌵戱戸㈲㘵挸㔷㑢㕦扡ㄵㄹㄸ攸㌸攰㑣〵㐱摤㔹攵收ㄹ捥㔱㉣戵㘲〶愱敥捣挸㕡捤㜰㤲㔱㡢捥㍣昶慥㘶慥て㍡㡢搲つ散搰㕥戳挳昵㠲戳㠴㠱慡㐳捥㤹㐰㥥㌶摤昳昲㤴改㐸摤㌹㔶户慢昹㈸攵晡㙥㑤㠶㐸㑦㑣㉤㝦㘲㉡㜰㘶㔶㑣㕦捤㈸攰挶㘴戴㍤敡㔷㕡摢摥摣㝤㕣㑥㕤扤㠱㘳摥搲扤ㅤ㙡捥㥡㝥愳攵㜸昷㤶昱攲㕢㘷㜰㝢昷昶愹㍤㙡敤昳摡敥㝤搴㔶戶戶ㄶ〳㌱㝤慢ㅤ挵㘲㡣〲㐱㍦㐱㤱㠰〸㌴㑡〴〳〴㠳〰㈲晦て㜰㐹扡㈳慢戴戲愹㤵㤷戵㜲㐵㉢㔷戵戲搴捡㤶㔶㍥慦㤵㔷戴戲慤㤵敦搷捡ㄷ搰㈶㐹挵晥㝥㉤㑥扦㍣㔲晢搵㉦晦㜶攷摣昷㝥㜴昱〷㌷摤昸摥ㅢ〷㜷愱搱扤昱愴㘶㝤昳㈲㐸慤㐹挵〷㈶昶昳摦收㕣〱愶戰づ㕡㜷㔹㤳㤳搵㠳晢捤㍢㑣㥤换捡㐰㝥ぢ愱㡣愰敤愰㜵㥦敤㔶扤㡢ち㜷搷㑤㥢㠱㙣㙥摣㜸㕣㌷敤搵摤㙡昰㡡㡤㉢ㄷ㐳㌳㤴搷戶搷㌵〷改攸戶〸戶㤲㠱㝡摦昵敤摤捥㥡戵扡㥣扡㘴㐷搵慦㙣慢㜶ㄶ㝣㙦戹㝢敤㔱㕦㍥搰愸敤㤸搱ㄴ㠴摡㥡ㅡ扢㘳㤵㔱㔵㌴慦戱㤹ㄵ㉦㤰慥㥡摥戸戳㘰㔷㉥㐸㝦㔱㔲㈴捡慡㕡敡㤵慣㡡戹㝥㝣摥挵㐲挱慤搵㥢搲愵搶㤱㑢㈱㤸㔹㔶㌱摦㔵改㠷敢㑢收㜲㑤㕥搵搲㈴㝡㈷㉡昶戶ㄴㅦ昵㉡昵㘰挶㜳㐳摦慢戵搶㑣㔵搷㑣㐸㥡敡㐹慦㉡昳昹㥣ㄲち㄰戸㝤㝤㐲攴㙥敢捥ぢちㄱ㈹ㄴ㤳㤱慦㘹㈵扢㠹搳㔸ㅤ㔶㔱㤳愴㐹敤㔵㥢っ挶昹㉡ㄹ㤳挱㠱愹㌵㔱㝦昰愵慦搹㘴搸〶收㕥摡挶㥡㌶ㅡ慦晥挸㥡㜴挳攳愶㕢慤㐹㍦㔳晢〹捥挸ㄸ〶搰㉦㐳㈰㜴摤㍤慡㍡㜱㐹慣敢ㄷ敤㙡戸㔲㔸㤱昶昹㤵㄰㘵搰㤰挵㈲户戶㈳ㄹ㔷愰挸搸㑤㌰ち㔰㉡攵ち㝢搸愸㔰㐲捡改㤴㑥ㄹ扣摣㈲挸搹慦㠵㤷〷慤愳㜶㉤㤴㤱㔰ㅥ戶㠰㤱㐸慢㈹昴つ㤱㐴㝤戳ㄲ㈹㡣㍤搶っ愸搴戴摤㜰扤挹户ㅤ㕣ㄲㄱ搱㡥㉣搸㜶戲㠰愲愰㔵ㅥ㘴昰ㅡ㠸愶㑤ㅡ㘴㌷㑥ㄱㄱ搹㈰㐳戳㘳攴㔶㈲㘳晢っㄹ㠱昶㘹㈲㘴敢晤摤㘵〴㠹扤㤳㐸搹愹㉢㍦敥㐸戳㡤㙣昹㐸㥡㕤㠹㡤㌳慥㈲戸㥡攰ㅡ㠲扤〰攲㑦㤰㜰㤴㜲挸户㈶攳ㄵ㜸㌶慥㈳㜸㈵〰攴㤳㐱㤹ㄳ㡢㉡摡㔰㕢戱㈳搹㙥〸㜶戲㌲㡡㈳㔱㐴换戸㘱㘷づ㌹ち搱戱搵戹㍤㜴㙤㕥改搸㔷㜷愷捤昴㜲㐸㤱ㄹ㑤搳㙢摤愴㘹㝡㈳搸戴㐷扤㜵〳扡ㅡ㘳〴㌷〲㤴㡣㥢〸愱㕣㘸昰㙥捤愲愷㐹昹戲㌰㡢㈲㘳愸㐷〵ㅦㄳ㌲㡦〰ㄹ㐲慥攳昸戲㘳㐳搳ㅣㅣ户㕥昶㌶昴扥敥晣ㅤ㈳扤㑤㙦敥攸ㅤ晡㡢㥥愷ㄵ㝤㌳搸㑢晣慥慢㡥戹〵搵挶慢〹㙥〵㘸搳㌱㍣㝤㍦㕦㑦㠱㌲㡢㥤ㄴ收㜶搳敢愲慣摣愵昵㔵愹㌴搰愰戵㘴晡攷㘵〸て挶㠹㔹搸挲㥥敦换ㅡづ戵㔵㔵挰昳换搵慤㠵挱㔱摦㜳㔸扥㘳㈳〷㉦ぢ挵㤰捦㙢㝤戹㌶ㅢ㌹挳搶㑣昹㥣㔲㤴㐳ㅤ㝣㐷㜷㈱㤱敡搴㑡㕥散㤷㝤扥摣㤱㈴㍤㐸㤲搷㘲㕢㡤摢〰㈰㈵挴㙦扡㑡㤴㝤㙣昶㍡搵慣搵㘲愵㠷㉦攳㜴搲收㐳散㤰㈳〳㤱挳㜶ㅡ晥㠳㘰挸㔹戴㥤㠶戰ㄸ㜰ㄶ愴㕦㠱㙦挱慥挹㔲攴㤶愵愸搹㤱ㄵ㉦ㄳ㔹搱搷搷㜱㥥捥昰慦㈹㍡㘹㤳ㄲ㤹摣㥥㔹㤹㜱ㄶ㙦ㄲㄵ摤㤰ㄴ㉡ㄹ慥愱㠶〴㈲攵戱敤㡥㠸改㐱挴摣㡥㡤㌳昶ㄳ㑣ㄲㅣ〰搰㝦づ㐹戳搵㡤㘷㌸慣㝦㡤㉥敤㜲㌹㔷㈴ㅡ㤴㡢昰搹慥挲敡㈰㕦昳㝡㠲扢〰摡捣ㅦ㍡㈰㌳〸㔱愱㍣㐵㠸㉡㡣㘱㥤戵攵㐵搲挰㉥ぢ㠱愵㤹㝡㄰㝡づ㈳㑢㐳搶慣㜷捡ぢ㘷敤㘰ㄵ㤱愸㔱㉢捥摣户㈲㕤㔰㤷て摢愷慤捣㕢㕤㤵㔵挳㕡昴敡㄰㙤㈷㘶户挳挱ㅣ摢〱㕢㔲㥤捤㌵㠱搴摢昹ㄸ㐳〸散戴昲户搲ㅢ扢㈵敦㌷て㝤挳捤ㅤ㕤戲挳㥡ㅣ戰㈲愶㘳扥㘸㘱ㄷㄱ㌹愸昶㕢㑢㉢扥㤴戳㐳搶㌱摦慥搶㙣㔷ㄲㄹ戰㌱ㄹ慣㥢㤳攷ㄱ㈵㔸昰ㄸ〳昴摣㈱㙢挹㌷摤㘰搵㘴㐰㜱㝤㜷换㤳ち㡢攸搶戴敤〶㜸㡤挲㈲昳挳搶攲㡡㜷ㄱㄱ摢扡攳ㅥ㌳㔷㠳㙤㠱ㄵㄲ㝤㤴ㄴ㙡㠴㈶㌴㑤ㄴ戵㘲慦昸攱㠱㍣㤷㈳敦攵〹ㄴ慥㜲㍡㝤收ㄹ摡㥢㜶㝤ㅣ愳愱㥤捥㌹つ㈲㝡搴㈸散换㤴挲攴㔴攳㙥昶㜹㈳挰㍤挷捥㥣㘸㐶收㕥㔰捣㕡愷㤷㍦㐳挶㉢戲㘸〴㐲攸愳摢ㄵ㤱ち换㐸㌹攰㐰㘰㥣㑦敤攴㔷戲㔴ㅢ㔲摦慥㘶昶㈸㈲㐹㠳搶㥣戹㉣㙢㠸㐷㍢㘶戸㉢㝡愰ㄹ敢㤸戵㈰慥㥢昱ㅣ挷㈴㘹㤱㉣ㄷ㉢㈶㈹㜸慡ㅥ㝡㈷㙤搷戰〰ㄴ晤挵㐵收㈵ㄴ㤹㤷㔴搱愰㜵㥡愱㐱㤵攷㔸摥㜹搳户挳ㄵ挷慥ㄴ昹挰昰摤戶愰㐹㌰㌹㈵㙦㤲ㄲ㤹㌱搶㘶捤㥦㠱挹ㄶ㑣〰摤ㄳ㤰愳摣㍡愲ㅦ㤴慢㠹〲晥㠹ㅥㅤ㑢㄰㌰捡㔳㙡扣ㄹ愳改敡㜶〴㐴㡥㑡㤷㤳㍢ㄸ㤷ㅦ㐶㐹㈴㠴㠸昵っㄲ㠱㔷㌰㈵攴改攲㉥㔸㘷㕣㍢〴昶㠸戱愳㜶㌸ㅢ〰攵〰挸慡攳敤戵ち慢愹㑥攳つ慤㜰㐳㘷㔵㡢㥡戸扥戳㍥慤㌷㕥戵㐱㜵愴㔱㔲㡡㘴戳㐶㑡戳㙣㌰挷敤愴㙡㠴㔲摣㠹戶ㄱ㔹㙥搳收扥㔳㡡扣〰挵愴㘸㈶㘷扣㐵ㄱち〲扤戱㡥愲捦㍥㥢㍣㔲ㄱㅢ摡〰㈵敡愹愸㙣㈸づ〹㥥挰戵㤳慡㉣挵㑦攰敦㕤㜱㜶扥ㅥ戶搴㤸㤷㐶攳㥡愹㕡㙤摥㠵㤵㔰㌱晤敡㌶㘱㘹慣㉤搲㌰㡡㍢㝢搵晥搱昶愶ㄸ㌱㘶㐳㠶㐵㌲晣挰㘰㐳㌰㔷㉡愲㑡敢㙣㠸㕢摤㈸㉥昲改愴㌴㕤㠵㠱挵戰㍡㉢搷㤴ㄹ搶戴攴㐷㔵㠷挶㘹㔱挹㔱挳㥡㕡づ愰搲㐳捡昱㌸愷ㄸ摣戰㑥搳㉤㠵㑢っ㄰扢㜱㙥愱ㄲ㈲戴摢ㄸ㠰㈷㠳敤㠳ㅤ散㐸ㄴ㍡愱㜵㐶〹㕡挸㈰摣搶㐵㤰㜷㝡挴㈸〴愹愵搲摦て㡢㉦㍣挶昴戵挳戹㈴ㄳ㌳ㄱ挳㕤ㄹ搶〳㤰㥢㡥㑣㤲㡢㐶㤳㠰㜹㈴搹㤴搰ㅡ㑣捡㘸㘲っ搱攴昳㐳摣攲㘱㉣㙢㤸㙣㔳挳㍤户搰㠶㌶慤慤敦戲㑥戸㤵㕡扤㉡㤵㉡㑥㘴戵搲挸摢〲㕦敡ち㘰挴㑤ㄹ晢ㄲ㙦捡〹ㅣ愵戸㘴㈲愹㜷扢摢㌸㡣敥㑡挸㘱㡣㐸昵㌱〰㤹攱㤶㔳〱戱㡥㝢ち戴て㜷㌷㉦㌰愸换㜳㄰㘹ㅤ㐵㤴㘵㜳戸㡦搷㠸㈲㉢㙥㑢㌵㥢昳收㍣摡散愹愲攳㜶㔴戴㉤㜰㠴㜵㐶〲慦㔰㠰㌱搲㈳㜷㜰㤰摣攵㌸扡㝢昹㘱昵㤸扢っ㔴㈸っ〸挶㜸㜹ち捡㘱㔷挱㐸㌴戸戵愶搵㉤ㄸ晤愵攵㙤㑣〱〸㠶㠱㘹搰愲㘵㘴攰捣㈰扦戹㠱㜳〳㕡㘵㐴㐸搳挱㔴挶㈸㐷攱戰〷搲挰㑤㍣㐸㉦㜹㔰㐲攱ㅥ㜵㌱㉣戹㥢㌸敥攰〸攴昹㔷戵ㄵ㉥㤸㈱慥扦戸㝢摢㡡愷慡㔵㥡扢昰捦㙤ぢ慣攲敡㐶㘴㡥敥㘹扢㤴愵搶㐴晢敥收戶㡡昸戲攰㠱搹㠹攳㘶㔸㔹㔹っ搷愳㡢㕢扤㤲㠴晥㝤昸㈳㌶㝣㍢㙤收扣换㡢愸㙢摣晢搲〵搷扢攸慡㜹改〱㙦晤㠱㐲㜰㠵戲㥦㤳㉣攵晥㡤㝦㉡㘹㌹晤㝢ㄸ㜱㉢搳收〰㑤〷〹挷㔱㈹㤲〶㘳挸㘷搰〹㙣昷挶慤〱搲挹㥥㌶㍡㔱㠲㘰㠷㔰摣昳㉦ㅡ愱㠸敦〲慤㈴㤶攸㐸㡥㍤㝦ち慣㉦㥥㐱〹ㄱ㡥攷㔸㡣攸㌷㈲㤷㠱㍡㈵挸攳㉢ㅥ扣㄰昲晦㠳愵㠴㥢㌷㘴愷晦〲㌳㡢愷摢㔱㜴㍤㔱昴㥤づㄴ〹㕥〳㔱晣㝢て㌲㐹搲ㄹ㥥㝤㕥㠱㜰慥㘹攷〰晡㤲㕦昸晤ㅦㅥ㐰攷㘲攲㔰㌶ㅡ㐲㙤户攰戹㘱㈲昴㜵㤸〸っ摥㉢ㄳ攱㈴㌲㠲㔱晣挸㐴㠸㝤㈰昳㈸搸摣㐴㘰㙣㉦挳㄰㑣㠵㕡㔳㙥つ㥥挰慥㜲攸ㅦ㍢㡥㡢户㌲㐰㍣ㅦ㑡㉢㤸㠱㐷敡敡捥攲〵搳㌷㥤扤慡晣㤸㉦愱捣晣㈵摣攴㔶㕤搸攳摡つ㙢㔴愷つ㝣ㄵ㠹㤷㝤挷㥦戲戵晢敢挰㔴㤴㈲昷扤㈸㡡挲ぢ昰㤴〸㥥ㅢ㜲敦搹昳昵㘳扦㝦昰搱挳扣慤ㄶ搳慡㝥ㅢ昲扤㠴散㘹㑦㈰愸㥢扡㈸㜲㈵㍦捣㌹㠹㑦㤴散搵㥡㥣㌶㝤㘵〵〵㠶㤳㘴㈳挲㑢ㄱ㘶㐴㝣摢挱挴挴扤㠷挸挴㥣㘸㜳㜷慡て㥢㤴㡢㜰㈲㌵㜱攵搳㑢挲㠶愲慢㈲敢搱摡搴扦〹㔵昴㍣㈷搲㙡㈵昲搴挹㈴挴㌷摡㜵摤㐱敡扡攸㈰挳戰㝦㈲愵㄰㝦㈰㠵愴て㌲扣㄰愰愴搴㘹㘴昴摢〱㌲㈲㙢敤㈱㕥晡〳㜶㠴㠰㙣㕣晡敢昱㈳ㄶ散㈲戰㤸昸攲㝢㍤搱搲ㄶ㑤㔴ㄳ㐳戵捡愶㔹㐴㐶ㅤ㕥㔸㌰㤹㤴㉥㈱㤳㈴晤〰㜲㕢㜶㐷昱㈵㐳㑥ㄴ㜸㡢ㄸ㕢㜷攸㙢㉢㌹㐷摣㍡㙥㝥㐰捦ㄴ㤴挲㜰㜷戳ㄸ〷㔲ㄵ愳㡢㥡㤶愲㈲挲攱㈸摢攸㌴㄰㔷㐱㘷戹㝢㜱㉡㐵昰㡦㕦ち戱㝥扣㌹昴㤵敤㌵搴㜱㙥㍦ㄶ挸ㅦ散慦敢㌳ㄸㅢ㙦㈵挷㐰挲㙥愹㔵㌱扡ㅥ㝥〶㕤戸攸㥣㌰㥡㔹昵㉣づ攲㑦挲㔹㝤㕡㠷晥㘷昴㕡㜱搶㔹昶㘶ㄸ扢㐵晦扦ㅤ〵㥢敡㝦挱搸㥢㐲攴㍢攲っㅦ㜴挶㑦㌶つ搹㜰㐷攰搹㐶昰㐶ㅤ㡣つ㤵㘵挸㍢捡㉤攲攳搵愸㕡㐹㜰昸扤昲敤㔷㈳ㅡ㝤㘹摢づ㜴ㄵ㠰㡣つ改㑦㐱〴㜵敤摦㉡户㤲搳㙤攱㥤攸戸攷愴㕤昱扤挰戳挲戱㐵〴㝤挷昸敤㤹〵㥢㘷㑡㝣戵㕤愸摤㡣㥤ㄸ㝣㌷晡㥣㥡㠷挰㍥㈵挳ㄷ㉢ㄶ挹挸挲搶㈲ㄹ晣づ㘹㈴ㄵ㕥愲㜶〸慥戰敥慤㥢㌵㝣扡㍡て㕦㘷挸愲㙤愱散㈲㡦㜳晢つつ㙥ㅤ敥㘸扤つ晥㈰㔹㥢㐰㜰㑣㉤攱㥤敦收扥戶敦㐱㙢摢㜸㙤〱㕢昶收㜳㉢改㑦〲愷㕢㝢㑢㉢挹昰㥤晣㈲戹㘴㤴〹㜱㘹晦㌰晥㙥摤㐱换搱㐶㐱攷昱〷摤㜴㠴㡤搷攰㍥摢㐲昴晢ㅣ扡㡡㈹〲晣っ㌳捥昰㐱搰换㐷㔶ㄴ㕦挶戲挸〰挸攷ちㄵ㠰敥㔴晤昸㐶㔴㍤㜲て㝢㈲〹㥥㌱㐸㡥㈵昱㐵㌴攴㜶㐵换〶㑢㜰搹㐲㥤㈵㤰㌷㤲ㅥ挸攷〴捦ㄲ㙡㈲㥦㐷㠷挶㐴㙣㤴㜶㥦挸攷㌶㥡㠸愰ㄵ愰ㄶ㥡ㅥ㝦㈴搱㈲㐶つ搵㠶㐳攰ㄲ㜸〰㈳㠹㌲ㄹ愶㝣愴搰㈹㐴㌱㠶㘷㠸㈲愴㕦挴㝦㥦㍢晣昳㘷㤹晥㝡㔸㈸㠹㠸慡搶㔵㔰㈲慡㔵㝣㌲扤ちㅦ愵摤㔷昱昱㡤㔶㌱㐲㘱挹㤹ㄸ㈱挰㔰㥦㈸攳㡦㕡㔵ㅤㄹ㙥㈸㝦攲ㅣ〱㝥㉤戳ㄸ㌱㔱愲晡㕥㐴〶㝤戹昳慡搵㈵㘴㤲扥㍡㌷㈲攳㉢ㅦ㘵㈸昱㐶㈴㥤㍡㠵挸㉢㕢㠸搴㘳搱㠹摤戱摢㐲㐸㘰㐹晣㙣戶慢㙣㉦昴ㄸ敡ㄷㅦ㑡㄰㜳晣㜸昲〹㤵ㄶ〷㥦㐰ㄸ㤱㘹㑡㐲攲㐶㡡て㈶㡤扦昵敤愶敦ㄴㄵ㐸愰㥥愸㌱〹㑥㌵晥㐰搲昸〰㍥捦㔲㙤㜲扣㑡挰昴㕣搲㤸㠴愹ㅡ㍦㥡㌴晥换㠱扤㡤挶〹ㅤ㐶㈳敢㈴㤲っ愳㔷ㅤ〳㔲㥦㙡て愳戹㙥㔱㤱づ㔸㔱㌱㐵愸㡡㈱搷㤴㉡ㅤ挴慤㄰ㅦㅦ㑢捦攱㤲ㄳ敥㠲㐰摡㐶晦捦㠴ㄳ戸晣㌴㙢㠶㈶扥㠵㕥㐳搴搹㌷搴ㄳ㍢ㄷ慣㜹ㅦ〵晤搶㠹〰㠷慢敡戶㈲ㄱ搸〵昹㘸㝦㌷昱捥㘷搸㤰捤晤㐸愲㘵ㅡ㉦㤳昴愶㐵㔴㠴㈵㉦摥㤷㘰㌶昷㐸㤳㘶㡣㠷㠱ㅣ㠸㐹㐰㘶㡣㐷〰愳㠸捣ㅥㄶ㡣㤰晦ㄵ㜳扦㡦ㄵ敦㈷㜸ㄴ愰㈴挸散愴㠳挲〷〰㠶㤳晦㘳挵搸㥡㜲㥣㘸攲挱攴㘵㘹㌲㌲㍥挴づㅦ〶攸㠳ㅦ㔷挴㐴㔸㌲㍥㠲㤲昴㑢㈹㌸搴㑢㍦捡㡡㡦ㄱ㝣ㅣ愰愴㜳戲㕢摥㌵慥愹㐷ㄵ昶〹㜴ㄵ㡦㄰攰㘷㝣㌲捥昰㐱攷㍥扣愹扢搱捣㌳㜱昲㠵㍦㘲㥥㉤㥦昲ㅦ挱愷昹敢㕣㜴ㅦ晥捦㈴扡戲昰昳摡ㅢ㝢ㅢ㡢㑣㐰攳㕣晤㔶戱搹㉦㘰ㅣ慥慢ㄹ㑡攱㠸㔴㉡㐵慤㈰㠸㙦㉥㔸㜸㜸〳摦㜲㐸㔵〸㐱ㅡ㔰ㄵ㙥㕣㜱ㄸ〵挶愷搹㤴㌸㈶㥥㡣捦昰㠹愸㔵㥢昸搹㌸挳〷㐱扣慡敥昷挷摤㤳ㄷㄲ搷慡挲㙥㝢㈱昱慦㉡㔶搲㉦㝣㡣㠳㈹㘴㈱搳慡㤵㠸㌴㐵㐳㕦㐴㘶愸㙦㤸㜳扢て㍦敤㤲愸㥣慢㥥㍢昷捦攱晣搸戵昹户扦㜵昰戱攷㝥昶㠷㑦晤晡㕤㠷晥晣慦挷ㅦ晦昵ㅦ㍦昵散扦扥扦㝣攸㈷㑦㍥昹攳㝢扥昲散ㅦ㜶㕢㑦㘸摦晥攷摣ㄳて㑤㕥㜸攸〱敢捣㙤挷ㅥ㝡挷晤昷㑥㉥㕣㌱摥搷搷摦㝦敢攸㑦慦㜹捤挸㈳て㍣㉤㝥昸摢慢㕤愱㤶㡢ㄷ戴㑥㠳换㔶搳昸ㄲ㌲㤸〶㘷晣㤲㑥㠳换㔵ㅢ戵ㅣ㙦搴㌴ち㡡㜰㙥㜰〲慡挲㙣慤ㄸ昸てㄹ换戳攸</t>
  </si>
  <si>
    <t>old model says 1</t>
  </si>
  <si>
    <t>old model says 2.5</t>
  </si>
  <si>
    <t xml:space="preserve">Total seedling recipients </t>
  </si>
  <si>
    <t>Recipeints trained in intercropping</t>
  </si>
  <si>
    <t>Total Hectares Cleared</t>
  </si>
  <si>
    <t>Original Stand of Producing Trees</t>
  </si>
  <si>
    <t>% of Original Stand Lost Prior to Start</t>
  </si>
  <si>
    <t>Analysis Year</t>
  </si>
  <si>
    <t>Start of Period Stand Disease Progression</t>
  </si>
  <si>
    <t>Total Producing Trees at Start of Period</t>
  </si>
  <si>
    <t>Total Number of Diseased/Dead Trees at Start of Period</t>
  </si>
  <si>
    <t>Addition to Diseased Trees in Period</t>
  </si>
  <si>
    <t>Total Number of Diseased Trees in the Period</t>
  </si>
  <si>
    <t>% of Diseased/Dead Trees Removed (Compact Intervention)</t>
  </si>
  <si>
    <t>Total Number of Diseased/Dead Trees not Removed at End of Period</t>
  </si>
  <si>
    <t>Total Producing Trees at End of Period</t>
  </si>
  <si>
    <t>Total Trees Left in Stand (producing and diseased)</t>
  </si>
  <si>
    <t>End of Period Stand Disease Progression (Sept)</t>
  </si>
  <si>
    <t>% of Original Stand Lost During Period</t>
  </si>
  <si>
    <t xml:space="preserve">Incremental Producing Trees </t>
  </si>
  <si>
    <t>LOCALIDADE</t>
  </si>
  <si>
    <t xml:space="preserve"> Zona epidémica   Extensao Localidades Ha</t>
  </si>
  <si>
    <t xml:space="preserve"> Zona epidémica   Extensao Distritos Ha</t>
  </si>
  <si>
    <t>N.Pl. Total em Setembro  2010</t>
  </si>
  <si>
    <t xml:space="preserve"> Novos casos abatidos Out 10 - Marco 11</t>
  </si>
  <si>
    <t>Novos casos Geral Inv + Out-Marc11 abatidos novos casos 11</t>
  </si>
  <si>
    <t xml:space="preserve">Novos casos  abatidos Abril-Set11 </t>
  </si>
  <si>
    <t>Novos casos Geral Inv + Abril- Set11-Marc11</t>
  </si>
  <si>
    <t>Densidade  Pl.por hectar Set 11</t>
  </si>
  <si>
    <t>N.Pl. Total em Set 2011</t>
  </si>
  <si>
    <t xml:space="preserve">  Diferenca %      Infestacao Marco e Set 11</t>
  </si>
  <si>
    <t xml:space="preserve">  Diferenca %      Infestacao Set 10 e Set 11</t>
  </si>
  <si>
    <t>Inserir Peb., Moma e Ang. (Z.End) e Mag. Costa</t>
  </si>
  <si>
    <t>Soma  Entradas</t>
  </si>
  <si>
    <t>Casos novos  já abatid Q9,Q10</t>
  </si>
  <si>
    <t>Soma das Saidas</t>
  </si>
  <si>
    <t>Existência final  N.Pl. Total Marco 2012</t>
  </si>
  <si>
    <t xml:space="preserve"> %      Infestacao  Marco 2012</t>
  </si>
  <si>
    <t xml:space="preserve">  Diferenca %      Infestacao Set 11 e Março12</t>
  </si>
  <si>
    <t xml:space="preserve">  Diferenca %      Infestacao Set 10 e Março12</t>
  </si>
  <si>
    <t>Chinde</t>
  </si>
  <si>
    <t>Matilde</t>
  </si>
  <si>
    <t>Mucuandaia</t>
  </si>
  <si>
    <t>Pambane</t>
  </si>
  <si>
    <t>Samora Machel</t>
  </si>
  <si>
    <t>Ilova</t>
  </si>
  <si>
    <t>Bingagira</t>
  </si>
  <si>
    <t>Nicoadala</t>
  </si>
  <si>
    <t>Munhonha</t>
  </si>
  <si>
    <t>Namacata</t>
  </si>
  <si>
    <t>Quelimane</t>
  </si>
  <si>
    <t>Maquival</t>
  </si>
  <si>
    <t>Ionge</t>
  </si>
  <si>
    <t>Madal</t>
  </si>
  <si>
    <t>Marrongane</t>
  </si>
  <si>
    <t>Nangoela</t>
  </si>
  <si>
    <t>Namacurra</t>
  </si>
  <si>
    <t>Pida</t>
  </si>
  <si>
    <t>Macuse</t>
  </si>
  <si>
    <t>Furquia</t>
  </si>
  <si>
    <t>Mbaua</t>
  </si>
  <si>
    <t>Mixixine</t>
  </si>
  <si>
    <t>Nomiua</t>
  </si>
  <si>
    <t>Nante</t>
  </si>
  <si>
    <t>Moneia Malugune</t>
  </si>
  <si>
    <t>Muloa</t>
  </si>
  <si>
    <t>Maganja/Bala</t>
  </si>
  <si>
    <t>Cabuir</t>
  </si>
  <si>
    <t>Missal</t>
  </si>
  <si>
    <t>Nacuda</t>
  </si>
  <si>
    <t>Naico Mussipa</t>
  </si>
  <si>
    <t>Quichanga/Pebane</t>
  </si>
  <si>
    <t>Magica</t>
  </si>
  <si>
    <t>Nicadine</t>
  </si>
  <si>
    <t>Alto Maganha</t>
  </si>
  <si>
    <t>Mucororo</t>
  </si>
  <si>
    <t>Namanla</t>
  </si>
  <si>
    <t>Naburi</t>
  </si>
  <si>
    <t>Tomeia</t>
  </si>
  <si>
    <t>Macone</t>
  </si>
  <si>
    <t>Mirupe</t>
  </si>
  <si>
    <t>Mpago</t>
  </si>
  <si>
    <t>Pilivili</t>
  </si>
  <si>
    <t>Larde</t>
  </si>
  <si>
    <t>Angoche</t>
  </si>
  <si>
    <t>Sangache</t>
  </si>
  <si>
    <t>Aube</t>
  </si>
  <si>
    <t>Catamoio</t>
  </si>
  <si>
    <t>Gelo</t>
  </si>
  <si>
    <t>Muchepa</t>
  </si>
  <si>
    <t>Naiculo</t>
  </si>
  <si>
    <t>Total</t>
  </si>
  <si>
    <t>Distrito</t>
  </si>
  <si>
    <t>Inv Set10</t>
  </si>
  <si>
    <t>Extensao (Ha/Distrito)</t>
  </si>
  <si>
    <t>Densidade  Pl.por hectar Set 10</t>
  </si>
  <si>
    <t>N.Pl Total</t>
  </si>
  <si>
    <t>% Infest Se10</t>
  </si>
  <si>
    <t xml:space="preserve"> Abatidas Out 10 -Marco 11</t>
  </si>
  <si>
    <t>Densidade  Pl.por hectar Marco 11</t>
  </si>
  <si>
    <t>N.Pl Total em Marco 2011</t>
  </si>
  <si>
    <t xml:space="preserve"> Inventario     Marco  2011             Nº PL. Doentes</t>
  </si>
  <si>
    <t>%      Infestacao  Marco 2011</t>
  </si>
  <si>
    <t>Abate Abril-Set. 11</t>
  </si>
  <si>
    <t xml:space="preserve"> %      Infestacao  Setembro 2011</t>
  </si>
  <si>
    <t>Inhassunge</t>
  </si>
  <si>
    <t>Maganja</t>
  </si>
  <si>
    <t>Pebane</t>
  </si>
  <si>
    <t>Total Zambezia</t>
  </si>
  <si>
    <t>Moma</t>
  </si>
  <si>
    <t>Total Nampula</t>
  </si>
  <si>
    <t>Total Geral</t>
  </si>
  <si>
    <t>Trees cut down (implementer data)</t>
  </si>
  <si>
    <t>Trees cut down (model)</t>
  </si>
  <si>
    <t>Diseased tree inventory (model beginning of period)</t>
  </si>
  <si>
    <t>Diseased tree inventory (implementer data beginning of period)</t>
  </si>
  <si>
    <t xml:space="preserve"> Zona epidémica Extensao Localidades Ha</t>
  </si>
  <si>
    <t xml:space="preserve"> Zona epidémica Extensao Distritos Ha</t>
  </si>
  <si>
    <t>N. total Pl FISP</t>
  </si>
  <si>
    <t>Densidade  Pl.por hectar Set 09</t>
  </si>
  <si>
    <t>Fabien Incidencia Inicial (Inventario inicial)</t>
  </si>
  <si>
    <t xml:space="preserve"> Abatidas Fev-Set 10</t>
  </si>
  <si>
    <t>Inventario Incial FISP       Nº PL.        Doentes</t>
  </si>
  <si>
    <t>% Infestacao Fisp Inicial</t>
  </si>
  <si>
    <t>Inventario Setembro 2010         Nº PL.        Doentes</t>
  </si>
  <si>
    <t>Tx Incidencia Set10</t>
  </si>
  <si>
    <t>% Infestacao Setembro 2010</t>
  </si>
  <si>
    <t>Fabien Incidencia Mar11  (Inv+ Novos cas abatid)</t>
  </si>
  <si>
    <t xml:space="preserve"> Inventario Marco 2011 !</t>
  </si>
  <si>
    <t>% Infestacao  Marco 2011 ( Morbidade)</t>
  </si>
  <si>
    <t>Fabien Incidencia Set11  (Inv+ Novos cas abatid)</t>
  </si>
  <si>
    <t xml:space="preserve"> Inventario Setembro  2011!</t>
  </si>
  <si>
    <t>Inserir  Repl. Z.Epid. 50000</t>
  </si>
  <si>
    <t xml:space="preserve"> Casos antigos  já abatid Q9,Q10(Out11-Mar12)</t>
  </si>
  <si>
    <t>Fabien Incidencia Mar12  (Inv+ Novos cas abatid)</t>
  </si>
  <si>
    <t>Inventario Marco 2012 !</t>
  </si>
  <si>
    <t>Soma  Entradas (120000mudas MCA / Madal )</t>
  </si>
  <si>
    <t>Soma das Saidas (Abate Q11,12)</t>
  </si>
  <si>
    <t>Existência final  N.Pl. Total Set2012</t>
  </si>
  <si>
    <t>Casos novos  já abatid Q11,Q12</t>
  </si>
  <si>
    <t>Fabien Incidencia Set12  (Inv+ Novos cas abatid)</t>
  </si>
  <si>
    <t xml:space="preserve">Inventario Set 2012 </t>
  </si>
  <si>
    <t xml:space="preserve"> % Infestacao (Morbidade) Set 2012</t>
  </si>
  <si>
    <t>Soma  Entradas (100.000 mudas FISP Epid Q14 ) Pressuposto !?</t>
  </si>
  <si>
    <t>Soma das Saidas (Abate Q13)</t>
  </si>
  <si>
    <t>Existência final  N.Pl. Total Jan13</t>
  </si>
  <si>
    <t>Casos novos  já abatid Q13</t>
  </si>
  <si>
    <t>Fabien Incidencia Jan 13  (Inv+ Novos cas abatid)</t>
  </si>
  <si>
    <t xml:space="preserve">Inventario Mar 2013 </t>
  </si>
  <si>
    <t xml:space="preserve"> % Infestacao (Morbidade) Jan 2013</t>
  </si>
  <si>
    <t>Observações</t>
  </si>
  <si>
    <t>Elevado n.casos novos abatidos, reduzindo o n.Total Pl,</t>
  </si>
  <si>
    <t>Hectoares/District</t>
  </si>
  <si>
    <t>Total Number of Plants</t>
  </si>
  <si>
    <t>Density of Plants/Hectare</t>
  </si>
  <si>
    <t>Initial Incidence</t>
  </si>
  <si>
    <t xml:space="preserve"> Felled Feb-Set 10</t>
  </si>
  <si>
    <t>Initial Inventory - No. Diseased Plants</t>
  </si>
  <si>
    <t>Totlal Number of Plants after felling</t>
  </si>
  <si>
    <t>Initial Infestation</t>
  </si>
  <si>
    <t xml:space="preserve"> New cases felled Out 10 - Mar 11</t>
  </si>
  <si>
    <t>Tx Incidencia</t>
  </si>
  <si>
    <t xml:space="preserve"> Inventario Setembro  2011 Nº PL. Doentes</t>
  </si>
  <si>
    <t>Diferenca % Infestacao Marco e Set 11</t>
  </si>
  <si>
    <t>Diferenca % Infestacao Set 10 e Set 11</t>
  </si>
  <si>
    <t>Replanted</t>
  </si>
  <si>
    <t>Total New Plants</t>
  </si>
  <si>
    <t>N.Pl. Total em Março 2012 - Old cases already cut down</t>
  </si>
  <si>
    <t>N.Pl. Total em Março 2012 - New cases cut down</t>
  </si>
  <si>
    <t>Total cases cut down</t>
  </si>
  <si>
    <t>Numberof plants March 2012</t>
  </si>
  <si>
    <t>Inv.Set 12</t>
  </si>
  <si>
    <t>% Infestacao (Morbidade) Set 2012</t>
  </si>
  <si>
    <t>Soma  Entradas (100.000 seedlings FISP Epid Q14 )</t>
  </si>
  <si>
    <t>Casos novos  já abatid Q14</t>
  </si>
  <si>
    <t xml:space="preserve">Inventario Mar 2013  </t>
  </si>
  <si>
    <t xml:space="preserve"> % Infestacao (Morbidade) Mar 2013</t>
  </si>
  <si>
    <t>z</t>
  </si>
  <si>
    <t>OK with prior</t>
  </si>
  <si>
    <t>Above OK not here</t>
  </si>
  <si>
    <t>Without additions</t>
  </si>
  <si>
    <t>Initial disease rate (implementer data)</t>
  </si>
  <si>
    <t>Discrepancy with reported data (Trees, end of period)</t>
  </si>
  <si>
    <t>Tree Population in 2012 survey (end of period)</t>
  </si>
  <si>
    <t>Rate of adoption of best practices</t>
  </si>
  <si>
    <t>Continuation Rate</t>
  </si>
  <si>
    <t>All Endemic</t>
  </si>
  <si>
    <t>Only Coconuts</t>
  </si>
  <si>
    <t>Yr5</t>
  </si>
  <si>
    <t>Yr 4</t>
  </si>
  <si>
    <t>Yr6</t>
  </si>
  <si>
    <t>Yr7</t>
  </si>
  <si>
    <t>Endemic Assumptions</t>
  </si>
  <si>
    <t>Epidemic Assumptions</t>
  </si>
  <si>
    <t>ha</t>
  </si>
  <si>
    <t>Percent of trainee ha  allocated to intrecropping</t>
  </si>
  <si>
    <t>percet</t>
  </si>
  <si>
    <t>Year 3</t>
  </si>
  <si>
    <t>Year 4</t>
  </si>
  <si>
    <t>r (rate of spread of disease) from 2009 to 2013</t>
  </si>
  <si>
    <t>r (rate of spread of disease) from 2014 to 2028</t>
  </si>
  <si>
    <t>PDV Endemic</t>
  </si>
  <si>
    <t>PDV Epidemic</t>
  </si>
  <si>
    <t>% Endemic</t>
  </si>
  <si>
    <t>% Epidemic</t>
  </si>
  <si>
    <t>PDV  Net Benefits</t>
  </si>
  <si>
    <t>Current Exchange Rate (LCU/USD)</t>
  </si>
  <si>
    <t>Domestic Inflation Factor</t>
  </si>
  <si>
    <t>Estimated Foreign Content of Investments</t>
  </si>
  <si>
    <t>Estimated Local Content of Investments</t>
  </si>
  <si>
    <t>Mozambique</t>
  </si>
  <si>
    <t>MT</t>
  </si>
  <si>
    <t>unit</t>
  </si>
  <si>
    <t>Disbursement Profile (Current USD )</t>
  </si>
  <si>
    <t>Foreign Content in Constant Year 1 Values (USD )</t>
  </si>
  <si>
    <t>Foreign Content in Constant Year 1 Values (LCU )</t>
  </si>
  <si>
    <t>Local Content in Constant Year 1 Values (LCU )</t>
  </si>
  <si>
    <t>Total Investment in Constant Year 1 Values (LCU )</t>
  </si>
  <si>
    <t xml:space="preserve">By Comparison: Investments in Current LCU </t>
  </si>
  <si>
    <t>Year 1</t>
  </si>
  <si>
    <t>Year 2</t>
  </si>
  <si>
    <t>survival rate</t>
  </si>
  <si>
    <t>yr2</t>
  </si>
  <si>
    <t>yr3</t>
  </si>
  <si>
    <t>yr4</t>
  </si>
  <si>
    <t>yr1</t>
  </si>
  <si>
    <t>Discrepancy with reported data (trees cut down)</t>
  </si>
  <si>
    <t>Foreign Inflation Factor (US$)</t>
  </si>
  <si>
    <t>Total Compact</t>
  </si>
  <si>
    <t>Coconut itself</t>
  </si>
  <si>
    <t>Cumulative</t>
  </si>
  <si>
    <t>Annual</t>
  </si>
  <si>
    <t>Q 13 - December  2011</t>
  </si>
  <si>
    <t>Q 14 - March 2012</t>
  </si>
  <si>
    <t>Q 15 - June 2012</t>
  </si>
  <si>
    <t>Q 16 - Sept 2012</t>
  </si>
  <si>
    <t>Year 5</t>
  </si>
  <si>
    <t>Q 17 - December 2012</t>
  </si>
  <si>
    <t>Q 18 - March 2013</t>
  </si>
  <si>
    <t>Q 19 - June 2013</t>
  </si>
  <si>
    <t>Q 20  - September 2013</t>
  </si>
  <si>
    <t>Closeout</t>
  </si>
  <si>
    <t>Eneida</t>
  </si>
  <si>
    <t>Actual Cost Projections</t>
  </si>
  <si>
    <t>Revised Q17 DPF</t>
  </si>
  <si>
    <t>MCA-Moz</t>
  </si>
  <si>
    <t>FY13 - Q3</t>
  </si>
  <si>
    <t>Rate of disease progression</t>
  </si>
  <si>
    <t>㜸〱捤㔸㙢㡣ㅢ㔷ㄵ㥥㍢昶捣㝡扣㜶㘲昲㘸㥡㌴て愷つ㠸㜴㠳戳摥㌴捤愳攴戱戶昷搵㙣㜶㌷㔹㙦㤲㈶㐵搶慣㝤扤㥥慣㘷挶㥤ㄹ敦愳㤵㄰㠸㑡㤴ち㌵㈰〱ㄵ慤ㄴㅥ慤ㄴ挴て晡扢捤㡦挲㉦㔰㕢㔴㈱愸㜸晣〲㈱㤰慡㠲㐴㔵㄰慡㐴ㄵ捥㜷㘷扣敢搷戶㐹〸㔲㙥戲㘷敦扤攷摥㌳攷㥥㝢捥㜷捥㕤㠹㐹㤲㜴㠳ㅡ㝥愳㠵搱搹㍥扤散㝡摣㑣㘵敤㙡㤵ㄷ㍤挳戶摣搴愰攳攸换攳㠶敢㠵㘸㠱㕡㌰㠸敦㉡〵搷㜸㤲㐷ちぢ摣㜱㘹㤱㈲㐹㤱㠸㈶ㄳ扦昱㤳㘸㜴㌴散搲挲㐴㘲戴㑡捡㘷㌳㤳戳㤷㐹昴戴㘷㍢㝣㕦昲㥣㉦攰㔸㍡㥤㑡愷〶㡥っ㍣㥣敡摦㤷捣搶慢㕥摤攱挷㉣㕥昷ㅣ扤扡㉦㌹㔵㥦慤ㅡ挵㔳㝣㌹㙦捦㜳敢ㄸ㥦敤㍦㌰慢㍦㜴㌸晤搰挱㠳攵㈳㐷づ挷㔴㤲㍣㤵捤㡣昲㙡㡤攴摤㈹愹㍤㈴㜵㈲㥢㤹㜲㜸昹㑥挹㔴㘰㡤㜴㡥ㄷつ㤸㡤㜳挷戰收㔲搹っ晤㙦戲ち㡤づ愵㈶愷愷戹攵ㅡ㥥戱㘰㜸换戰㥣㘶㑥ㄶ㘷捦改搵㍡㔷㑤愱㔲挴㍣愷㍢ㄳ扡挹攳收㡣换捦敡搶ㅣ挷㐸㌱㐷敡㐶㈹㑣搷ㄹ摡摢敤㐳㠱㤱㔲㤳搹㑣戶愲㍢㥥㉦㤲㍥戰扦摢㙡昱愵㔴㤳㉡㘲㡦㤸㠵㜹㔸㙦攰㌰昸愶搰㌲〲㔵㌵㈲㙡㤴挸挶愶㥤㐹戱㌵㤹㘶攱㝦㤱摢㌵㙦散愵㤵㜲㐱㤷ぢ戳㜲愱㈸ㄷ㑡㜲㠱换㠵戲㕣㤸㤳ぢㄵ戹㘰挸㠵换㜲㘱㥥搶㌴㕡愴愷㐷づ㕡捦㕦㡡㑢晦㑥摦挸㕥㝢攲摡㔳㉦㘴晦昸㐵〶㑦ㄳ㉥ㄷ愳㡥ㄶ㈷愲慥㈳搲㐵㤱〱挶摥㈷㐵愰捣㍦㡦敦㜸㝣昲挲愵搳搷摥㝢敢ㅦ摦扦昸挰㑢戱〴㙤㤹㈰ぢ愵㈶戸㜷㠷摣㐹㠱㘵㙥晥㐶愰扥㘲晡ㄷ㥡攳㙥㔱挳㙤㡦㔹㈵扥愴㔲㡦扣㈰㘶㘶㙤换攳㑢㕥㑥昷昴ㅥ㜳㑡㜷戸攵㘹戴愸㑦散昲㝢搸ㄹㄷ㜳㡤摤搱㘰㐴ㄲㄲ愲摢㈴愵㔷㑣昸㤲ㄸ挱㐱㈸散搳㠸摡つㄷ㐶㜵户攲改戳㔵扥愷捤㜱㘰㌷昲搵ㄹ捦愸扡㈹ㄲ㌹攲搸昵ㅡ㉣㝡愷攴㈰摣㌵戸㤷扡㠱㠸㐰㌱晣愶て㥣搴㌶搲慦愸㘰㙡㘰搲攵摥〰㘷㤵ㄷ摢㐲〳㔲㌱㘷㥢扡㘱摤愱换㡤摤㑢㐲捦〴戱㤰㜳昴㐵㡡敢㔵搱〳愹㝥晣晢㘴㘰㈳㕣㉢ㅦ㉣ㅦ㉡愷搳愵㠳晤晡〱㕤㐱㈰摤㙡㕣㙥愲㍤㌱昳扣㘱㤵散㐵ㄱ愸ㅢ㑣㡡㐲ㄱ㝣昹攵ㅡㄷ㔳戱㜲㕥㜷收㌸〵扦㌳㤶摢㔴捥摡㡥挳慢扡挷㑢㘲〲㘰扦愵㜵搲ㅤ㜶㙣ㄳ昳摢㌳扡换㔷㐱愰慦散㝦㈸㘳搷慤㤲㝢㕦㜷收戴㐷愲户戵昳㔶㠵㜴㙣㥢㈶㘰攴慥搰㜴㘷晢㌶攱晣㠳㑢㠶捦摥搱挶㈶㘸戴㘷搷收づ㍢晣㠹ㄵ㙥㠷㐶㠳㤴昱ㄶ㌸昸ㅤ愷昴㔹扥㕥〴㘴戶换㉤愱㕥㥦㌹㘵ㄴ攷戹㌳捤㤱㉦㜹㐹ㅣ㜵㌳㔸㥣攲戱挸摤扥㐹㤸㥥戰戹㜴㝦昳㙣㜹㘸挹攳ㄴ捤㈵搲㤷㜲㤶户㥣㐷㈴摤搳戲挴晦㈶㌱戶戶㑣て摢挵扡㡢愸㜵散㙡㉢㘷戰戴愰搳㌷㑢愷敤ㄲて㠷攵㤰ㄴ㤶挲㘸ㄲ攵㠲㄰㠵㜲㝦㕢愰㡡挴〳搹㙥㌳挲㌷㜹づ㈰晥挰㑤㙤㙡㜵㉦散敢〶ㄹ㉢愵〴扢户㌵㔶㔲㘷挹㝡㘴愵㉡㐷㈰挹敤㠸搲愴攸慡搷攰㈳㕤昱搴㍦㔱㤳捤攰户㔸晤搹戵㡦㈲挴慥㜸挶晦㜷戱㉣㙦っ㑥㍦戴㐰㤸㍤慡㕢愵㉡㜷㍥摥㕥搰㐸摢ち戲つ攴㍥㤰敤㐴㈴攵捦㠴㜰㙢㕡ㄳ搹㤰㉤戱㘵㘵搱㈸㜹ㄵ戵挲㡤戹㡡㠷㙤ㄱ㙡㌰㌵摡〳昴昳〶挱晤㕦㔱〱㙡㍢㐱㜶ㄱ㠹㐶愳㤲挰㔰㌵慡敤愶戱㝡㍦㠸敦ㅤ㔱挶㤰愰㐴戲㐷㝡敤挴摡㑦搳㙣㔴晢ㄸㅥ㐳㙥〶扥㘹㝢㐱ㅥ〴改㈳ㄲ㤵搸㙦攸㐸㌸㔶㥡ㄲ㜹㠲㤴㕡㔵敥㜳㔸㤵挲慡㈶攵晡挵㔸ち〳晡扢㔹㜱㈵㔱挱㠸搱㜱㕢㉦つ敢㐵㉡㍦㝢㠲攲㌳㤲戵捤ㅡ愵㑦㈷㠱㤵㔹ちㅥち捡〵愳挴㥤〸㈶愶愹搲つ㔳敤改慡〲㝡㕣捡㡢㈱㐹㔱㝡㈳摤扥㌵搶㤰戵㈷戸攲收㑡㝡慣㐳晥摦捥ㅣ㍥㠱㑡㌹ㅡ㐵つ愴愵㐱〶㠸㈸戸敡㕢づ搷昵戴改ㅥ㜳扡㘲㉦㡥搲㍤㜳搷慦敤摣慣㘳㜸㕢㍡愷㈹捦敢收㔶㌱㍦攲㜰㐲㘸㈷㑦㐰㈵捥㠸ㅤ摢扡㜲挴愶㙤㈲㕡㥡㜰愲慦㝣捥攰㡢挸㉥扢㍡㔹㔴㥣㘶敢慥㘷㡢戲㘴㘷㈷㍦㘷㑦搸㕥捥㜰㙢㔵㝤㜹㑦ㄷ戶捦㌹㕦攱ㄶ㠱慢㐳ㄸ晢㐹㡢散㕡㡤㤷扡攸㌸㙤搷㥤㈲ㅦ换摤つ昰㑣㌷攵㌷㈶㤰㤹㐵㤸㉡㌳㙡户㠷っっ敥㈲㍤戵改㈷㈳㝦㝡昲改ㄳㄱ挲㝢㐶〱㐲㈱愲〰㉤㙥〷挱ㄱ㤸昱㤶扡㘱㌳㕥ㄹ愷改㘵㘶搴慡㍣愳㍢攴搸戶攳㙡㘶愳敢㍢㕥㔳扤敦㐷换摤㘰㙣㑡㠳㝥〲㑣慤㥤〰㥡ㄴㄷ㍥〸㘷〶㕥戰㑤㙤㤹㑡㥣ㅢ搰㜹㥢㜷愵晣㤲㤰敤ㄶㄵ〱㌰昷㉣愰敡㉦ㄴ愴〸搴㐲㘳捡㕢㈴慡慢㝥挰晤戰㠵搷愰搸ㄵ㥤户散㐵㑢㘸慥戸㈸挶〴搲昷昴攰ㄸ愸愳㐵㍢搸㜰ㅢ㐹㐱㝡改敢㘶㉢扦㘸㕥㜹慥㡥㤵㈸㝦〵敦搳ㄸ摥愷㜹㠷㡢㐷㘸㐴っ挸㠴㜱昳扣敤捣捦摡昶㍣㥥㌲敢挴挸慤㜰敥攱挱搸㙢晡慦㕥昴挹昷㐳愱㤶㐷㘱㘰㜷㌰㔱戲晢愹攸㘱敡㠵㠶㥤愲ㄸ戱㕦搰昹昱㝥㝢晦㔷㙦㕣㝦攷捤慢ㄳ㍦㝣㘷攱昵捦㍣昳慤㡦搸捦〳挶㙦㉦晥昸慢昱ㄷ敤㐷慦ㄷ㉥昴㠵㘷摥㘶っ㌹㔳ㅣ晥㈸〴〵㍦ち㜲摥㑤搵ㅣ㜸挵慣㉦慦㈰㕡摥昰慡扣户散㍢っ晡㤱㌲㘱ㄴ搵㠳愵㥥㜲扥㐲戶挸挵换㈳㡥㔱慡ㅡㄶ㠷㐳㔱愵㡤㈷昷㌸㥦愳摡㙦捡挶昳摥戶攲攵扣愳㕢㉥㌲㤰㔵㕣摥搰㌲ㄲ㌱愴㤴㌳㠶攵搲㘷〴㡡愲扦扥っ㤰愷晢慣㥢搶㠸㕥㜳敦㠶㈰ㄳ㘶㈵昳㔰昳㈱㑤㘶戲捣㈲㜲攴㌶攳㐴㔲ㅦ㈱㔱昱愶戸㍣㥡愴搲㔰ㄶ㔸㈷㈳㐹愲〸㈰㠸㐳慤㜲昳㜵㈰㉥㍦㈶晥㠰ㄲㄴ攸愱㙥㘹㝣愵㔰ㄵ㜵搷攷㘹て摢つ㐲㍦摡戱愰㠳〱㐳㤹㠳扡愳㉤㤱ㅦ愷㈹敤〴ㄶ愰戸〱㍡户㐲戴㑡愲〲㠸㘶愸㝣〰搳散愷攴戴〰〷敡㑢㡣扤㑥㍤挴㜷㤷昸㘴愸㤳㐴〹㠸㈷慥㥡㈵戲ㅡㄳ搷㘹㑦搷㤸㜸㉤㘰散晦捡攵戹摣搸扢㈷㕦㍤晥挱㡥昷昶晦晤㉡㐳㔱㠵〸㤰搴ㄱ㈲㠹ㄶ㡢て㥤㍤摢捤攸っ㌵ㄸっ慦㡤ㄲ㘱愸挰㠴㙤挶㠲づ〶〹㔴㌳㈸㙥搴㐷㠹㝣㉡㥢㈹昸搱摥〰つ昵ㄴ㑤慦愳改愶㑡㍤㠱㝢挵ㅥ㙤ㅣ〴㔹㈸㠱㐸〵㥥㘹ㄳ㈰㤳㈰㔳㐴愲㑣㕣ぢ㠶㘷㠸㌴㕡〲搷㈳㤶㤳攲㔲㍣㤴挰㔵〸㠹搰㐲挳㌷ㄳ戸ㄸ㌱㌵㠳㈹搴愱㑣ㅣ〳愳昳㐴ㅡ㉤㠱攳〸㔹ㄷ愸ㄳて㌱㈸〵扢慢㡦㘱㍣㔸慤㈶ㅢ攸收慡ㄷ㌱搵晡㐷戵㑢㌴搵㥦ㅤ㝦㉣㤷ㅣ愲愷㥥㘹ㄴ昵㈴搵晡挹愱ㅡ搵㤶㘲㌴㐹㘵攸㉣㜷㤲改㜴㜲愰㍦㝤㈰戵㔴㜵㤷搸换挱㍤㍤晤敡㤵ㅦ㍣昷㥦昲搸换ㅢて扤晢攱敦敡㕦㘳㉦〵㡣㡥扦㜹挱㌰慢敥㔰愰㔱㘸搰㌵㝤㠸晣㕥戰愹〳㈲慦〶㡣㘷换敥〷㍦ㅡ慥㘴㥥㤹摣昹捡捦扥ㅣ摤捣㘰攱ㄵ㘹ㅡ愴昹㤲㕥㕣㑢搲ぢ〱㘳㔸ぢつ㍦晢㠷㕤愷㕥搹晥愵㌷扦㕥晢收摢っ搷搴㑤搲昳㙢㐹晡㑥挰昸昵敥ㅤ扤㡦㙦㥤㍢昹晣攰㠷扦摦㍢昳攰㤵㐴攳㠶ㄵ㕣敡㈳摤㌲㔳挷愳慦慦晤㠵㍤㐴㉦收㘵㕣㝢㠸㡡㜹㐵㈰㙢㔸㍥㝡㝢戲ㅡ搵〱攰㐱昹㌶㘹晤㍦挸㐱慣戴㈶㜷ㄱ㔸㔵㥡㘶㜰㔰㘱㐱㌸㥣〶ㄷ搳㉥㘱晥ㅢ㠱愱㍡㝣攴㑡挰㘸晦㡢㘶愲攱搷っ慥っ㉢戲攷㘸㈹㔴ㄷ㕦愳㔷㡤愴攰㤳敤攵〴㕥㍦挳戰㕡摢ㄳ戲户ㄷ挵㐳晥扢慦㥤晣攸挰ㄷ〶ㄹ昶㘳㝢㘳愲昷扦ㄸ㌵㤰ち</t>
  </si>
  <si>
    <t>DPF-QFR Compact</t>
  </si>
  <si>
    <t>㜸〱敤㕣㝤㜸㥣㔵㤵㥦㍢㤹㜹㌳㜷㤲㌴搳て愰〵㕡〲㤴搲㌶㌵㌴㉤㙤愹㕡㤳㌴㘹㑢㈴晤㑣ち㈲晡愴㤳㤹㜷㥡㘹收㈳扣㌳㘹ㄳ㤷㘷〱㍦㜱昵㔹㜷㔹㥦㠵㈲㠸愲敢㉡扢㈲扡㍥㠸慣扢㉥捡挳扡㔲㔹㈸戰㉥慢㉥㉤㉡愸㝣㐸ㄷ攵㐳挱敥敦㜷摥昷㥤扣昳㘶㌲〹戱㍥昶て㙦㌳㘷敥㍤昷摣㡦㜳敥扤攷㥥㝢敥㥤〶㔴㈰㄰㌸㡥挰㙦㠶㄰㈳㘷昶㡥ㄵ㡡㘶戶愵㌳㥦挹㤸㠹㘲㍡㥦㉢戴㜴㔸㔶㝣慣㈷㕤㈸搶㠰挰攸㑦㈳扦㄰敥㉦愴摦㘳㐶晡昷㥢㔶〱㐴攱㐰㈰ㄲ搱㐱收㍢㥦㤸㥢搰㉣愵㐳〴愰ち㘸ㄲ攸㕡㠲〸㐰扤〶攸敢摣戸㝤㘰ㅦ㥡敢㉤收㉤㜳㐵搳愵㜶愵ㅢ㕡㕢㕢㕡㕢㔶慤㕦戵戶㘵攵㡡愶捥㤱㑣㜱挴㌲㌷攴捣㤱愲ㄵ捦慣㘸摡㌱㌲㤰㐹㈷㉥㌱挷晡昲㐳㘶㙥㠳㌹戰㜲昵㐰晣挲㡢㕡㉦㕣戳㈶戵㝥晤㐵昵㔱搴扣慤㜳攳づ换㑣ㄵ㑥㔴㥤㜵慣㜳㝢攷挶㤶㙤㘶昱㐴搵㔹㡦㍡㔱㘵㔷㍥ㅢ㑦攷㑥㔰愵㘱ち㝤㜵㤷㤹㐸㜳㜴㑣搳㑡攷昶戶愰摢㘵㠲㐶㙡㕤换㘶㐸㍣ㄱ㉦ㄴ㍢捤㑣㘶㤷㤹攲挰搴㘷㈹㌳搳㌲㜳〹戳㌰㉢扢㘹㌴㘱㘶㥣散㐲㈴㝢㘹摣摡ㄶ捦㥡㈱㐶ㅡ戳昶戸㜵㈷捤㕣㌱㕤ㅣ㙢挸敥㉥㤸扢攲戹扤㈶㐹挲搹㉤㈳改㘴㈸愴㐲愱㐰捤昹㤵㍡㈳㘳搳戲搹㑡㜴づ挶慤愲愴㌸㙡慤㤵㘸㍤㌳㐴㍡㕥搶㉤捥愲㈶㕦㈹づ㔳㙦㍡㝢㠹㘹攵捣っㅢ攱攰㌵晢㠸㐴㈶戶攸㑢挲㜱戹攱挰愸㍡㘷㐱㤰ㄵ戶愲ㅢ〸㘶〱ㄸ㡤〰㌵㥢㜶敤搲㌱愲㘶〳愸搰昳㔸㔰摥㈲㙣㌳搸ㅦて昶て〴晢ㄳ挱晥㘴戰摦っ昶愷㠲晤㝢㠳晤㠳挱晥㜴戰㝦㕦戰㝦〸㌴㙥㠸搴搶〶㥤㜰挱晢昶敤敤敡晥㜹晢搷摦昶攲挲㘷㉥㜸敥㤳㘱慥愱㌵㤵晡敦ㄷ㑤㐷愱㌰㤲ㅤ收攲㜵㠶㡤㉢㑤㘷扢ち挵ㅤ㜱㉢㕢㌸戱攳㡢搱㥤㙡㠰㍢ち搹㍦晣〰愳㤱ㄳ㌲挰挶㕣〸慢愵捦㑡㘳ㅡ㡦㘴攲搶㡡慤改摣㠶㤵㉤㉢㕢搷慥攸㐹て㤹㤹戴㔹㈸㌲扤㝡摤㥡ㄵ㕢攳愳㡣慥搳昳㈸攰㔳〰㡣㔳〱ㄶ㕡㑤㑢慤㜸搱㙣捡愷㥡ち挳㤶ㄹ㑦㌲㤶㑣ㄷ捣㜸挱㕣愶㑦㈳昱㝣〰愵㥥挶㜴攱㤴㜹攴散㠵㜵敦㕡戰户晤㠶㡥㔷ㅦ㕦戶㝢昹挷ㄴ㔵㈵挷摢㌸ㅤ愰戹㈷扦㜷㕢摥捡㐲敢㙤㌵攳散捤摡昵㉢㝡㡢挹㉥㜳㍦㥢㕦扢㘶㐵㑦㍥ㄱ攷㜸㙦㔸愹捦㐰〱㝤㈶㡢㉥〴㔸搴㤹㑦攴㜳㈳挵愶㕥搳㑣㘶愰〵㥡㝡㐷慣晤改晤昱㑣搳㉥昴㔰㉦㈲昵㔹〰㑡ㅤ㜱晡昲ㄷ愹挲㡢㥦摦㍣戸昱扡敤㡢扥㜴敦戵搱㔳ㄴ㌵戶昴攵㙣㐴收㝢㍢㜲攱㜸㉦搶敢㜳㔸搵戹〰挶㘲㠰搳㜶㔸改㠴搹㌴㙣㕡㑤〹愷ぢ㑢户昶攵㤶改昳㐸戶〴㐰愹挷㥤ㄶ㥦敥㕤晣て愳㙤敢㝡慥㝢㜴捥㔵攷㐶て扤㔵㔱ぢ㐹㡢㑢ㄱ㈹㙢㜱㡤户挵㘵慣㙡㌹㠰搱っ㜰扥摤㈲㈴扤搷㌲捤ㅣ㥡ㅤ戶攲搲㠱愱㜴㈶扦搷㡡㘷㥢散ㅥ慣㘰戱㌷〱㈸㜵搸改挱㍤㝦搳㜰攳㙤㜷晥慣晢敦慥㕦㌶晦㜳愳㠷ㅦ㔴㕣㌱搲㠳ぢ㄰㔹戲㈵㥥捤挶㍤㐲㙥㔹扤愲㌷ㄱ捦㤸㌲て㄰ㅦ㡣て㥢ㅢ㔶改㤵慣戸ㄵ挰㔸〵㜰づ〵捣㠱㡦㈷昳戲ㄸㄹㅦ挰散㘹㐲扦戰戵㐲戹敡搵㉣㜱㈱㠰㔲て㌸㕤搹晣攰㤲㘳㜵晢㜲ㅢ㍦晡㠸扥㈷晢捥敢㉥慥㕦㡢散㥤㡥ㄶ敡戲攲〷㌰㠸攳扢挴慡ㄶ㑣㠰改㙣㡦搸ㅤ㔳㙢㔲敢㔲慤慤挹㌵㉢攳慢攳㘱敡戱改㉡㘵㑥敦晡搴㘵改㕣㌲㝦㐰戴㜴㝤㙡㜳㍡㔳㌴㉤㐹㌴愶昰㘵敦㌴㤲㙥㐸㙤ㅡ挵ㄶ㥤戰ㄵ晡扣㔴愷㘹ㄵ戱戵ㄵ挷挶㤵挰㤹ㅢ戱ㄲ挶㤳捤㑥摤ㅢ昳㈳戹㘴攱㡣捡㤹扤㐵挸昳㜴㝦摥㜸㈵ㄳ㡡昵㘲摢㌳ぢ搲愵㐵晥㘲㤷挶㌳㈳㘶挷㘸摡捥㕥攸换挶〶㤸ㅦ㤸㍣㜷戳㘵㕥㔹捡㥤搰愳づ㡣敤㝥愹㝢〲㤷㜶㤶摤慦愶捥挱㝣挱捣㐹昷㥡戳㍢搲㠹㈱搳敡㌵㘹㜴㤹㐹㘱昵ㄴ㘶㌹扢㜰昳昶ㅣㄸ挵扥㥡㍣挷㡢愵愰捤㕣搲㑣愲扦㔸㘹挵戱扥昸㐰挶㍣戵㡣挴㙥ㄳㄹぢ捡搰㥢昳㠹㤱㐲㘷㍥㔷戴昲㤹昲㥣㡥攴晥㌸㜶晥攴搶㝣搲っ㐹〸搸㔰〵㙡㙡㤴ち㉣慤戴〵戱敥〲㌷㔹捦㈴攱㔶㕥㥤搸㌳㠹㐸㕣㜱㜳㉥搵㡣㠸㘷㤲㤱㝥㔹搵㥥㜸㈷㈱愹㔷㔶愵慥㌰㐹㔹㘸㝥昹挲㙢搹㠵昱挱㌸㘴㑣慥捡攰攲挹慢ㅣ㥦㤷㔳昴搴㌳㉡戴戱㐹㕤㐵㘸㔲㙤㘹敥晤㘱㠹㠳挱戹づ昷㥢昶挳扥扢㌸㥥㑢㘶㑣慢敡〹㐱戱㐷㝡ㅤ挱㐵〴敢〹摥㑣昰ㄶ㠰昰㝤搰㜱㤳㑡㤴敡㔶㡤慡戱昰㠱㜴戲㌸㘸っ㥡改扤㠳㐵攰㜰戲㠸㐴㈸敥㙦攲搳㡦捦㐷㘱摣ㅥ攵㘱㐵㙦㈰㜸ㅢ㐱ㅢ㐰㌴ㅡ㌰摡昱ㅤ㌰愲扡㠳㕦ㅢ〹散〹ㄹ㔵㘱摡㙣㙦摣戲攴㌱㐶㡢㈱㡢㤳㐶㈱㥣㠵扤㕣愸愹愹㈴㠴㡢攳㠵挱㈲搷㕦搵㑣戱㈱㍢㔹㘹ㄷ㐰晤㈶㠰㙤ㄷ㥢ㄹ慣摥ㄳ㜵㐸〹搳ㅣ㥤搲ㄸ㥥〳愲㔳戳扤㘳戹挴愰㤵捦攱㉣搷ㄵ㉦挶㍢ㄲ搸㤴ち㉡㙥㘴㝢昲㥤㈳㐵㈳㝢㜱ㅡ㕦昵搹㕤收戰ㄹ㉦㜶㐲㍢ㄷㅢ戲㍤㌸㉤㠸晡散㑥㡥㠶戳戶愱摦㘵ㄶㄲ㥡㈷㠲㙥㘸愳㔱〳㌱愸搷晡㉣昵㡢㌹㕡㘴搵戵㔹搸㥥㤸㐵ㅡ㐴捤㔲捡㡥戱㘴㠳攰摣搲㔱㈷㠵ㅡ㘲ㄲ昵搴㔲㈷〸扢㈶搹㥦戱㜱挲〸て㌹搰扦㜰㜶ㄷ搳㤹㐲㡢㈳摥㤶慥㍣㑥㡣愶㥣㘶㈹㜶挳挰扣㌲慡づ㤶㝦㝤昳㐸戱㍤㌱㘰㔷㡢慥㙣戱昲㈳挳戴㍡㑦㔴㍤慣㉢愰㌷〳摣㝡散昶户㥣㜷换㤷㡥㍢摦㔷㘳攵㐸搰㍣㜵攸㜶〰㈶昱㈵㐱㜷攳㉢㕡㉤㉦捣昳㐹㐵〵㍢挹改㠷ㄶ㘸㝤ㄶ摣昶挱㥡攲㈸㐷㈴㌱㌶㙣㌶㘴㉦换㕢㐳〳昹晣㄰搱戳㈴㔵ㄸ㌴捤㈲捦㐸㜵捥㤱㤰㜱愵㔴㑤㑤搹㘹挸㜳㤸攲改捡搸ち搰搰㤱挹㌴戹㌵ㄶ㡣㙤㐰搵㘰㈳㌱戶㈳戲戲戳攷昲慥愶㑤㤸㔴搹㜴㈲摥〴つ搴戴㘹㌸敤愴戶㈷㡡昹〱搸㤷慤慤㑤慢㔶戶慥㙥ㄹ捤ㄴ㐶搵㥤㤰ち㉤敡㘳て㝦昷㥦ㅦ㝢攰㤳摢㙥㝢㙣晦㌷㤷㕣昷昱搷搵㤷㥣㡣〹挷㉡ㅡ㌷㔵っ愱戲挳ぢ㤷㔶㤹㈱㌴㘱㡢户搵捤㥦っ㤹㤳捥㤰㈹㌷㘲㤶㑦戱㜳晢捣㤸㐹㌷慤㍦㤹〱㤵ㅣ㠵戶ㄹ戰ぢ㡢㐵㝤ㄱ换㡥摢㍥攲攵㐱昷㈱慤㜷ㄳ㕣ち㠰捤㕢戴ㅡ昶敥㜷搸㐹挵昳㌴㌷㙤㝤㌹挱㍢〱挲㍣㍡㔷摦摡戰㕣愹㈱㐳昴㜶㌴㘴扢捣㔴ㅣ㝥㐳搹㡥㔴晣㡦戹㕢㠵攰㕦昵㙣㔵搵㤹㐰摦戹ㄳㄸ㝥〳户摣愵〵㐷㕢㜲㡢㤹敢㠳㑡㉥㤰晣㐴㙤㐲㈷慡ㅥ昶㐹㕦〱攰㠶昰㘷㌱ㄱ愶捦ㄳ㑤扣摡晤戴㈴晡晢〳ㄱ搶㐶㡣㍥㤵愰ㅤ〰㤵㤵愶㤵敥〷㈲㕡㉤㑦搱攳挲㑤㔰㜳搳㌱㤲〰㌵㤸㉣㥡摢㡣扡〹㔵㔵摣㌵づ㍡ㄹㄳㅣ㌴㜴戳㜰攷搰㠳㉣㝦〳挸㉡捦昲㝤愴ㄹ㈲挸〰㜸㘶㜹捥㑥㉡扡㙡㘴㤶攷㐹㌴っ愰攸㤴ㄱ㈷搱㤵㠸戸㐱晤㈵摡愰〰㐵〸昴敤㑣ㄴ挲〸戰㔱㕤㈵㑦㥤〵㡡㤲㄰㌴㠵㘰ぢ攰晤づ㥦ㄳ戶捤昷㌹ㄹㄳ扣㐲㜴昷㠸〰晥ㅣㄱ㜵㉤挸㉡ぢ攰ㅡ戶㜱㉤挱㝢〱㍣〲㜸扦㥤㔴㜴ㄹ㠹〰㍥㐰愲て〲愸昳〰㐴〰ㅦ㐲挴つ㙡ㄴ㙤㤴〴戰ㄸ攸㠹〲昸〸戰㔱㕤㈵㑦搱昳㔴㐹〰戹挹〴㤰㜵㌲㈶㌸愹攸㝤ㄲ〱㝣ㅣㄱ㌵㌴愹〰晥ㄶ搹晡〶㠲ㅢ〱㍣〲戸挹㑥慡攵昸ㄶ〱㝣㠲㐴㌷〳㈸扡愸㐴〰户㈰攲〶㌵攰ㄵ㐰㌳搰ㄳ〵昰㘹㘰愳扡㑡㥥愲攳慢㤲〰摥㌱㤹〰㉥㜳㌲㈶昸挸攸敥ㄲ〱摣㡥㠸摡㍤愹〰晥ㄱ搹晡㡢〴㜷〰㜸〴㜰愷㥤㔴慤昸ㄶ〱㝣㤹㐴㕦〱㔰㜴㡣㠹〰晥〹ㄱ㌷愸ㅥ慦〰攸㘳㥢㈸㠰慦〱ㅢ搵㔵昲搴㠵愰愸㈴㠰㡤㤳〹愰挳挹昰㝢收挲敢㔰㤳晦挸㈱ㄷち㈵㥦㠵挷㡣㈰㠳㐶㙡㜷㉥㕤㉣搴愵㍡㐶㡡昹捤改㈲昴㝣㝤ち〰㔱㈹㜲扡ㅣ敦㍤㠵㥡㔳㤷愶捤〳搴昰㘷㑤捣挲㕤㑢攷㐸愱㤸㤷搳搴愲㠹昹㕤昹㙤昹㘲㔷扡㌰㥣㠹㡦㉤慥㤰㙤攷㕣㌶㘸收攰㙦戲攰㜶㥡㡡㈸㍦㍣㙣㈶㉢昴戱㌷㍦㘲㈵捣敥慥㤳挱㘳愵散㘳㘱〰㈷て散户敡扣挹敤㍣㡦摣改戵〸攲戴愲㘶攸昰㘸㐷㜹愵敦〵挴ㄶ愵㌰挵昵户㄰挵㑣て搳ぢ㔲㝤㡡㜸㝣㘰㜵㉣㤴挲戰摡戸〶挷挹摡㥤㉢攰挸ㄳ㜵㔲戸㡥㤸攵㐴户㡦ㄴ换㜲攲愳㜳㥤ㅣㅣ愹戶攷㌰昴㠹戸㤵㍣ㄹ㐶〵㡣㈱搸㐳愲っ晣㥢㤹愰敤㙡〲㠱ㄷ摣㑢敢ㄷ慥挶㘲晦㌶搰㤴㌵㥤㑤ㄵ㑦戸愵攵㠸㠸挷㠵㐸㍢戱㠱攲㉥愱㈳㑣昱㡡㐵㐶挱扥㘱㤹㈵ㄴ㈶㈶㌸慥㌸㌳收摣昲愴㔸㤶㍡搵㌱㔰挸㘷㐶㡡收慣㔲㑣ㄶ扡㑥敤㌲㌳戸㤸搹㙦搶㤷㘲㍢ㄲ㐵㌸捣㑢昵搱搵㝢昲㡣㄰㈴ㄲ㜲㐶㐹挹㌸ㄹ㔵㈶㙦㌹ㄳ㕣㐳㌳ㅣ㔵㔸㌴㈹〹捦户愹㥢づ㌲㝣愱㉤攰㐶愲っ㠱㌰㥤㠸㝥搳戱㕣搷㝡晤扤㕣㐹㜳摤㙢〸㕢挳㠹昲慡㜷㜱㜴戵㌶愴㐴敦攱㍥㠵搷愴㡤㕣㍡ㄹ㍣㍤挰捤㑣㍣㤳ㄹ㥢㤵敡捥㈵㌲㈳㐹戳㈷㍥㘰㘶㕣㥤捤㕢戸㤳㘳扣攴戹㠶㍤㔶㔵攴攲〸愵ㅢ㙦㌶㕣敦昲㡣搵㕣㐰摦〷戱捡㤶㡢㍡愲晡㝥愴㌸㌴㜴敤捥挸戹㍥㘷晣㙡㐸ㅥつ㐰戵㑤㐰㔱愷搱攳㔸昲捦换㡡昳㤰昵攴㜱昹㌹㘴㈶㍤愸㡢搳㌶敡愴㔹㔷㌲㑣㠶㘱捣㜴㠳戱搷挲搷摢㈰㘸〴㈸㍤晢扢㡤㕢つ㐷㠰㝥㜰扦慦搲戳㌸㘴敦ㄷ㈵㐸晦㔵㈳㌵㤸㙤㌸昴愵㡢ㄹ戳㉥㈵昹ㄲ㡦㜰㐹㔰㥡戵愹扥㐱昸晤扡ㅡ㔲㕢慣㌴㉦㡥㑤ㅡ㈱戸换攳㐳㡤ㅥ㜳㉦㙥㥤㜶攴ぢ㘹摥㌹㌷愴晡慣㜸慥㌰㑣昷㙥㘲㙣㑥㔹㑡〶㉢㥣摡㤸捥㘱〱搹㙤㌲摥㤸敡ㅤ捣ㅦ挰ㅢ愳㤱㙣㙥㑢㝣戸㜰㔲っㄴ戴㤰ㄳ散㔵ㄵ㔴挱愰㡡〴㈳㌳摤慢挴ㅢぢ㠳愰㈶㐰㙢㌴㐸攰っㄷ㙦㉣慡慣㔹㡥㤴㜳敦挷㌵换㝥㤵㍤搹愸㜸晢㔰㝡愴㐵㍤慣扦挳㌲晦〱昰昶㉤扢扢挷㙦㡢㝦慦〷㔵㘱㑥扦㉡摢㠱㑣㡤搲搵㤴㌸㙦散改㐲ㅣ㘷㡦㤶㔱㘷捡㍦〵愳㈹愱攱㙣挴づ㑡㜲㐶㌷攳昶愰ㅥ㡢ㅦ敡ㄷ户㉥搰扢戳散〴㑤㍡扣㠵㈸㌸㜹㥤㜹㕣捥㜳㝡㜱㙡捡戵㝣㐴散㙢㘸ㄳ㥤〲㤰㌹攸愰攲愳㐰挵㐷〵㠵㉤㤹搷捤ㄲ㘷㕤昹扤㜱㉢㕤ㅣ㠴愳㌹挲〴慦㠴㑦㡡㜹㠹㈹ㄴ㠲攴摤㈰㤳ㄳ挶慡摦㠳㘴㕦㑡㘰戸㕢㜰㝥愰攸㌸晣㤸扤㐱搹挷搵っ敦昲㘰捤㡡挲搷て愰戶㌰㉦挳愰晡敤慥㜸㡣㌰㘰㐴ㄱ愹づㄲ攰愳て㌹ㄱ㈶㐲扣敥慡㝡捦挲昷ㅥ搱㥥㝣㍣戹ㄹ慦〶昲㔶慤昳〰㌰㠲愱愵㕡戱㘲扣㕢敢挴㝤㌴敥戹昷挳ㄶ戶㈲㐴昴攲搶㉡挴㕢㌹挳ㅥ㐳ㅡ㤸㠱㜰戸㉥㔲愹慤㙥户慥挵捥ㅤ㠴昷㠵㘳昷㠴晡㥦摤㜹㤱㘸摢㘸㤴愶㠴晥ㅥ挱㠳〰慡ぢ㠰晣昸〸晥㤳〴て〱㠴㜹㜹攳㕦㈵㤳摥㐳搵戰㐴㤶昷㘳㤱㉣搹㠱挹㘱攰搶っ昷㙣㄰㠹㔱ㄷ攱㍤㤵㝥ㄸ攰㝢㠷づ㔱挹〷ㄴ㉦㝡摣昶ㄷ㈰敥㜴昰㌰愲晡ㄱ㠰昰㉥㠰㌷攰摤ㄶ昶㑡愷㑣㌱㜶挷て㤵つ㈹敦ㄹ㜲㙥捡㌹㑣㝡㡥㡣㍥㥣ㄸ㔹㔸攷㈷搱㠱㄰攲㠰搸摣㔵㌳搳ㅤ㔸愶㍤攷㜸㌴愰晡㔰愱っ㠶昱㈸㘲愷㡤㍦ㄵ㙢㠲㝣㡡㔶㝡㘰㠴摢㈲㥢ㄵ捤ㅦㅡ搷晣㡡敥㙥戹慦㝥っㄱ㐵扦户捣㌲愵散㐵昶㝤㈰愶㕥㘴昴㡦换㈲晢㙦㈷挲㠴愲㤳摣㥤ㄸ㠸扡ㄳ攳㜱㐴昵晦〰㈸㍡搰㉢㄰晣㠰〴㍦〴〸㕦〱攰搷㉡攵ㅥ㘷ㅣ㤹㌵㠸㐲扣昷ぢ昱收㌶㠲㑢㔰戹昲つ换ㄲ慣昳㕣搵ㅡ昶㉤㙤〴㘵㄰换ㄶっ扣㤲戲捣㘴搴㥥㕤㥣昲㔴㈴挱㘰〸㑡捡昰摦扦㑤㘸㤶㔵昴㥡攲ㄵ㔷㥣戲挶㡦〰捥愳ㅢ〵昵昷㔷㝦㙦搷づ㔲戸㜰㡥攳㑢〲㡥攷㑦㌰ㄲ㔵晤㠰慥㐸攸㠴㜲ㄶ搳ㄱ㐴昵㔱〰㐵攷㉥ㄷ㤴㜷昸昷㈱㘹て晦㤳㠸㥤㡡慤㈲㈷㙦昳愶ㅥ晤㈱搰换攸晦㤸㌵搲ㅦ㕣㌶晡㍦〵㘲敡搱攷挴㤲搱㝦捡㠹挸攸搳㜹散㜲㠲愸换挹搳㠸敡㥦〱愸㘱㠰ち〴㍦㈷挱㉦㐸㜰㈵〰㘷㠰昱っ挰ㄲ㔷戲㔳㍣ㅦ㙣〷慤㑦戴捦〱〵搱搲ㄵ敤戶攷ㄱ敤昳㐰敢㕦〲㈸扡㡤晤愲扤〶㌸㕢戴㉦㈰㌶搷㝥㙡㌸戵㕣慦〵戱挸昵ㄸ㈲㡡㙥收㌲戹扥〸挴搴㜲㝤㍦换攲愳㝦攵㐴㐴慥昴㐹扢㙣㈰敡捡昵搷㠸敡㤷〰搴〷〱㉡㄰扣㑣㠲㔷㐸㐰ㄷ戶挸昵㔵㐴捥㜲攵㍡搹敢挸㜶㄰昹〴晡㕢愰㈰搰㡦〰扡つ㉤㈱挶摥㤹㕥㐳㔴扦づ愰㍥づ攰ㄷ㈸㝤捦戶㐰㝦㠷搸戴〵㝡〳㠸㐵愰挷ㄱ㔱㌷〲㤴〹㤴ぢ㜷㙡㠱搲扤㉤〲つ〲㡡㌰㠹昸〴㠰换〶愲㉥ㅢ㌵㈰搰㍣搲㉡晡扦㉢㄰㠴㐹㘰㤰攰ㄶ㄰㠸㐰㙢㤱扡愰㕣愰㔳㍦晥㙣㐷㘹㥦㠰㌵敡㠱㠰㍦つ攸㌶扣㤴ㄸ㕢挰㔱攴敡㍡〰㜵㍢㤰㝥〱搳户㙤ぢ戸ㅥ㈴㜳攴愱攸搴ㄳ㤶捥㜰㤱㙦〳敢扤〳愹㌲昹㌶〲㍢戵㝣敦㐴㌱㄰〶㜴㡣㤵㌸〹昵㘵㐴㕣㉥㄰㜵戹㤸つ〲㍤㠷㠴㕦愹㑣㌰㤷〴昳㐸㐰㡦扢挸昷ㄴ愴㤶扢昲㥤挶㘳搶㜶ㄴ昴㠹昶㌴㔴〱搱㝥つ搰敤搴ㄹ挴搸愲㥤捦㌶ㄷ〰㠴敦〵㜲㝡慥㕡㥡㡡㌱㡦晦㕣㙥㍦㘷愷㜶㡥挴㌳昸〱挲㜶㌸㜱㡡㐴㥤っ㤶㝢挸㜶愵㑤戹户〹ぢ㔷扣㥢摢㥡㕦〶攵晢愰挳㥢㕣昶捥捣搵ㄶつ㍦昵扢攳挷愷搷ち㠷慥晣晡戵〶㤸愸㍥〳ㄹ㌴㠳攸攲㈶㡤㍥ㄳ㤰㔹晣愸㙦扢搸㠵捣㜳㐲㤸㡥愳㉡㈷㕥㥦㤷㡡㈵攷㡥摢攷㍣㠹㌵㘷㘰㕡㑤攳攰扢〸㘵搵晤㈸捦㍡戴户て㡡㘷㘲挱㌶〱昲㈴㐳㠱㠷ㅦ〰昰ㅢ㍤ㄳ㡥㔲㍣㝦挱晦㡥㐳㔵㙦㜱㉣㠳㠳㉣愳㌴㠲散ㄸ㉤㜷㍢ㅢ㥤捥㕢㔰㘳㈱晦㠳㤱㔲搹戵㙣㜸㥥敦㔵愹ㄴ㘳づ捦㙣攱㈷㌰㐴㤳㤶㈷〷攳愳挲㌲っ挶㌹挰捦摢㥡㑥㔸昹㐲㍥㠵搷晥㜰挸攰挹扦㤵㑥挱㌵搷ㄱ晥ㄱ㙡慣搸㈶ㄹぢ攵挰㐸㜸㍦敦搹愳㐳戹晣㠱㥣昴㈶㕣攰㜳㙢㤱㔷㙤㉤㥢愱㕦㐱挲戹㤰㘲㡣攷㍢ㄶ搶㡢㐱搲㔰ㄳ攳〱㠹㈱昶愰晤ㅤ㠸昱㐴挴㄰攳愹㠸愱昱㘱〰搶㘲㌰㜵㈲㐳散㌰㙡攳散㌳捥㐳㙦㘶㜷㙥散㉦晦㔹㤲戱〴攸㝡愰挵㐸摤㠵㤷捡挶昹挰捣〲挶攳㙢㠹昱昸挴㕡昴㔲㘴捡㑦㝣攴挷㍥㑡㙣㜵攲㥢㠱挷㥦晤愱慤捥挹愳ㅥ㠵㜰㌹㘴㠸〷㡣㌷㈱㝦搲㜱㔰㠷㐱挶戱㈸㤷㈵捤㜸㤱攵〵㈸っ㔹搲㘴㘷㠸搱㙣㘷㠸晤挰晥づ挴㘸愷㌳㠴㥦〰㤸㔲戱㌸㐶㌳敢㔶〳㉡愱㤲捡っ搵搶㑥戸ㄳ㉢㔷㌲戰愷㐵㈱㜱㜵ㄸ㠶慣㤱㠷搰攵敡㍡挳㉤㐴改㡣捦㑥ㄶ收㐲搳慤挰敢㔵〰搱搸ㄱ愴㘵愸㔶㈳㔹㘱愸㉥〴扡㝣愸搶〰攳ㅦ慡愳㑥㉤㝡㉤㌲攵㠷㌷昲ㄳㅣ昵㘳攰㠱挱挳㘳㐰㐶搸㤴愲㘱㉤㐳㜵㍦ㄸ㜱㠷㑡㜳愸戸㍡搴㝤ㄵ㐷攵㈹㘴捡愸㙣〰ㅤ㐶㠵愶㌴㐳㡣收㌴㐳㡣戶㌳㐳散ㄷ昶㜷㐰搱昶攵挸愸㙦愱㑡㑡㑤㉡㠰㥢ㄶ㑥ㄴ㠰㘸㡣收慦㑣㌱㜲慦挹慢㈶㝢㌱㕡挴㠲敦㈲敡㑣愴攴㜷㍣㑡っ㕡愶戶〰㡦㍦晢㐳㠳㔶昸戹摢挳㡦搱㡤晣挹愷摥㕤ㄵ㤹愴慤㉢㝤扣〴㠵挱㈴敤㕡㠶搸㑢昶㜷㈰昶戲ㅢ愱㌱换愰㝥ぢ㈰㑣㝥搵㘱㔲㍡扥ㄵㄵ攸㙤〰搱ㄸ㑤㔲攲㡣敤㐸㔶ㄸ攲ㅤ㐰㤷て昱㑥㘰晣㐳㑣㥢㔶㙡摥㠵㑣昹㕤㤱晣挲㐸㜱㥤〱㠳愷㘳㠰㡣㤰㐸㥣㔲㈲㤲摢㍤㈲搱ㄴ㠹っ昱攷㉢㜲㑦挳㔴戸扦ㅣㄱ㜰㑦㈳㤴㈱〶つ㙥㐷㘸㜵㌲挴㘸㜹㌲㈸ㅡ㡢挲晤攷扣摣㕦〱慣㝥ㄷ㐰㌴㐶㝢㔱晡㑤敥㌵㜹搵㘴㉦㐶ㄳ㔲昰㝢㠸㕡㡥扡昴㌲㔶㈸㈶㈰㔳〹攰昱㘷昳㐳ㄳ㔰昸戹搹挳㡦㐱㝤㍣昹㄰摦㔴㤱㐹㕡㠷挲攴㕥㐴挰㈴㉤㐱㠶ㄸ慤㐱㠹搰昴㤳〸捤㍦〶㐵戳㑤㤸扣搱㘱㤲㔶㤷㑥〳慢昷〱㐴㘳戴摣㠴ㄹ㉡㕣㑤昵慡愹㔱㘳㌴收〴㥦㈳慡㤵愵㔶戲㐲摡っ昸ぢ攸㉢ㅤ〲ㄲ挵㘸㌸㐸搷㉣㐴㜴㠱愰〸㄰㡤戹晢戶㤲敤㥣攵㑡ㄸ㤶㙢㜲换敤㘷㤱〳〰つ挱㌰㌷愲户㑣㝥摢敦㔱昴捤㌰㌷捡㝥㌵戳〹扦㠲ㄹ愳愲慡㠱㌷搱昶㘴㠴㠲㙦㥥㔹㕤搴㥤㔴敦晣㠴慦㠳昸㝥㡦㝡挰㤱㐷㥢戲挶戳昰搱㘳挰㉢敥㔱戳㤹摡㑡戰㡤㘰㍢㠰㝡ㅦ㥡慣昸㤲敤扤㑥㠶晦晤㜳㡣扢㥡㡣挲搵㠸㌴搴㈸敥㐲ㄴ愶扡〶㈵挸㠱㌴㝡㉤㌰㡤慤〰摣扤㝤㍢昸ぢ㙤挰㌱戴ぢっ㐴㥣敦㤸昳㍤慦扤㤱捡㕦㑡扥㕢㥤㝤㝤㐷昸挸搵晥昷敤慦㝤攱搸攱慤〳㝦搵戶㕡挲㘷摡㥥摤㜹昷愲て㍣昳攵㌶㐵つ㍦捥㘸ㄲ㉤搸㡣晥搹㘴㡣扥挷挹昰㍦搹㡢㜱㑦㄰㐶㍦㠴〸ㄸ愵㘲ㄷ㐶㐷扤㡣㝥ㄸ搸㐶慡散㌰㥡㥡㠲搱㜹づ㠳昳摢ㅢ摢晤㈵晣っ捥扢㘳换搱昷捣㝢慡敤戳挳ㅢ愲摦晦捣㥤㙤慡ぢ㈵㉡㌱㔶㤸㡣㌱换挹昰㍦挵㡢㜱㜳㄰挶㍥㠶〸ㄸ愳㌲ㄷ挶㠶扤㡣晤㌵戰㡤㔴搳搳㘰㙣㝣〴ㅢ愹搳愵挴㘴㈳〷㌱㈱挴摡攱愲㐶㜸戶㑤㔱㘱㔷㘲㙣㘸㌲挶昶㌹ㄹ晥㈷㜶㌱慡㜸㘱散〶㐴挰ㄸ昵戴㌰㌶攸㘵散㈰戰㡤搴挰㙦㡣㌱慡敢㘹㌰㌶㙦㥣戱㍤㈸㔱㠹戱挴㘴㡣つ㌸ㄹ晥愷㜳㌱敡㝡㘱散㔶㐴挰ㄸ㜵戳㌰戶挷换搸愷㠱㙤愴搶㥤搹㥡愳慡慥扡收散戵昶㐸㕢捦扡て㜷散昹改愷㑡慢㔸㔱㝢㔷㘲昴㡡挹ㄸ㝤愷㤳攱㝦㈲ㄷ愳扥ㄷ㐶晦ㅥㄱ晤㜹㠲㉦〰㐴ㄵ㔵扥㜰㝣愹挳㌱摢㡢〴㙢ㄴ户〱挹搸敤㘴搰ㄷㄳ挱〶捦慤㐱㌲晡㥣っ㙥㥦晡㡢挰㠶戹て㑣㜵攷攱昹㌵㘸㈳ち㠶㔳㍣扦搵愵㙣戴㘸㙤㜹〰㈲㠷㥦㝡㕣ㄲ㕡昸㍤㘶て敥扤㜱㌵㠸晦㐵挰㌹㔰攰㍥㥣㥥㙢昷ㅡ㑡㑢㡡㠵㡤搴㜶ぢ昷㔲戵愹敥〲㙥搷㤳ㄱ晣摡愹㠸摦挷收㑥〶㍦〴㡥愳㈱敥㙥搸摦昸㈶㉥㔸昱㈴挸㈳㥥晦摡捡昳㠴㘰㕣ㅥ敥㌳㤲㈰敦ㄶ㘷收㠵㌰敥挰㜸搵挱㥢昱收㈶摢挵慢搴㑥㡣愹㝤㌲扡㈶㜰㕣晡㡡㤳㠳扥ㄳ㜴戲户搱攳㐸ぢ㈲慡扦㐲㔴㍢ㄲ〲〲㡡扢㍦㠷摦昸㉡㐰愳晢扦㔹㌴挹㜱戶㄰㔴㤷戸昵㍥戳㙡挱㜸扤㜷戱ㄲ敥㤹戸ㅤ㜵敡扤㥢愸昱㝡挳摣㘴晤㠲攲㌹㝦㌳㈵改晢㠹㘲㕤ㅤ愵搷㜷昰㥥昶搷㔷扦扢㐳㜱ㅦ㤵㉥摤㠳㠸昷㝡㈸改戹ㅥち愹㑤㙥搷〲㕥㤶扦㠱㌲挶扦〰搴攰㜱㍡㌸㐶㈰摢晦㡡㤸愷㝢㡡摢㌱扢攸〶挵㍤㑤ㅡ晤㌷㐴㍣㤷ㄲ攵㙤戶㔵㙣昳㕢㈸愲搹收㜸㝢昷ㄱ搵づ㡣㈳㘶敥㡡㘵敤㜱慢㤱昶敥㐷挴㜵㉣㤷㌷戶扥㘲㘳摦㘱捤攵㡤㝤㤷㈸㑦㘳摣愹捡ㅡ愳晡㤷挶づ㈱㔲戹戱搵ㄵㅢ㝢㤰㌵㤷㌷昶㄰㔱㥥挶づ㈲㕤搶ㄸ㔵戲㌴㜶ㄸㄱ挷愳㕢捥搸㥢㉡戶昵㈸挸㡤挷〰捡㐷敥扦㠰昱戶㐷愵㕥搶ㅥ㌵愳攸戵愵愸㤶昶搶㕢㈱昶㐸搰㔰搴㤶㤲㜱扥㤳㐱㐷㜳〴㔷晦搴愰㤲戱挴挹愰收搶㍦〰戶㤱敡戰ㅥ愹摡㠷㌱戳㍦㕡㜳㔴摤ㄷ㍣慡㡥㘲㜶㘴㤰㤱挱㕢㤴㌰搷搴戴ㄷ㍡㘸㘷敡㠹晢㈱捡㉡慥㔶搶愱㝦〴挸㤵挳㡦扡ぢ〹㔹摡晦换㙣慥㍣晣〵昴ㄳ㠰㈵ㅡ慥〳愱㌹挲㙣㑥㝦晣攱㔶づ戰㐴挳㜹㉢㌴㑦㌲㥢㔳ㄶ㝦〱晤㘳挰ㄲつ愷㥢搰晣㠴搹㥣㘹昸ぢ攸㥦〲㤶㘸㌸㑢㠴收㈹㘶㍦㐴㐰㥡愷〱㑢㌴ㅣ㕤愱昹ㄹ戳㌹愸昸ぢ攸㥦〳扡㌴㡤ㅣ㠱换㠰つ㡥慡挴㥥攴㥥㍤慦㌴㠶㥡㑥て扤愳扤晥攰㤱敦㍥㜹晤愳敦摡昰昴㙢㌷摦晣攸㑦慥㍦昴摡㌷〶㌶晣晢㙤户摤昷昶㕢て㍤㌹㈷昵愹攰㕤慦昴㝣敡慡搶愱慢慥㑣敤㕥扥攵慡换昷敤㙣摤㌱扢戹愶愶戶昶晣戹摦㤹扦㌴㜶捤㤵㜷慢㝢ㅦ㍦㉤愷㐴愶㙣昶ㄷ㙣摣〹㌱捡㔶昶搸㘷㄰搱捦〲㌴〴㤵㠸ㄶㄴ晡㌹愴昱㈷扤㡣㔱挴㐲晡㍣㈲晡㤷〰㈰㍤㠲㉦晣㡤ㅦ戲㔸㜱㡣㤲ㄶ搲㘳㠸攸晦〳〰愹〸㥡愴㉦戲㠰ㄳ㘲ㄴ戸㤰晥㡡愴扦戶㐹㐵摥愰搰㉦㜹㐹㈹㜷㈱㝤㤹愴慦搸愴㈲㜶㤲扥敡㈵愵昸㠵昴㌷㈴晤慤㑤㉡搲㈷改㐲㉦㈹㐷㐱㐸㕦㈷改敦㠴㌴收捡㐸㔱㉣戲㕣㤴戳㕣㘲慣㠰〲㔱ㄴ㤶㘴ㅤ㝦摤㕥㝢ㅢ㤱ㄵ㠱㝦㤳㔲㤳ㅡ㠳㈰㠳㠱㐶㜹〹攱敢攵㠴㡡㌲㤴㡣搷㥣っ愹㥣户㌷㡡㠲㤳慣摦昸捡㔰㤸㤲昱慡户㑣〴㘵㘲慥㕣ㄵ㐵㈹㌴㉦晢ち㔳扣㤲昱㤲户㜰ㅤぢ扢㤲㔶ㄴ慥搰晣捡㔷㤸〲㤷㡣ㄷ扤㠵㘷戱戰㉢㝢㐵㜱ぢ捤㌱㕦㘱づ㠱㘴扣攰㉤㍣㥢慣㔲敥㤲昵扣慦っ挷㐲㌲㥥昳㤶㤹挷㌲ㅣ〰㔹㔱愷㈰ㄲ愶㥣慢㍣㘱ㅣ户㍦㈲ㅣ扣㉣㥦㑤㡢㈵㤲摤㤴ㅢ戱㝦㙥㙥㘴昹愸㌰㌷摢戹㑣㘸㉥搱捣㈹㘱㑡戴戳㑡㈸㈹戳挰㝥ㅣ挴ㅦ敦㤳愴㜹扣搲㔳晣㌹㐲㡦㤹挱挹ㄱ㌸㘷㜲ㅦ㐱愹㠳㌲愱愶㑤ㄸ戱㝦㍡㜹㉡愴挱ㄶ㤴㉥挵㈴愹㌸戱㐴㘸愷㈱㠲搷㠹㑥㙡㍥㔳㥣〳㤲户㠰㈹づ慡愴㑥㘷㡡愳㈴愹㌳㤸愲晣㈵㜵㈶㔳㤴㍦㠶愹㕣慢㠴搹昰㌴扡捤㠲㌳扤慢㘱扢挲〷ㅢ㍦ぢ㈹〶ㅥ挹㤴昰㠳㠸㙥㜲戰捣㔱挲搷〴慣昰㌷〱㉢㝣㑥挰ち扦ㄳ戰㡢搸ㄱ㘲捦㜶㈲㑣挴摣づ挵摣㍥挴㤸捤㘱搰攷㈰搲㔰ㄳ收㔷㤵慤㜴攲晢昸㠶慣晤晡㐵敥㈱昰㥦㐹㜰㤲㐴挷㈷㥢㌳㠳攷㄰摤㕣㐶ㅡ戵㔱㠴㡤㜶戴㌴㤵敢㥣㉣捥晤㌷㍡㡦㙢挱つ㍦㌰㕣ㄶ㔵㥦捡㜴㍥㐵搴昴愸㥣㌹㝣㉥愴ㄳ攵昹㔳改昱愸愴ㅢ㤹挶㕦挰戰ㅦ㌶ㅦ㜴扣㍥扦㙣慢晢㝦㌳挶〱搷</t>
  </si>
  <si>
    <t>Last updated: 04/06/2014</t>
  </si>
  <si>
    <t>ERR Version</t>
  </si>
  <si>
    <t>Original ERR</t>
  </si>
  <si>
    <t>Closeout ERR</t>
  </si>
  <si>
    <t>Date of ERR</t>
  </si>
  <si>
    <t>Amount of MCC funds</t>
  </si>
  <si>
    <t>Project Description</t>
  </si>
  <si>
    <t>Benefit streams included in ERR</t>
  </si>
  <si>
    <t>Costs included in ERR (not borne by MCC)</t>
  </si>
  <si>
    <t>None</t>
  </si>
  <si>
    <t>ERR estimations and time horizon</t>
  </si>
  <si>
    <t>Table of Contents</t>
  </si>
  <si>
    <t>Activity Description</t>
  </si>
  <si>
    <t>One should read this sheet first, as it offers a summary of the project, a list of components, and states the economic rationale for the project.</t>
  </si>
  <si>
    <t>ERR &amp; Sensitivity Analysis</t>
  </si>
  <si>
    <t>This worksheet highlights key assumptions and summarizes how the ERR may change due to varying costs and benefits.</t>
  </si>
  <si>
    <t>Cost-Benefit Summary</t>
  </si>
  <si>
    <t>This worksheet presents the aggregated costs and benefits from the project activities year-by-year, calculating a combined ERR</t>
  </si>
  <si>
    <t>Crystal Ball calculations</t>
  </si>
  <si>
    <t>Charts</t>
  </si>
  <si>
    <t>Crystal Ball Charts</t>
  </si>
  <si>
    <t>$19.5 million</t>
  </si>
  <si>
    <t xml:space="preserve">The objective of the Farmer Income Support Project is to improve the productivity of coconut products and encourage diversification into other cash-crop production. The Project will eliminate biological and technical barriers hindering economic growth among farms and targeted enterprises, while supporting diversification into other cash crops and improved farming practices to assist smallholders and producers to recover lost income. </t>
  </si>
  <si>
    <t>$17.4 million</t>
  </si>
  <si>
    <t>Benefits from the Farmer Income Support Project stem from reductions in income losses by stopping the spread of disease through tree eradication -- in other words, under the counterfactual, income losses to farmers would be greater as coconut lethal yellow disease (CLYD) continued spread.  Once trees are afflicted they no longer have income potential.  Income to farmers from the coconut palms includes that from coconut sales, copra sales, coconut milk, and coconut mats. Further benefits in the short-term stem from income from the planting of cash crops – groundnuts, cowpeas, pigeon-peas, chickpeas, and pineapple that also will ensure the timely and healthy maturation of replacement coconut palms.   Benefits will eventually stem from income from replacement coconut palms with higher yields and greater disease resistance.</t>
  </si>
  <si>
    <t>25.1% over 20 years</t>
  </si>
  <si>
    <t>36.0% over 20 years</t>
  </si>
  <si>
    <t>Farmer Income Support Project</t>
  </si>
  <si>
    <t>Summary</t>
  </si>
  <si>
    <t xml:space="preserve">Mozambique is a significant exporter of coconuts and coconut products. However, outbreaks of Coconut Lethal Yellowing Disease (“CLYD”) now threaten the industry and the livelihood for over 1.7 million people in Zambézia and Nampula Provinces.  The objective of the Farmer Income Support Project is to maintain and improve the productivity of coconut products and encourage diversification into other cash-crop production. The Project will eliminate biological and technical barriers hindering economic growth among farms and targeted enterprises, while supporting diversification into other cash crops and improved farming practices to assist smallholders and producers to recover lost income. </t>
  </si>
  <si>
    <t>Components</t>
  </si>
  <si>
    <t xml:space="preserve">The Project is comprised of two primary activities: </t>
  </si>
  <si>
    <t xml:space="preserve">• CLYD control and mitigation services will provide the short-term control measures of surveillance, prompt eradication of diseased palms, and replanting with the less susceptible Mozambican Green Tall coconut variety. </t>
  </si>
  <si>
    <t xml:space="preserve">• Technical advisory services will introduce alternate crop-diversification options that demonstrate strong market demand and income generation potential, especially for farm enterprises participating in the CLYD control and mitigation program that are seeking short-term income alternatives during period of coconut tree re-growth. </t>
  </si>
  <si>
    <t>Economic Rationale</t>
  </si>
  <si>
    <t>ERR and sensitivity analysis</t>
  </si>
  <si>
    <r>
      <t xml:space="preserve">Change the </t>
    </r>
    <r>
      <rPr>
        <sz val="10"/>
        <color indexed="12"/>
        <rFont val="Arial"/>
        <family val="2"/>
      </rPr>
      <t>"User Input"</t>
    </r>
    <r>
      <rPr>
        <sz val="10"/>
        <rFont val="Arial"/>
        <family val="2"/>
      </rPr>
      <t xml:space="preserve"> cells in the table below to see the effect on the compact's Economic Rate of Return (ERR) and net benefits (see chart below).  To reset all values to the default MCC estimates, click the </t>
    </r>
    <r>
      <rPr>
        <sz val="10"/>
        <color indexed="12"/>
        <rFont val="Arial"/>
        <family val="2"/>
      </rPr>
      <t xml:space="preserve">"Reset Parameters" </t>
    </r>
    <r>
      <rPr>
        <sz val="10"/>
        <rFont val="Arial"/>
        <family val="2"/>
      </rPr>
      <t>button at right.  Be sure to reset all summary parameters to their original values ("MCC Estimate" values) before changing specific parameters.</t>
    </r>
  </si>
  <si>
    <t>Parameter type</t>
  </si>
  <si>
    <t>Description of key parameters</t>
  </si>
  <si>
    <t>Parameter values</t>
  </si>
  <si>
    <t>User Input</t>
  </si>
  <si>
    <t>MCC Estimate</t>
  </si>
  <si>
    <t>Plausible Range</t>
  </si>
  <si>
    <t xml:space="preserve">Values used in ERR computation </t>
  </si>
  <si>
    <t>All summary parameters set to initial values?</t>
  </si>
  <si>
    <t>Actual costs as a percentage of estimated costs</t>
  </si>
  <si>
    <t>80%-120%</t>
  </si>
  <si>
    <t>Actual benefits as a percentage of estimated benefits</t>
  </si>
  <si>
    <t>Specific</t>
  </si>
  <si>
    <t>All specific parameters set to initial values?</t>
  </si>
  <si>
    <t xml:space="preserve">User Generated Economic rate of return (ERR)*: </t>
  </si>
  <si>
    <t>MCC Estimated ERRs:</t>
  </si>
  <si>
    <t>Original</t>
  </si>
  <si>
    <t>Revised</t>
  </si>
  <si>
    <t>NA</t>
  </si>
  <si>
    <t>Date</t>
  </si>
  <si>
    <t xml:space="preserve">* This is the only ERR figure linked to other spreadsheets. "Original," "Revised," and "Closeout" ERRs are all static for purposes of illustration. </t>
  </si>
  <si>
    <t>Costs Multiplier</t>
  </si>
  <si>
    <t>Benefits Multiplier</t>
  </si>
  <si>
    <t>Disease Spread Rate</t>
  </si>
  <si>
    <t>Price Per Coconut (MTn)</t>
  </si>
  <si>
    <t>Price of Green Copra per kilogram (MTn)</t>
  </si>
  <si>
    <t>2.5-7.5</t>
  </si>
  <si>
    <t>2.0-6.0</t>
  </si>
  <si>
    <t>2.0-5.5%</t>
  </si>
  <si>
    <t>Mozambique: Farmer Income Support Project</t>
  </si>
  <si>
    <t>Assumptions/observed data on crop prices/survival in endemic zones</t>
  </si>
  <si>
    <t>Benefit Calculations in Endemic Zones</t>
  </si>
  <si>
    <t>Assumptions/observed data on crop prices/survival in epidemic zones</t>
  </si>
  <si>
    <t>Benefit Calculations in Epidemic Zones</t>
  </si>
  <si>
    <t>Geral FISP</t>
  </si>
  <si>
    <t>MCC Costs</t>
  </si>
  <si>
    <t>MCC cost calculations years 0-5</t>
  </si>
  <si>
    <t>Crystal Ball Sensitivity</t>
  </si>
  <si>
    <t>Survey data on disease prevalence by region.</t>
  </si>
  <si>
    <t>Original Project Summary</t>
  </si>
  <si>
    <t>Closeout Project Summary</t>
  </si>
  <si>
    <t>Last updated: 06/25/2009</t>
  </si>
  <si>
    <t>Poverty Scorecard</t>
  </si>
  <si>
    <r>
      <t xml:space="preserve">MCC Cost </t>
    </r>
    <r>
      <rPr>
        <b/>
        <sz val="8"/>
        <rFont val="Arial"/>
        <family val="2"/>
      </rPr>
      <t>(Millions USD)</t>
    </r>
  </si>
  <si>
    <t>20-Year ERR</t>
  </si>
  <si>
    <r>
      <t xml:space="preserve">Present Value </t>
    </r>
    <r>
      <rPr>
        <b/>
        <sz val="8"/>
        <rFont val="Arial"/>
        <family val="2"/>
      </rPr>
      <t>(PV)</t>
    </r>
    <r>
      <rPr>
        <b/>
        <sz val="9"/>
        <rFont val="Arial"/>
        <family val="2"/>
      </rPr>
      <t xml:space="preserve"> of Benefit Stream </t>
    </r>
    <r>
      <rPr>
        <b/>
        <sz val="8"/>
        <rFont val="Arial"/>
        <family val="2"/>
      </rPr>
      <t>(Millions 2005 PPP $)</t>
    </r>
  </si>
  <si>
    <t>Present Value (PV) of All Costs (Millions 2005 PPP $)</t>
  </si>
  <si>
    <t>Country</t>
  </si>
  <si>
    <t>Subject Descriptor</t>
  </si>
  <si>
    <t>Units</t>
  </si>
  <si>
    <t>Scale</t>
  </si>
  <si>
    <t>Country/Series-specific Notes</t>
  </si>
  <si>
    <t>Consumption per day (PPP $)</t>
  </si>
  <si>
    <t>United States</t>
  </si>
  <si>
    <t>Inflation, average consumer prices</t>
  </si>
  <si>
    <t>Index</t>
  </si>
  <si>
    <t>Source: National Statistical Office Latest actual data: 2013 Harmonized prices: No Frequency of source data: Monthly Base year: Base is 1982-1984=100 Primary domestic currency: U.S. dollars Data last updated: 03/2014</t>
  </si>
  <si>
    <t>Beneficiaries</t>
  </si>
  <si>
    <t>&lt; $1.25</t>
  </si>
  <si>
    <r>
      <t xml:space="preserve">&lt; $2 </t>
    </r>
    <r>
      <rPr>
        <vertAlign val="superscript"/>
        <sz val="9"/>
        <rFont val="Arial"/>
        <family val="2"/>
      </rPr>
      <t>1</t>
    </r>
    <r>
      <rPr>
        <sz val="9"/>
        <rFont val="Arial"/>
        <family val="2"/>
      </rPr>
      <t xml:space="preserve"> </t>
    </r>
  </si>
  <si>
    <t>$2-$4</t>
  </si>
  <si>
    <t>&gt; $4</t>
  </si>
  <si>
    <t>Percent change</t>
  </si>
  <si>
    <t>See notes for:  Inflation, average consumer prices (Index).</t>
  </si>
  <si>
    <r>
      <t xml:space="preserve">Beneficiary Households in Year 20 </t>
    </r>
    <r>
      <rPr>
        <sz val="8"/>
        <rFont val="Arial"/>
        <family val="2"/>
      </rPr>
      <t>(#)</t>
    </r>
  </si>
  <si>
    <r>
      <t xml:space="preserve">Beneficiary Individuals in Year 20 </t>
    </r>
    <r>
      <rPr>
        <sz val="8"/>
        <rFont val="Arial"/>
        <family val="2"/>
      </rPr>
      <t>(#)</t>
    </r>
  </si>
  <si>
    <r>
      <t xml:space="preserve">National Population in Year 20 </t>
    </r>
    <r>
      <rPr>
        <vertAlign val="superscript"/>
        <sz val="9"/>
        <rFont val="Arial"/>
        <family val="2"/>
      </rPr>
      <t>2</t>
    </r>
    <r>
      <rPr>
        <sz val="9"/>
        <rFont val="Arial"/>
        <family val="2"/>
      </rPr>
      <t xml:space="preserve"> </t>
    </r>
    <r>
      <rPr>
        <sz val="8"/>
        <rFont val="Arial"/>
        <family val="2"/>
      </rPr>
      <t>(#)</t>
    </r>
  </si>
  <si>
    <t>Household size</t>
  </si>
  <si>
    <t>2009 Household survey data</t>
  </si>
  <si>
    <r>
      <t xml:space="preserve">Beneficiary Population by Poverty Level </t>
    </r>
    <r>
      <rPr>
        <sz val="8"/>
        <rFont val="Arial"/>
        <family val="2"/>
      </rPr>
      <t xml:space="preserve">(%) </t>
    </r>
    <r>
      <rPr>
        <vertAlign val="superscript"/>
        <sz val="8"/>
        <rFont val="Arial"/>
        <family val="2"/>
      </rPr>
      <t>3</t>
    </r>
  </si>
  <si>
    <t>Population Growth</t>
  </si>
  <si>
    <t>2012 UN Estiamte</t>
  </si>
  <si>
    <r>
      <t xml:space="preserve">National Population by Poverty Level </t>
    </r>
    <r>
      <rPr>
        <vertAlign val="superscript"/>
        <sz val="9"/>
        <rFont val="Arial"/>
        <family val="2"/>
      </rPr>
      <t>4</t>
    </r>
    <r>
      <rPr>
        <sz val="9"/>
        <rFont val="Arial"/>
        <family val="2"/>
      </rPr>
      <t xml:space="preserve"> </t>
    </r>
    <r>
      <rPr>
        <sz val="8"/>
        <rFont val="Arial"/>
        <family val="2"/>
      </rPr>
      <t>(%)</t>
    </r>
  </si>
  <si>
    <t>Population 2012</t>
  </si>
  <si>
    <t>The Magnitude of the Benefits</t>
  </si>
  <si>
    <t xml:space="preserve">PV of Benefit Stream Per Beneficiary Individual (USD) </t>
  </si>
  <si>
    <r>
      <t>PV of Benefit Stream as Share of Annual Income</t>
    </r>
    <r>
      <rPr>
        <sz val="8"/>
        <rFont val="Arial"/>
        <family val="2"/>
      </rPr>
      <t xml:space="preserve"> (%)</t>
    </r>
  </si>
  <si>
    <t>Cost Effectiveness</t>
  </si>
  <si>
    <r>
      <t xml:space="preserve">PV of Benefit Stream/Project Dollar </t>
    </r>
    <r>
      <rPr>
        <sz val="8"/>
        <rFont val="Arial"/>
        <family val="2"/>
      </rPr>
      <t>(USD/USD)</t>
    </r>
  </si>
  <si>
    <r>
      <t xml:space="preserve">Percent of Project Participants Who Are Female </t>
    </r>
    <r>
      <rPr>
        <vertAlign val="superscript"/>
        <sz val="9"/>
        <rFont val="Arial"/>
        <family val="2"/>
      </rPr>
      <t>5</t>
    </r>
  </si>
  <si>
    <r>
      <t xml:space="preserve">GNI per capita </t>
    </r>
    <r>
      <rPr>
        <vertAlign val="superscript"/>
        <sz val="9"/>
        <rFont val="Arial"/>
        <family val="2"/>
      </rPr>
      <t xml:space="preserve">6 </t>
    </r>
    <r>
      <rPr>
        <sz val="9"/>
        <rFont val="Arial"/>
        <family val="2"/>
      </rPr>
      <t>(USD)</t>
    </r>
  </si>
  <si>
    <t>Current National Population</t>
  </si>
  <si>
    <t>25.2 million</t>
  </si>
  <si>
    <t>NB: all benefits incremental; PVs based on 10% discount rate and exclude MCC costs but net out any local costs</t>
  </si>
  <si>
    <r>
      <t xml:space="preserve">1   </t>
    </r>
    <r>
      <rPr>
        <sz val="8"/>
        <rFont val="Arial"/>
        <family val="2"/>
      </rPr>
      <t>The beneficiaries and population living on less than $2 per day include those under $1.25 per day</t>
    </r>
  </si>
  <si>
    <r>
      <t xml:space="preserve">2    </t>
    </r>
    <r>
      <rPr>
        <sz val="8"/>
        <rFont val="Arial"/>
        <family val="2"/>
      </rPr>
      <t>Based on estimated 2012 population (UN population estimates), projected to Year 20</t>
    </r>
  </si>
  <si>
    <r>
      <t xml:space="preserve">3,4 </t>
    </r>
    <r>
      <rPr>
        <sz val="8"/>
        <rFont val="Arial"/>
        <family val="2"/>
      </rPr>
      <t>National Household survey data, 2008</t>
    </r>
  </si>
  <si>
    <r>
      <t xml:space="preserve">5,6 </t>
    </r>
    <r>
      <rPr>
        <sz val="8"/>
        <rFont val="Arial"/>
        <family val="2"/>
      </rPr>
      <t>CIA World Factbook, converted to PPP</t>
    </r>
  </si>
  <si>
    <t>NPV Benefits</t>
  </si>
  <si>
    <t>NPV Costs</t>
  </si>
  <si>
    <t>Cost Benefit Summary</t>
  </si>
  <si>
    <t>Dollar Conversion</t>
  </si>
  <si>
    <t xml:space="preserve">Endemic Benefits </t>
  </si>
  <si>
    <t>Present Value (PV) of Benefits (2009 USD):</t>
  </si>
  <si>
    <t>Present Value (PV) of MCC Costs (2009 USD):</t>
  </si>
  <si>
    <t>2009 Mt</t>
  </si>
  <si>
    <t>2009 MT</t>
  </si>
  <si>
    <t>Mozambique:  Farmer Income Support Project (FISP)</t>
  </si>
  <si>
    <t xml:space="preserve">The objective of FISP is to control the spread of Coconut Lethal Yellow Disease (CLYD), improve productivity of coconuts, increase value-addition of coconut products and encourage staple and cash-crop diversification in the coastal area of eight districts (Chinde, Inhassunge, Nicoadala, Namacurra, Maganja da Costa, Pebane, Moma and Angoche) of the Zambezia and Nampula provinces.The Project strove to eliminate biological and technical barriers hindering economic growth among coconut farms and targeted enterprises through removal of infected trees, destruction of disease source material, replanting with disease resistant trees, introduction to staple and marketable cash-crop production and improved farming practices. In doing so, it helped recover incomes lost to CLYD in the short-term while re-establishing coconut production as an important household income source, in combination with alternative crops, in the long-term. </t>
  </si>
  <si>
    <t>Benefits from FISP stem from reductions in farmer income loss as a result of slowing down and/or stopping the spread of  CLYD and the Oryctes beetle through tree eradication -- in other words, under the counterfactual, income loss to farmers would be greater as CLYD and Oryctes beetle infestation  continue to spread.  Once coconut palms are afflicted they no longer have the potential to generate income through sales of coconuts, copra, coconut milk, and coconut mats. Additionally, cash-crop diversification generates benefits quickly (and long-term) through sales of groundnuts, cowpeas, pigeon-peas, chickpeas and sesame, while at the same time promoting protection of seedlings and the healthy maturation of replacement disease resistant coconut palms. Longer term benefits will eventually stem from income from replacement coconut palms with higher yields and greater disease resistance.</t>
  </si>
  <si>
    <t>The ERR model has been adjusted to reflect the current scope of project interventions. The current model captures two sets of activities, one set of activities implemented in the “endemic areas” and the other implemented in the “epidemic areas”.  Endemic area activities were clearing smallholder land of dead palms trees, replanting with selected Mozambique Green Tall seedlings, training on improved cash-crop production techniques and improving cash-crop seed provision.  Epidemic area activities were controlling the spread of CLYD  by prompt removal and destruction of infected trees and provision of  disease resistant replacement seedlings    The project is expected to benefit 534,044 beneficiaries.</t>
  </si>
  <si>
    <t>Without the Project, virtually all the coconut trees in the two affected provinces would be destroyed within the next 20 years. Key modeling assumptions include the rate of spread of the disease and the destruction of 950,000 diseased palms from family farms and an additional 129,000 from estates. Without the Project, losses in coconut sales, copra sales, coconut milk and coconut mats would increase every year that the disease continued to spread.</t>
  </si>
  <si>
    <t>Economic benefits from the Project are derived from three sources. First, by cutting and burning infected palms in endemic and epidemic areas, the Project limits the spread of CLYD, which, if unchecked, would reduce income of hitherto unaffected farmers. Second, control intervention is coupled with a program to plant seedlings to replace actual income losses in the already affected areas. The intended goal is to maintain the production and quantity of coconuts, which both estates and small land holders rely on to generate income.  Over the Compact, the Project will provide 760,000 replacement seedlings.  Third, because new coconut seedlings take seven years to mature into coconut producing palms, the model also incorporates the planting of cash crops – groundnuts, cowpeas, pigeon-peas, and sesame – to enhance income in the short-term over 4,000 hectares.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</si>
</sst>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6" formatCode="&quot;$&quot;#,##0_);[Red]\(&quot;$&quot;#,##0\)"/>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0.0"/>
    <numFmt numFmtId="165" formatCode="&quot;$&quot;#,##0"/>
    <numFmt numFmtId="166" formatCode="&quot;$&quot;#,##0.00"/>
    <numFmt numFmtId="167" formatCode="#,##0.0"/>
    <numFmt numFmtId="168" formatCode="0.0%"/>
    <numFmt numFmtId="169" formatCode="_(* #,##0_);_(* \(#,##0\);_(* &quot;-&quot;??_);_(@_)"/>
    <numFmt numFmtId="170" formatCode="_(* #,##0.0_);_(* \(#,##0.0\);_(* &quot;-&quot;??_);_(@_)"/>
    <numFmt numFmtId="171" formatCode="_ * #,##0.00_ ;_ * \-#,##0.00_ ;_ * &quot;-&quot;??_ ;_ @_ "/>
    <numFmt numFmtId="172" formatCode="_(&quot;$&quot;* #,##0_);_(&quot;$&quot;* \(#,##0\);_(&quot;$&quot;* &quot;-&quot;??_);_(@_)"/>
    <numFmt numFmtId="173" formatCode="_-* #,##0.00\ _€_-;\-* #,##0.00\ _€_-;_-* &quot;-&quot;??\ _€_-;_-@_-"/>
    <numFmt numFmtId="174" formatCode="0.000"/>
    <numFmt numFmtId="175" formatCode="0.0,,"/>
    <numFmt numFmtId="176" formatCode="0,,"/>
  </numFmts>
  <fonts count="10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i/>
      <sz val="10"/>
      <name val="Arial"/>
      <family val="2"/>
    </font>
    <font>
      <sz val="8"/>
      <name val="Arial"/>
      <family val="2"/>
    </font>
    <font>
      <sz val="10"/>
      <name val="Arial"/>
      <family val="2"/>
    </font>
    <font>
      <b/>
      <i/>
      <sz val="10"/>
      <name val="Arial"/>
      <family val="2"/>
    </font>
    <font>
      <b/>
      <sz val="10"/>
      <color indexed="57"/>
      <name val="Arial"/>
      <family val="2"/>
    </font>
    <font>
      <sz val="10"/>
      <color indexed="22"/>
      <name val="Arial"/>
      <family val="2"/>
    </font>
    <font>
      <b/>
      <sz val="14"/>
      <color indexed="57"/>
      <name val="Arial"/>
      <family val="2"/>
    </font>
    <font>
      <b/>
      <i/>
      <sz val="12"/>
      <name val="Arial"/>
      <family val="2"/>
    </font>
    <font>
      <b/>
      <sz val="12"/>
      <name val="Arial"/>
      <family val="2"/>
    </font>
    <font>
      <sz val="10"/>
      <color indexed="10"/>
      <name val="Arial"/>
      <family val="2"/>
    </font>
    <font>
      <sz val="10"/>
      <color rgb="FFFF0000"/>
      <name val="Arial"/>
      <family val="2"/>
    </font>
    <font>
      <b/>
      <sz val="10"/>
      <color rgb="FFFF0000"/>
      <name val="Arial"/>
      <family val="2"/>
    </font>
    <font>
      <i/>
      <sz val="10"/>
      <name val="Tahoma"/>
      <family val="2"/>
    </font>
    <font>
      <sz val="10"/>
      <name val="Tahoma"/>
      <family val="2"/>
    </font>
    <font>
      <sz val="10"/>
      <name val="Arial"/>
      <family val="2"/>
    </font>
    <font>
      <b/>
      <sz val="10"/>
      <color rgb="FF002060"/>
      <name val="Arial"/>
      <family val="2"/>
    </font>
    <font>
      <sz val="10"/>
      <color theme="1"/>
      <name val="Arial"/>
      <family val="2"/>
    </font>
    <font>
      <b/>
      <sz val="14"/>
      <color indexed="53"/>
      <name val="Arial"/>
      <family val="2"/>
    </font>
    <font>
      <i/>
      <sz val="8"/>
      <name val="Arial"/>
      <family val="2"/>
    </font>
    <font>
      <b/>
      <sz val="8"/>
      <color indexed="81"/>
      <name val="Tahoma"/>
      <family val="2"/>
    </font>
    <font>
      <sz val="8"/>
      <color indexed="81"/>
      <name val="Tahoma"/>
      <family val="2"/>
    </font>
    <font>
      <sz val="10"/>
      <color rgb="FF00B050"/>
      <name val="Arial"/>
      <family val="2"/>
    </font>
    <font>
      <b/>
      <sz val="10"/>
      <color theme="3"/>
      <name val="Arial"/>
      <family val="2"/>
    </font>
    <font>
      <sz val="10"/>
      <color theme="3"/>
      <name val="Arial"/>
      <family val="2"/>
    </font>
    <font>
      <i/>
      <sz val="10"/>
      <color rgb="FFFF0000"/>
      <name val="Arial"/>
      <family val="2"/>
    </font>
    <font>
      <b/>
      <sz val="12"/>
      <color rgb="FFFF0000"/>
      <name val="Arial"/>
      <family val="2"/>
    </font>
    <font>
      <sz val="10"/>
      <name val="Arial Narrow"/>
      <family val="2"/>
    </font>
    <font>
      <sz val="10"/>
      <name val="Arial"/>
      <family val="2"/>
    </font>
    <font>
      <sz val="10"/>
      <name val="Arial"/>
      <family val="2"/>
    </font>
    <font>
      <i/>
      <sz val="11"/>
      <color theme="3"/>
      <name val="Calibri"/>
      <family val="2"/>
      <scheme val="minor"/>
    </font>
    <font>
      <sz val="11"/>
      <color rgb="FFFF0000"/>
      <name val="Calibri"/>
      <family val="2"/>
      <scheme val="minor"/>
    </font>
    <font>
      <i/>
      <sz val="11"/>
      <color theme="1"/>
      <name val="Calibri"/>
      <family val="2"/>
      <scheme val="minor"/>
    </font>
    <font>
      <b/>
      <sz val="9"/>
      <color indexed="81"/>
      <name val="Tahoma"/>
      <family val="2"/>
    </font>
    <font>
      <sz val="9"/>
      <color indexed="81"/>
      <name val="Tahoma"/>
      <family val="2"/>
    </font>
    <font>
      <i/>
      <sz val="10"/>
      <color theme="1"/>
      <name val="Arial"/>
      <family val="2"/>
    </font>
    <font>
      <b/>
      <sz val="8"/>
      <color theme="1"/>
      <name val="Arial Narrow"/>
      <family val="2"/>
    </font>
    <font>
      <sz val="8"/>
      <color theme="1"/>
      <name val="Arial Narrow"/>
      <family val="2"/>
    </font>
    <font>
      <b/>
      <sz val="8"/>
      <color rgb="FFFFFF00"/>
      <name val="Arial Narrow"/>
      <family val="2"/>
    </font>
    <font>
      <b/>
      <sz val="8"/>
      <color rgb="FFFF0000"/>
      <name val="Arial Narrow"/>
      <family val="2"/>
    </font>
    <font>
      <b/>
      <sz val="9"/>
      <color rgb="FFFF0000"/>
      <name val="Arial Narrow"/>
      <family val="2"/>
    </font>
    <font>
      <sz val="8"/>
      <color rgb="FFFFFF00"/>
      <name val="Arial Narrow"/>
      <family val="2"/>
    </font>
    <font>
      <sz val="8"/>
      <color indexed="8"/>
      <name val="Arial Narrow"/>
      <family val="2"/>
    </font>
    <font>
      <sz val="8"/>
      <name val="Arial Narrow"/>
      <family val="2"/>
    </font>
    <font>
      <b/>
      <i/>
      <sz val="7"/>
      <color rgb="FFFF0000"/>
      <name val="Arial Narrow"/>
      <family val="2"/>
    </font>
    <font>
      <sz val="8"/>
      <color rgb="FFFF0000"/>
      <name val="Arial Narrow"/>
      <family val="2"/>
    </font>
    <font>
      <b/>
      <sz val="8"/>
      <color rgb="FF00B050"/>
      <name val="Arial Narrow"/>
      <family val="2"/>
    </font>
    <font>
      <b/>
      <sz val="12"/>
      <color theme="3"/>
      <name val="Arial Narrow"/>
      <family val="2"/>
    </font>
    <font>
      <b/>
      <i/>
      <sz val="8"/>
      <color theme="1"/>
      <name val="Arial Narrow"/>
      <family val="2"/>
    </font>
    <font>
      <b/>
      <i/>
      <sz val="8"/>
      <color rgb="FFFF0000"/>
      <name val="Arial Narrow"/>
      <family val="2"/>
    </font>
    <font>
      <i/>
      <sz val="11"/>
      <color rgb="FFFF0000"/>
      <name val="Calibri"/>
      <family val="2"/>
      <scheme val="minor"/>
    </font>
    <font>
      <sz val="11"/>
      <color theme="0"/>
      <name val="Calibri"/>
      <family val="2"/>
      <scheme val="minor"/>
    </font>
    <font>
      <i/>
      <sz val="10"/>
      <color theme="0"/>
      <name val="Arial"/>
      <family val="2"/>
    </font>
    <font>
      <sz val="10"/>
      <color theme="0"/>
      <name val="Arial"/>
      <family val="2"/>
    </font>
    <font>
      <sz val="9"/>
      <name val="Arial"/>
      <family val="2"/>
    </font>
    <font>
      <sz val="11"/>
      <color rgb="FF006100"/>
      <name val="Calibri"/>
      <family val="2"/>
      <scheme val="minor"/>
    </font>
    <font>
      <b/>
      <i/>
      <sz val="10"/>
      <color rgb="FFFF0000"/>
      <name val="Arial"/>
      <family val="2"/>
    </font>
    <font>
      <sz val="12"/>
      <color theme="1"/>
      <name val="Arial Narrow"/>
      <family val="2"/>
    </font>
    <font>
      <b/>
      <sz val="11"/>
      <color theme="3"/>
      <name val="Arial"/>
      <family val="2"/>
    </font>
    <font>
      <b/>
      <i/>
      <sz val="10"/>
      <color theme="3"/>
      <name val="Arial"/>
      <family val="2"/>
    </font>
    <font>
      <i/>
      <sz val="10"/>
      <color theme="2" tint="-0.499984740745262"/>
      <name val="Arial"/>
      <family val="2"/>
    </font>
    <font>
      <sz val="11"/>
      <name val="Calibri"/>
      <family val="2"/>
      <scheme val="minor"/>
    </font>
    <font>
      <u/>
      <sz val="11"/>
      <color theme="1"/>
      <name val="Calibri"/>
      <family val="2"/>
      <scheme val="minor"/>
    </font>
    <font>
      <sz val="8"/>
      <color rgb="FF008000"/>
      <name val="Arial"/>
      <family val="2"/>
    </font>
    <font>
      <b/>
      <sz val="16"/>
      <name val="Arial"/>
      <family val="2"/>
    </font>
    <font>
      <sz val="14"/>
      <name val="Arial"/>
      <family val="2"/>
    </font>
    <font>
      <b/>
      <sz val="10"/>
      <color theme="0" tint="-0.499984740745262"/>
      <name val="Arial"/>
      <family val="2"/>
    </font>
    <font>
      <sz val="10"/>
      <color theme="0" tint="-0.34998626667073579"/>
      <name val="Arial"/>
      <family val="2"/>
    </font>
    <font>
      <sz val="10"/>
      <name val="Times New Roman"/>
      <family val="1"/>
    </font>
    <font>
      <u/>
      <sz val="10"/>
      <color indexed="12"/>
      <name val="Arial"/>
      <family val="2"/>
    </font>
    <font>
      <sz val="8"/>
      <color indexed="17"/>
      <name val="Arial"/>
      <family val="2"/>
    </font>
    <font>
      <b/>
      <sz val="14"/>
      <name val="Arial"/>
      <family val="2"/>
    </font>
    <font>
      <sz val="10"/>
      <color indexed="12"/>
      <name val="Arial"/>
      <family val="2"/>
    </font>
    <font>
      <b/>
      <sz val="10"/>
      <color indexed="12"/>
      <name val="Arial"/>
      <family val="2"/>
    </font>
    <font>
      <sz val="10"/>
      <color indexed="23"/>
      <name val="Arial"/>
      <family val="2"/>
    </font>
    <font>
      <b/>
      <sz val="10"/>
      <color indexed="55"/>
      <name val="Arial"/>
      <family val="2"/>
    </font>
    <font>
      <sz val="9"/>
      <color indexed="55"/>
      <name val="Arial"/>
      <family val="2"/>
    </font>
    <font>
      <b/>
      <sz val="10"/>
      <color indexed="9"/>
      <name val="Arial"/>
      <family val="2"/>
    </font>
    <font>
      <b/>
      <sz val="10"/>
      <color theme="0"/>
      <name val="Arial"/>
      <family val="2"/>
    </font>
    <font>
      <b/>
      <sz val="10"/>
      <color theme="0" tint="-0.34998626667073579"/>
      <name val="Arial"/>
      <family val="2"/>
    </font>
    <font>
      <sz val="10"/>
      <color indexed="9"/>
      <name val="Arial"/>
      <family val="2"/>
    </font>
    <font>
      <b/>
      <sz val="12"/>
      <color indexed="12"/>
      <name val="Arial"/>
      <family val="2"/>
    </font>
    <font>
      <sz val="10"/>
      <color indexed="42"/>
      <name val="Arial"/>
      <family val="2"/>
    </font>
    <font>
      <b/>
      <sz val="11"/>
      <name val="Arial"/>
      <family val="2"/>
    </font>
    <font>
      <b/>
      <sz val="9"/>
      <name val="Arial"/>
      <family val="2"/>
    </font>
    <font>
      <b/>
      <sz val="8"/>
      <name val="Arial"/>
      <family val="2"/>
    </font>
    <font>
      <vertAlign val="superscript"/>
      <sz val="9"/>
      <name val="Arial"/>
      <family val="2"/>
    </font>
    <font>
      <vertAlign val="superscript"/>
      <sz val="8"/>
      <name val="Arial"/>
      <family val="2"/>
    </font>
    <font>
      <sz val="9"/>
      <color indexed="12"/>
      <name val="Arial"/>
      <family val="2"/>
    </font>
    <font>
      <b/>
      <sz val="16"/>
      <color theme="1"/>
      <name val="Calibri"/>
      <family val="2"/>
      <scheme val="minor"/>
    </font>
  </fonts>
  <fills count="40">
    <fill>
      <patternFill patternType="none"/>
    </fill>
    <fill>
      <patternFill patternType="gray125"/>
    </fill>
    <fill>
      <patternFill patternType="solid">
        <fgColor indexed="47"/>
        <bgColor indexed="64"/>
      </patternFill>
    </fill>
    <fill>
      <patternFill patternType="solid">
        <fgColor indexed="42"/>
        <bgColor indexed="64"/>
      </patternFill>
    </fill>
    <fill>
      <patternFill patternType="solid">
        <fgColor indexed="56"/>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rgb="FFFFFF00"/>
        <bgColor indexed="64"/>
      </patternFill>
    </fill>
    <fill>
      <patternFill patternType="solid">
        <fgColor theme="2"/>
        <bgColor indexed="64"/>
      </patternFill>
    </fill>
    <fill>
      <patternFill patternType="solid">
        <fgColor theme="3" tint="0.79998168889431442"/>
        <bgColor indexed="64"/>
      </patternFill>
    </fill>
    <fill>
      <patternFill patternType="solid">
        <fgColor theme="0"/>
        <bgColor indexed="64"/>
      </patternFill>
    </fill>
    <fill>
      <patternFill patternType="solid">
        <fgColor rgb="FFFFC000"/>
        <bgColor indexed="64"/>
      </patternFill>
    </fill>
    <fill>
      <patternFill patternType="solid">
        <fgColor rgb="FF00FF00"/>
        <bgColor indexed="64"/>
      </patternFill>
    </fill>
    <fill>
      <patternFill patternType="solid">
        <fgColor indexed="13"/>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rgb="FFCCFFCC"/>
        <bgColor indexed="64"/>
      </patternFill>
    </fill>
    <fill>
      <patternFill patternType="solid">
        <fgColor rgb="FFFFFF99"/>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rgb="FFFF9966"/>
        <bgColor indexed="64"/>
      </patternFill>
    </fill>
    <fill>
      <patternFill patternType="solid">
        <fgColor theme="3" tint="0.59999389629810485"/>
        <bgColor indexed="64"/>
      </patternFill>
    </fill>
    <fill>
      <patternFill patternType="solid">
        <fgColor rgb="FFFF0000"/>
        <bgColor indexed="64"/>
      </patternFill>
    </fill>
    <fill>
      <patternFill patternType="solid">
        <fgColor indexed="9"/>
        <bgColor indexed="64"/>
      </patternFill>
    </fill>
    <fill>
      <patternFill patternType="solid">
        <fgColor rgb="FF9A50A0"/>
        <bgColor indexed="64"/>
      </patternFill>
    </fill>
    <fill>
      <patternFill patternType="solid">
        <fgColor theme="3"/>
        <bgColor indexed="64"/>
      </patternFill>
    </fill>
    <fill>
      <patternFill patternType="solid">
        <fgColor rgb="FFC6EFCE"/>
      </patternFill>
    </fill>
    <fill>
      <patternFill patternType="solid">
        <fgColor rgb="FF00FFFF"/>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indexed="43"/>
        <bgColor indexed="64"/>
      </patternFill>
    </fill>
    <fill>
      <patternFill patternType="solid">
        <fgColor rgb="FFC00000"/>
        <bgColor indexed="64"/>
      </patternFill>
    </fill>
    <fill>
      <patternFill patternType="solid">
        <fgColor theme="7" tint="0.39997558519241921"/>
        <bgColor indexed="64"/>
      </patternFill>
    </fill>
    <fill>
      <patternFill patternType="solid">
        <fgColor rgb="FFFFFF66"/>
        <bgColor indexed="64"/>
      </patternFill>
    </fill>
  </fills>
  <borders count="182">
    <border>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double">
        <color auto="1"/>
      </left>
      <right style="thin">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double">
        <color indexed="64"/>
      </left>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double">
        <color auto="1"/>
      </left>
      <right style="double">
        <color auto="1"/>
      </right>
      <top style="thin">
        <color auto="1"/>
      </top>
      <bottom/>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thin">
        <color auto="1"/>
      </left>
      <right style="medium">
        <color auto="1"/>
      </right>
      <top style="thin">
        <color auto="1"/>
      </top>
      <bottom/>
      <diagonal/>
    </border>
    <border>
      <left style="thin">
        <color indexed="64"/>
      </left>
      <right style="double">
        <color indexed="64"/>
      </right>
      <top style="thin">
        <color indexed="64"/>
      </top>
      <bottom style="medium">
        <color indexed="64"/>
      </bottom>
      <diagonal/>
    </border>
    <border>
      <left style="double">
        <color indexed="64"/>
      </left>
      <right style="thin">
        <color auto="1"/>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double">
        <color indexed="64"/>
      </left>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double">
        <color auto="1"/>
      </left>
      <right style="double">
        <color auto="1"/>
      </right>
      <top/>
      <bottom style="thin">
        <color auto="1"/>
      </bottom>
      <diagonal/>
    </border>
    <border>
      <left style="double">
        <color indexed="64"/>
      </left>
      <right/>
      <top style="double">
        <color indexed="64"/>
      </top>
      <bottom style="double">
        <color indexed="64"/>
      </bottom>
      <diagonal/>
    </border>
    <border>
      <left/>
      <right style="thin">
        <color indexed="64"/>
      </right>
      <top style="double">
        <color auto="1"/>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diagonal/>
    </border>
    <border>
      <left style="double">
        <color indexed="64"/>
      </left>
      <right style="thin">
        <color indexed="64"/>
      </right>
      <top style="double">
        <color indexed="64"/>
      </top>
      <bottom/>
      <diagonal/>
    </border>
    <border>
      <left/>
      <right/>
      <top/>
      <bottom style="medium">
        <color indexed="64"/>
      </bottom>
      <diagonal/>
    </border>
    <border>
      <left style="double">
        <color indexed="64"/>
      </left>
      <right style="double">
        <color indexed="64"/>
      </right>
      <top style="double">
        <color indexed="64"/>
      </top>
      <bottom/>
      <diagonal/>
    </border>
    <border>
      <left/>
      <right style="double">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auto="1"/>
      </left>
      <right/>
      <top style="thin">
        <color auto="1"/>
      </top>
      <bottom style="medium">
        <color auto="1"/>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style="double">
        <color indexed="64"/>
      </bottom>
      <diagonal/>
    </border>
    <border>
      <left style="double">
        <color auto="1"/>
      </left>
      <right style="double">
        <color auto="1"/>
      </right>
      <top style="thin">
        <color auto="1"/>
      </top>
      <bottom style="double">
        <color indexed="64"/>
      </bottom>
      <diagonal/>
    </border>
    <border>
      <left style="medium">
        <color indexed="64"/>
      </left>
      <right style="medium">
        <color indexed="64"/>
      </right>
      <top/>
      <bottom style="double">
        <color indexed="64"/>
      </bottom>
      <diagonal/>
    </border>
    <border>
      <left style="double">
        <color auto="1"/>
      </left>
      <right style="double">
        <color auto="1"/>
      </right>
      <top/>
      <bottom/>
      <diagonal/>
    </border>
    <border>
      <left style="double">
        <color indexed="64"/>
      </left>
      <right/>
      <top style="double">
        <color indexed="64"/>
      </top>
      <bottom/>
      <diagonal/>
    </border>
    <border>
      <left style="thin">
        <color indexed="64"/>
      </left>
      <right style="double">
        <color indexed="64"/>
      </right>
      <top style="double">
        <color indexed="64"/>
      </top>
      <bottom/>
      <diagonal/>
    </border>
    <border>
      <left style="double">
        <color indexed="64"/>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style="medium">
        <color indexed="64"/>
      </left>
      <right style="medium">
        <color indexed="64"/>
      </right>
      <top style="medium">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medium">
        <color indexed="64"/>
      </right>
      <top style="double">
        <color indexed="64"/>
      </top>
      <bottom/>
      <diagonal/>
    </border>
    <border>
      <left style="medium">
        <color indexed="64"/>
      </left>
      <right style="medium">
        <color indexed="64"/>
      </right>
      <top style="double">
        <color indexed="64"/>
      </top>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double">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double">
        <color auto="1"/>
      </left>
      <right style="double">
        <color auto="1"/>
      </right>
      <top/>
      <bottom style="medium">
        <color indexed="64"/>
      </bottom>
      <diagonal/>
    </border>
    <border>
      <left style="double">
        <color indexed="64"/>
      </left>
      <right style="thin">
        <color indexed="64"/>
      </right>
      <top/>
      <bottom style="medium">
        <color indexed="64"/>
      </bottom>
      <diagonal/>
    </border>
    <border>
      <left/>
      <right style="double">
        <color indexed="64"/>
      </right>
      <top style="thin">
        <color auto="1"/>
      </top>
      <bottom style="medium">
        <color auto="1"/>
      </bottom>
      <diagonal/>
    </border>
    <border>
      <left style="double">
        <color auto="1"/>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ouble">
        <color indexed="64"/>
      </right>
      <top/>
      <bottom style="medium">
        <color indexed="64"/>
      </bottom>
      <diagonal/>
    </border>
    <border>
      <left/>
      <right style="double">
        <color indexed="64"/>
      </right>
      <top/>
      <bottom style="thin">
        <color indexed="64"/>
      </bottom>
      <diagonal/>
    </border>
    <border>
      <left style="medium">
        <color auto="1"/>
      </left>
      <right/>
      <top/>
      <bottom style="thin">
        <color auto="1"/>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right style="double">
        <color indexed="64"/>
      </right>
      <top style="thin">
        <color indexed="64"/>
      </top>
      <bottom/>
      <diagonal/>
    </border>
    <border>
      <left style="medium">
        <color auto="1"/>
      </left>
      <right/>
      <top style="thin">
        <color auto="1"/>
      </top>
      <bottom/>
      <diagonal/>
    </border>
    <border>
      <left style="medium">
        <color indexed="64"/>
      </left>
      <right style="double">
        <color indexed="64"/>
      </right>
      <top style="thin">
        <color indexed="64"/>
      </top>
      <bottom/>
      <diagonal/>
    </border>
    <border>
      <left/>
      <right style="double">
        <color indexed="64"/>
      </right>
      <top style="double">
        <color indexed="64"/>
      </top>
      <bottom style="double">
        <color indexed="64"/>
      </bottom>
      <diagonal/>
    </border>
    <border>
      <left style="medium">
        <color indexed="64"/>
      </left>
      <right style="double">
        <color indexed="64"/>
      </right>
      <top style="double">
        <color indexed="64"/>
      </top>
      <bottom style="double">
        <color indexed="64"/>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double">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double">
        <color indexed="64"/>
      </bottom>
      <diagonal/>
    </border>
    <border>
      <left style="medium">
        <color indexed="64"/>
      </left>
      <right style="double">
        <color indexed="64"/>
      </right>
      <top/>
      <bottom style="double">
        <color indexed="64"/>
      </bottom>
      <diagonal/>
    </border>
    <border>
      <left/>
      <right/>
      <top style="double">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double">
        <color indexed="64"/>
      </top>
      <bottom style="double">
        <color indexed="64"/>
      </bottom>
      <diagonal/>
    </border>
    <border>
      <left style="thin">
        <color indexed="64"/>
      </left>
      <right/>
      <top style="thin">
        <color indexed="64"/>
      </top>
      <bottom style="double">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double">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indexed="12"/>
      </left>
      <right/>
      <top style="medium">
        <color indexed="12"/>
      </top>
      <bottom/>
      <diagonal/>
    </border>
    <border>
      <left/>
      <right/>
      <top style="medium">
        <color indexed="12"/>
      </top>
      <bottom/>
      <diagonal/>
    </border>
    <border>
      <left/>
      <right style="medium">
        <color indexed="12"/>
      </right>
      <top style="medium">
        <color indexed="12"/>
      </top>
      <bottom/>
      <diagonal/>
    </border>
    <border>
      <left style="medium">
        <color indexed="12"/>
      </left>
      <right/>
      <top/>
      <bottom/>
      <diagonal/>
    </border>
    <border>
      <left/>
      <right style="medium">
        <color indexed="12"/>
      </right>
      <top/>
      <bottom/>
      <diagonal/>
    </border>
    <border>
      <left/>
      <right/>
      <top/>
      <bottom style="thin">
        <color indexed="39"/>
      </bottom>
      <diagonal/>
    </border>
    <border>
      <left/>
      <right/>
      <top style="thin">
        <color indexed="39"/>
      </top>
      <bottom/>
      <diagonal/>
    </border>
    <border>
      <left/>
      <right/>
      <top/>
      <bottom style="thin">
        <color indexed="12"/>
      </bottom>
      <diagonal/>
    </border>
    <border>
      <left/>
      <right/>
      <top style="thin">
        <color indexed="12"/>
      </top>
      <bottom/>
      <diagonal/>
    </border>
    <border>
      <left style="medium">
        <color indexed="12"/>
      </left>
      <right/>
      <top/>
      <bottom style="medium">
        <color indexed="12"/>
      </bottom>
      <diagonal/>
    </border>
    <border>
      <left/>
      <right/>
      <top/>
      <bottom style="medium">
        <color indexed="12"/>
      </bottom>
      <diagonal/>
    </border>
    <border>
      <left/>
      <right style="medium">
        <color indexed="12"/>
      </right>
      <top/>
      <bottom style="medium">
        <color indexed="12"/>
      </bottom>
      <diagonal/>
    </border>
    <border>
      <left style="thin">
        <color indexed="64"/>
      </left>
      <right style="double">
        <color indexed="64"/>
      </right>
      <top style="thin">
        <color indexed="64"/>
      </top>
      <bottom/>
      <diagonal/>
    </border>
  </borders>
  <cellStyleXfs count="154">
    <xf numFmtId="0" fontId="0" fillId="0" borderId="0"/>
    <xf numFmtId="43" fontId="30" fillId="0" borderId="0" applyFont="0" applyFill="0" applyBorder="0" applyAlignment="0" applyProtection="0"/>
    <xf numFmtId="9" fontId="14" fillId="0" borderId="0" applyFont="0" applyFill="0" applyBorder="0" applyAlignment="0" applyProtection="0"/>
    <xf numFmtId="43" fontId="14" fillId="0" borderId="0" applyFont="0" applyFill="0" applyBorder="0" applyAlignment="0" applyProtection="0"/>
    <xf numFmtId="0" fontId="14" fillId="0" borderId="0"/>
    <xf numFmtId="0" fontId="13" fillId="0" borderId="0"/>
    <xf numFmtId="0" fontId="12" fillId="0" borderId="0"/>
    <xf numFmtId="171" fontId="12" fillId="0" borderId="0" applyFont="0" applyFill="0" applyBorder="0" applyAlignment="0" applyProtection="0"/>
    <xf numFmtId="9" fontId="30" fillId="0" borderId="0" applyFont="0" applyFill="0" applyBorder="0" applyAlignment="0" applyProtection="0"/>
    <xf numFmtId="44" fontId="43" fillId="0" borderId="0" applyFont="0" applyFill="0" applyBorder="0" applyAlignment="0" applyProtection="0"/>
    <xf numFmtId="0" fontId="11" fillId="0" borderId="0"/>
    <xf numFmtId="171" fontId="11" fillId="0" borderId="0" applyFont="0" applyFill="0" applyBorder="0" applyAlignment="0" applyProtection="0"/>
    <xf numFmtId="9" fontId="11" fillId="0" borderId="0" applyFont="0" applyFill="0" applyBorder="0" applyAlignment="0" applyProtection="0"/>
    <xf numFmtId="43" fontId="14" fillId="0" borderId="0" applyFont="0" applyFill="0" applyBorder="0" applyAlignment="0" applyProtection="0"/>
    <xf numFmtId="0" fontId="10" fillId="0" borderId="0"/>
    <xf numFmtId="9" fontId="10" fillId="0" borderId="0" applyFont="0" applyFill="0" applyBorder="0" applyAlignment="0" applyProtection="0"/>
    <xf numFmtId="0" fontId="14" fillId="0" borderId="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0" fontId="44" fillId="0" borderId="0"/>
    <xf numFmtId="9" fontId="14" fillId="0" borderId="0" applyFont="0" applyFill="0" applyBorder="0" applyAlignment="0" applyProtection="0"/>
    <xf numFmtId="9" fontId="14" fillId="0" borderId="0" applyFont="0" applyFill="0" applyBorder="0" applyAlignment="0" applyProtection="0"/>
    <xf numFmtId="0" fontId="8" fillId="0" borderId="0"/>
    <xf numFmtId="171" fontId="8" fillId="0" borderId="0" applyFont="0" applyFill="0" applyBorder="0" applyAlignment="0" applyProtection="0"/>
    <xf numFmtId="9" fontId="8" fillId="0" borderId="0" applyFont="0" applyFill="0" applyBorder="0" applyAlignment="0" applyProtection="0"/>
    <xf numFmtId="0" fontId="6" fillId="0" borderId="0"/>
    <xf numFmtId="43" fontId="6" fillId="0" borderId="0" applyFont="0" applyFill="0" applyBorder="0" applyAlignment="0" applyProtection="0"/>
    <xf numFmtId="9" fontId="6" fillId="0" borderId="0" applyFont="0" applyFill="0" applyBorder="0" applyAlignment="0" applyProtection="0"/>
    <xf numFmtId="0" fontId="14" fillId="0" borderId="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0" fontId="14" fillId="0" borderId="0"/>
    <xf numFmtId="0" fontId="14" fillId="0" borderId="0"/>
    <xf numFmtId="0" fontId="14" fillId="0" borderId="0"/>
    <xf numFmtId="43" fontId="14" fillId="0" borderId="0" applyFont="0" applyFill="0" applyBorder="0" applyAlignment="0" applyProtection="0"/>
    <xf numFmtId="0" fontId="14" fillId="0" borderId="0"/>
    <xf numFmtId="0" fontId="14" fillId="0" borderId="0" applyFont="0" applyFill="0" applyBorder="0" applyAlignment="0" applyProtection="0"/>
    <xf numFmtId="0" fontId="72" fillId="0" borderId="0"/>
    <xf numFmtId="0" fontId="4" fillId="0" borderId="0"/>
    <xf numFmtId="0" fontId="72" fillId="0" borderId="0"/>
    <xf numFmtId="0" fontId="14" fillId="0" borderId="0"/>
    <xf numFmtId="43" fontId="14" fillId="0" borderId="0" applyFont="0" applyFill="0" applyBorder="0" applyAlignment="0" applyProtection="0"/>
    <xf numFmtId="0" fontId="72" fillId="0" borderId="0"/>
    <xf numFmtId="9" fontId="72" fillId="0" borderId="0" applyFont="0" applyFill="0" applyBorder="0" applyAlignment="0" applyProtection="0"/>
    <xf numFmtId="0" fontId="72" fillId="0" borderId="0"/>
    <xf numFmtId="173" fontId="14"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70" fillId="31" borderId="0" applyNumberFormat="0" applyBorder="0" applyAlignment="0" applyProtection="0"/>
    <xf numFmtId="0" fontId="4" fillId="0" borderId="0"/>
    <xf numFmtId="0" fontId="14" fillId="0" borderId="0"/>
    <xf numFmtId="0" fontId="83" fillId="0" borderId="0"/>
    <xf numFmtId="0" fontId="84" fillId="0" borderId="0" applyNumberFormat="0" applyFill="0" applyBorder="0" applyAlignment="0" applyProtection="0">
      <alignment vertical="top"/>
      <protection locked="0"/>
    </xf>
    <xf numFmtId="0" fontId="14" fillId="0" borderId="0"/>
    <xf numFmtId="0" fontId="14" fillId="0" borderId="0"/>
    <xf numFmtId="0" fontId="14" fillId="0" borderId="0"/>
    <xf numFmtId="0" fontId="14" fillId="0" borderId="0"/>
    <xf numFmtId="0" fontId="1" fillId="0" borderId="0"/>
  </cellStyleXfs>
  <cellXfs count="1295">
    <xf numFmtId="0" fontId="0" fillId="0" borderId="0" xfId="0"/>
    <xf numFmtId="0" fontId="15" fillId="0" borderId="0" xfId="0" applyFont="1"/>
    <xf numFmtId="3" fontId="0" fillId="0" borderId="0" xfId="0" applyNumberFormat="1"/>
    <xf numFmtId="0" fontId="16" fillId="0" borderId="0" xfId="0" applyFont="1"/>
    <xf numFmtId="0" fontId="0" fillId="0" borderId="0" xfId="0" applyAlignment="1">
      <alignment wrapText="1"/>
    </xf>
    <xf numFmtId="165" fontId="0" fillId="0" borderId="0" xfId="0" applyNumberFormat="1"/>
    <xf numFmtId="0" fontId="15" fillId="0" borderId="0" xfId="0" applyFont="1" applyAlignment="1">
      <alignment wrapText="1"/>
    </xf>
    <xf numFmtId="166" fontId="0" fillId="0" borderId="0" xfId="0" applyNumberFormat="1"/>
    <xf numFmtId="4" fontId="0" fillId="0" borderId="0" xfId="0" applyNumberFormat="1"/>
    <xf numFmtId="167" fontId="0" fillId="0" borderId="0" xfId="0" applyNumberFormat="1"/>
    <xf numFmtId="0" fontId="0" fillId="2" borderId="0" xfId="0" applyFill="1"/>
    <xf numFmtId="1" fontId="0" fillId="2" borderId="0" xfId="0" applyNumberFormat="1" applyFill="1"/>
    <xf numFmtId="166" fontId="0" fillId="2" borderId="0" xfId="0" applyNumberFormat="1" applyFill="1"/>
    <xf numFmtId="165" fontId="0" fillId="2" borderId="0" xfId="0" applyNumberFormat="1" applyFill="1"/>
    <xf numFmtId="0" fontId="18" fillId="2" borderId="0" xfId="0" applyFont="1" applyFill="1" applyAlignment="1">
      <alignment wrapText="1"/>
    </xf>
    <xf numFmtId="0" fontId="15" fillId="2" borderId="0" xfId="0" applyFont="1" applyFill="1" applyAlignment="1">
      <alignment wrapText="1"/>
    </xf>
    <xf numFmtId="0" fontId="0" fillId="3" borderId="0" xfId="0" applyFill="1"/>
    <xf numFmtId="0" fontId="0" fillId="0" borderId="0" xfId="0" applyFill="1"/>
    <xf numFmtId="1" fontId="18" fillId="2" borderId="0" xfId="0" applyNumberFormat="1" applyFont="1" applyFill="1" applyAlignment="1">
      <alignment wrapText="1"/>
    </xf>
    <xf numFmtId="0" fontId="21" fillId="3" borderId="0" xfId="0" applyFont="1" applyFill="1"/>
    <xf numFmtId="0" fontId="15" fillId="4" borderId="0" xfId="0" applyFont="1" applyFill="1" applyAlignment="1">
      <alignment wrapText="1"/>
    </xf>
    <xf numFmtId="0" fontId="15" fillId="4" borderId="0" xfId="0" applyFont="1" applyFill="1"/>
    <xf numFmtId="165" fontId="15" fillId="4" borderId="0" xfId="0" applyNumberFormat="1" applyFont="1" applyFill="1"/>
    <xf numFmtId="0" fontId="22" fillId="0" borderId="0" xfId="0" applyFont="1" applyAlignment="1">
      <alignment wrapText="1"/>
    </xf>
    <xf numFmtId="0" fontId="20" fillId="0" borderId="0" xfId="0" applyFont="1" applyFill="1"/>
    <xf numFmtId="0" fontId="24" fillId="0" borderId="0" xfId="0" applyFont="1"/>
    <xf numFmtId="0" fontId="25" fillId="0" borderId="0" xfId="0" applyFont="1"/>
    <xf numFmtId="0" fontId="16" fillId="0" borderId="0" xfId="0" applyFont="1" applyFill="1" applyAlignment="1">
      <alignment wrapText="1"/>
    </xf>
    <xf numFmtId="9" fontId="0" fillId="0" borderId="0" xfId="0" applyNumberFormat="1" applyFill="1"/>
    <xf numFmtId="0" fontId="18" fillId="0" borderId="0" xfId="0" applyFont="1" applyFill="1" applyAlignment="1">
      <alignment wrapText="1"/>
    </xf>
    <xf numFmtId="165" fontId="0" fillId="0" borderId="0" xfId="0" applyNumberFormat="1" applyFill="1"/>
    <xf numFmtId="0" fontId="14" fillId="0" borderId="0" xfId="0" applyFont="1"/>
    <xf numFmtId="1" fontId="0" fillId="0" borderId="0" xfId="0" applyNumberFormat="1"/>
    <xf numFmtId="0" fontId="26" fillId="0" borderId="0" xfId="0" applyFont="1"/>
    <xf numFmtId="0" fontId="14" fillId="2" borderId="0" xfId="0" applyFont="1" applyFill="1" applyAlignment="1">
      <alignment wrapText="1"/>
    </xf>
    <xf numFmtId="169" fontId="0" fillId="2" borderId="0" xfId="1" applyNumberFormat="1" applyFont="1" applyFill="1"/>
    <xf numFmtId="1" fontId="17" fillId="2" borderId="0" xfId="0" applyNumberFormat="1" applyFont="1" applyFill="1" applyAlignment="1">
      <alignment wrapText="1"/>
    </xf>
    <xf numFmtId="0" fontId="15" fillId="0" borderId="1" xfId="0" applyFont="1" applyBorder="1"/>
    <xf numFmtId="0" fontId="0" fillId="0" borderId="1" xfId="0" applyBorder="1"/>
    <xf numFmtId="1" fontId="0" fillId="2" borderId="1" xfId="0" applyNumberFormat="1" applyFill="1" applyBorder="1"/>
    <xf numFmtId="0" fontId="0" fillId="2" borderId="1" xfId="0" applyFill="1" applyBorder="1"/>
    <xf numFmtId="0" fontId="0" fillId="0" borderId="1" xfId="0" applyFill="1" applyBorder="1"/>
    <xf numFmtId="0" fontId="0" fillId="0" borderId="1" xfId="0" applyBorder="1" applyAlignment="1">
      <alignment wrapText="1"/>
    </xf>
    <xf numFmtId="165" fontId="0" fillId="2" borderId="1" xfId="0" applyNumberFormat="1" applyFill="1" applyBorder="1"/>
    <xf numFmtId="0" fontId="15" fillId="4" borderId="1" xfId="0" applyFont="1" applyFill="1" applyBorder="1"/>
    <xf numFmtId="1" fontId="17" fillId="2" borderId="1" xfId="0" applyNumberFormat="1" applyFont="1" applyFill="1" applyBorder="1"/>
    <xf numFmtId="1" fontId="17" fillId="2" borderId="0" xfId="0" applyNumberFormat="1" applyFont="1" applyFill="1"/>
    <xf numFmtId="0" fontId="17" fillId="0" borderId="0" xfId="0" applyFont="1"/>
    <xf numFmtId="1" fontId="16" fillId="2" borderId="0" xfId="0" applyNumberFormat="1" applyFont="1" applyFill="1" applyAlignment="1">
      <alignment wrapText="1"/>
    </xf>
    <xf numFmtId="0" fontId="14" fillId="2" borderId="1" xfId="0" applyFont="1" applyFill="1" applyBorder="1"/>
    <xf numFmtId="0" fontId="19" fillId="5" borderId="2" xfId="0" applyFont="1" applyFill="1" applyBorder="1" applyAlignment="1">
      <alignment wrapText="1"/>
    </xf>
    <xf numFmtId="0" fontId="15" fillId="5" borderId="3" xfId="0" applyFont="1" applyFill="1" applyBorder="1"/>
    <xf numFmtId="0" fontId="15" fillId="5" borderId="2" xfId="0" applyFont="1" applyFill="1" applyBorder="1"/>
    <xf numFmtId="0" fontId="16" fillId="2" borderId="2" xfId="0" applyFont="1" applyFill="1" applyBorder="1"/>
    <xf numFmtId="0" fontId="0" fillId="2" borderId="3" xfId="0" applyFill="1" applyBorder="1"/>
    <xf numFmtId="0" fontId="0" fillId="2" borderId="2" xfId="0" applyFill="1" applyBorder="1"/>
    <xf numFmtId="1" fontId="0" fillId="2" borderId="2" xfId="0" applyNumberFormat="1" applyFill="1" applyBorder="1"/>
    <xf numFmtId="0" fontId="16" fillId="2" borderId="2" xfId="0" applyFont="1" applyFill="1" applyBorder="1" applyAlignment="1">
      <alignment wrapText="1"/>
    </xf>
    <xf numFmtId="9" fontId="0" fillId="2" borderId="2" xfId="0" applyNumberFormat="1" applyFill="1" applyBorder="1"/>
    <xf numFmtId="0" fontId="0" fillId="0" borderId="5" xfId="0" applyBorder="1"/>
    <xf numFmtId="0" fontId="0" fillId="0" borderId="6" xfId="0" applyBorder="1"/>
    <xf numFmtId="0" fontId="31" fillId="0" borderId="4" xfId="0" applyFont="1" applyBorder="1"/>
    <xf numFmtId="0" fontId="24" fillId="2" borderId="8" xfId="0" applyFont="1" applyFill="1" applyBorder="1" applyAlignment="1">
      <alignment horizontal="center"/>
    </xf>
    <xf numFmtId="0" fontId="24" fillId="6" borderId="1" xfId="0" applyFont="1" applyFill="1" applyBorder="1" applyAlignment="1">
      <alignment horizontal="right"/>
    </xf>
    <xf numFmtId="0" fontId="26" fillId="2" borderId="1" xfId="0" applyFont="1" applyFill="1" applyBorder="1"/>
    <xf numFmtId="0" fontId="0" fillId="6" borderId="1" xfId="0" applyFill="1" applyBorder="1" applyAlignment="1">
      <alignment horizontal="right"/>
    </xf>
    <xf numFmtId="0" fontId="26" fillId="6" borderId="1" xfId="0" applyFont="1" applyFill="1" applyBorder="1" applyAlignment="1">
      <alignment horizontal="right"/>
    </xf>
    <xf numFmtId="0" fontId="14" fillId="6" borderId="1" xfId="0" applyFont="1" applyFill="1" applyBorder="1" applyAlignment="1">
      <alignment horizontal="right"/>
    </xf>
    <xf numFmtId="9" fontId="0" fillId="2" borderId="1" xfId="0" applyNumberFormat="1" applyFill="1" applyBorder="1"/>
    <xf numFmtId="0" fontId="0" fillId="7" borderId="0" xfId="0" applyFill="1"/>
    <xf numFmtId="0" fontId="14" fillId="6" borderId="9" xfId="0" applyFont="1" applyFill="1" applyBorder="1" applyAlignment="1">
      <alignment horizontal="right"/>
    </xf>
    <xf numFmtId="9" fontId="32" fillId="2" borderId="1" xfId="2" applyFont="1" applyFill="1" applyBorder="1"/>
    <xf numFmtId="10" fontId="0" fillId="2" borderId="1" xfId="2" applyNumberFormat="1" applyFont="1" applyFill="1" applyBorder="1"/>
    <xf numFmtId="0" fontId="33" fillId="0" borderId="0" xfId="0" applyFont="1" applyFill="1"/>
    <xf numFmtId="1" fontId="14" fillId="2" borderId="0" xfId="0" applyNumberFormat="1" applyFont="1" applyFill="1" applyAlignment="1">
      <alignment wrapText="1"/>
    </xf>
    <xf numFmtId="3" fontId="0" fillId="2" borderId="0" xfId="0" applyNumberFormat="1" applyFill="1"/>
    <xf numFmtId="0" fontId="14" fillId="0" borderId="0" xfId="0" applyFont="1" applyAlignment="1">
      <alignment wrapText="1"/>
    </xf>
    <xf numFmtId="1" fontId="34" fillId="2" borderId="0" xfId="0" applyNumberFormat="1" applyFont="1" applyFill="1" applyAlignment="1">
      <alignment wrapText="1"/>
    </xf>
    <xf numFmtId="1" fontId="14" fillId="2" borderId="0" xfId="0" applyNumberFormat="1" applyFont="1" applyFill="1"/>
    <xf numFmtId="1" fontId="0" fillId="2" borderId="0" xfId="0" applyNumberFormat="1" applyFill="1" applyAlignment="1">
      <alignment wrapText="1"/>
    </xf>
    <xf numFmtId="170" fontId="0" fillId="2" borderId="0" xfId="3" applyNumberFormat="1" applyFont="1" applyFill="1"/>
    <xf numFmtId="0" fontId="14" fillId="8" borderId="0" xfId="0" applyFont="1" applyFill="1" applyAlignment="1">
      <alignment wrapText="1"/>
    </xf>
    <xf numFmtId="169" fontId="0" fillId="8" borderId="0" xfId="3" applyNumberFormat="1" applyFont="1" applyFill="1"/>
    <xf numFmtId="3" fontId="0" fillId="8" borderId="0" xfId="0" applyNumberFormat="1" applyFill="1"/>
    <xf numFmtId="0" fontId="0" fillId="8" borderId="0" xfId="0" applyFill="1"/>
    <xf numFmtId="0" fontId="0" fillId="0" borderId="0" xfId="0" quotePrefix="1"/>
    <xf numFmtId="0" fontId="0" fillId="0" borderId="0" xfId="0" applyAlignment="1">
      <alignment horizontal="center"/>
    </xf>
    <xf numFmtId="0" fontId="32" fillId="0" borderId="0" xfId="0" applyFont="1"/>
    <xf numFmtId="0" fontId="14" fillId="2" borderId="0" xfId="0" applyFont="1" applyFill="1"/>
    <xf numFmtId="0" fontId="14" fillId="0" borderId="0" xfId="0" applyFont="1" applyFill="1"/>
    <xf numFmtId="165" fontId="16" fillId="0" borderId="11" xfId="0" applyNumberFormat="1" applyFont="1" applyBorder="1"/>
    <xf numFmtId="0" fontId="0" fillId="2" borderId="21" xfId="0" applyFill="1" applyBorder="1"/>
    <xf numFmtId="9" fontId="0" fillId="2" borderId="21" xfId="0" applyNumberFormat="1" applyFill="1" applyBorder="1"/>
    <xf numFmtId="9" fontId="26" fillId="2" borderId="21" xfId="0" applyNumberFormat="1" applyFont="1" applyFill="1" applyBorder="1"/>
    <xf numFmtId="166" fontId="16" fillId="2" borderId="21" xfId="0" applyNumberFormat="1" applyFont="1" applyFill="1" applyBorder="1"/>
    <xf numFmtId="0" fontId="14" fillId="2" borderId="21" xfId="0" applyFont="1" applyFill="1" applyBorder="1" applyAlignment="1">
      <alignment horizontal="right"/>
    </xf>
    <xf numFmtId="9" fontId="14" fillId="2" borderId="21" xfId="0" applyNumberFormat="1" applyFont="1" applyFill="1" applyBorder="1" applyAlignment="1">
      <alignment horizontal="right"/>
    </xf>
    <xf numFmtId="0" fontId="16" fillId="0" borderId="0" xfId="0" applyFont="1" applyBorder="1"/>
    <xf numFmtId="0" fontId="38" fillId="0" borderId="0" xfId="0" applyFont="1"/>
    <xf numFmtId="0" fontId="39" fillId="6" borderId="1" xfId="0" applyFont="1" applyFill="1" applyBorder="1" applyAlignment="1">
      <alignment horizontal="right"/>
    </xf>
    <xf numFmtId="0" fontId="39" fillId="0" borderId="0" xfId="0" applyFont="1"/>
    <xf numFmtId="0" fontId="39" fillId="2" borderId="1" xfId="0" applyFont="1" applyFill="1" applyBorder="1"/>
    <xf numFmtId="0" fontId="0" fillId="0" borderId="0" xfId="0" applyBorder="1"/>
    <xf numFmtId="168" fontId="26" fillId="0" borderId="0" xfId="0" applyNumberFormat="1" applyFont="1" applyBorder="1"/>
    <xf numFmtId="0" fontId="26" fillId="0" borderId="0" xfId="0" applyFont="1" applyBorder="1"/>
    <xf numFmtId="0" fontId="14" fillId="0" borderId="0" xfId="0" applyFont="1" applyBorder="1"/>
    <xf numFmtId="0" fontId="28" fillId="0" borderId="0" xfId="0" applyFont="1" applyBorder="1"/>
    <xf numFmtId="0" fontId="14" fillId="0" borderId="11" xfId="0" applyFont="1" applyBorder="1"/>
    <xf numFmtId="165" fontId="14" fillId="2" borderId="1" xfId="0" applyNumberFormat="1" applyFont="1" applyFill="1" applyBorder="1"/>
    <xf numFmtId="1" fontId="0" fillId="0" borderId="0" xfId="0" applyNumberFormat="1" applyBorder="1"/>
    <xf numFmtId="0" fontId="27" fillId="0" borderId="0" xfId="0" applyFont="1" applyBorder="1" applyAlignment="1">
      <alignment wrapText="1"/>
    </xf>
    <xf numFmtId="0" fontId="18" fillId="0" borderId="0" xfId="0" applyFont="1" applyBorder="1" applyAlignment="1">
      <alignment wrapText="1"/>
    </xf>
    <xf numFmtId="0" fontId="19" fillId="0" borderId="0" xfId="0" applyFont="1" applyBorder="1" applyAlignment="1">
      <alignment wrapText="1"/>
    </xf>
    <xf numFmtId="0" fontId="29" fillId="0" borderId="0" xfId="0" applyFont="1" applyBorder="1"/>
    <xf numFmtId="0" fontId="41" fillId="0" borderId="0" xfId="0" applyFont="1"/>
    <xf numFmtId="168" fontId="41" fillId="0" borderId="0" xfId="0" applyNumberFormat="1" applyFont="1"/>
    <xf numFmtId="0" fontId="15" fillId="2" borderId="19" xfId="0" applyFont="1" applyFill="1" applyBorder="1" applyAlignment="1">
      <alignment horizontal="right"/>
    </xf>
    <xf numFmtId="1" fontId="16" fillId="2" borderId="21" xfId="0" applyNumberFormat="1" applyFont="1" applyFill="1" applyBorder="1"/>
    <xf numFmtId="1" fontId="32" fillId="2" borderId="21" xfId="0" applyNumberFormat="1" applyFont="1" applyFill="1" applyBorder="1"/>
    <xf numFmtId="0" fontId="16" fillId="0" borderId="0" xfId="0" applyFont="1" applyBorder="1" applyAlignment="1">
      <alignment horizontal="center"/>
    </xf>
    <xf numFmtId="172" fontId="41" fillId="0" borderId="0" xfId="9" applyNumberFormat="1" applyFont="1"/>
    <xf numFmtId="3" fontId="14" fillId="0" borderId="0" xfId="0" applyNumberFormat="1" applyFont="1"/>
    <xf numFmtId="169" fontId="40" fillId="0" borderId="12" xfId="1" applyNumberFormat="1" applyFont="1" applyBorder="1"/>
    <xf numFmtId="0" fontId="40" fillId="0" borderId="13" xfId="0" applyFont="1" applyBorder="1"/>
    <xf numFmtId="0" fontId="40" fillId="0" borderId="14" xfId="0" applyFont="1" applyBorder="1"/>
    <xf numFmtId="0" fontId="32" fillId="0" borderId="0" xfId="0" applyFont="1" applyBorder="1" applyAlignment="1">
      <alignment wrapText="1"/>
    </xf>
    <xf numFmtId="168" fontId="32" fillId="0" borderId="0" xfId="0" applyNumberFormat="1" applyFont="1" applyBorder="1"/>
    <xf numFmtId="0" fontId="32" fillId="0" borderId="0" xfId="0" applyFont="1" applyBorder="1"/>
    <xf numFmtId="9" fontId="32" fillId="2" borderId="21" xfId="0" applyNumberFormat="1" applyFont="1" applyFill="1" applyBorder="1" applyAlignment="1">
      <alignment horizontal="right"/>
    </xf>
    <xf numFmtId="0" fontId="15" fillId="2" borderId="19" xfId="0" applyFont="1" applyFill="1" applyBorder="1" applyAlignment="1">
      <alignment horizontal="left"/>
    </xf>
    <xf numFmtId="0" fontId="14" fillId="0" borderId="0" xfId="0" applyFont="1" applyFill="1" applyBorder="1"/>
    <xf numFmtId="0" fontId="14" fillId="12" borderId="0" xfId="0" applyFont="1" applyFill="1"/>
    <xf numFmtId="0" fontId="14" fillId="2" borderId="21" xfId="0" applyFont="1" applyFill="1" applyBorder="1"/>
    <xf numFmtId="0" fontId="32" fillId="2" borderId="21" xfId="0" applyFont="1" applyFill="1" applyBorder="1"/>
    <xf numFmtId="169" fontId="37" fillId="2" borderId="21" xfId="1" applyNumberFormat="1" applyFont="1" applyFill="1" applyBorder="1"/>
    <xf numFmtId="9" fontId="37" fillId="2" borderId="21" xfId="0" applyNumberFormat="1" applyFont="1" applyFill="1" applyBorder="1"/>
    <xf numFmtId="9" fontId="37" fillId="2" borderId="20" xfId="0" applyNumberFormat="1" applyFont="1" applyFill="1" applyBorder="1"/>
    <xf numFmtId="0" fontId="37" fillId="0" borderId="0" xfId="0" applyFont="1" applyBorder="1"/>
    <xf numFmtId="9" fontId="14" fillId="2" borderId="1" xfId="0" applyNumberFormat="1" applyFont="1" applyFill="1" applyBorder="1"/>
    <xf numFmtId="0" fontId="10" fillId="0" borderId="0" xfId="14"/>
    <xf numFmtId="1" fontId="10" fillId="0" borderId="0" xfId="14" applyNumberFormat="1"/>
    <xf numFmtId="10" fontId="0" fillId="0" borderId="0" xfId="15" applyNumberFormat="1" applyFont="1"/>
    <xf numFmtId="10" fontId="10" fillId="0" borderId="0" xfId="14" applyNumberFormat="1"/>
    <xf numFmtId="168" fontId="10" fillId="0" borderId="0" xfId="14" applyNumberFormat="1"/>
    <xf numFmtId="9" fontId="0" fillId="0" borderId="0" xfId="15" applyFont="1"/>
    <xf numFmtId="168" fontId="0" fillId="0" borderId="0" xfId="15" applyNumberFormat="1" applyFont="1"/>
    <xf numFmtId="168" fontId="0" fillId="0" borderId="0" xfId="15" quotePrefix="1" applyNumberFormat="1" applyFont="1"/>
    <xf numFmtId="169" fontId="10" fillId="0" borderId="0" xfId="1" applyNumberFormat="1" applyFont="1"/>
    <xf numFmtId="169" fontId="0" fillId="0" borderId="0" xfId="1" applyNumberFormat="1" applyFont="1"/>
    <xf numFmtId="169" fontId="10" fillId="14" borderId="0" xfId="1" applyNumberFormat="1" applyFont="1" applyFill="1"/>
    <xf numFmtId="169" fontId="37" fillId="2" borderId="1" xfId="1" applyNumberFormat="1" applyFont="1" applyFill="1" applyBorder="1"/>
    <xf numFmtId="169" fontId="37" fillId="2" borderId="9" xfId="1" applyNumberFormat="1" applyFont="1" applyFill="1" applyBorder="1"/>
    <xf numFmtId="169" fontId="10" fillId="9" borderId="0" xfId="1" applyNumberFormat="1" applyFont="1" applyFill="1"/>
    <xf numFmtId="169" fontId="10" fillId="15" borderId="0" xfId="1" applyNumberFormat="1" applyFont="1" applyFill="1"/>
    <xf numFmtId="0" fontId="10" fillId="16" borderId="0" xfId="14" applyFill="1"/>
    <xf numFmtId="168" fontId="0" fillId="16" borderId="0" xfId="15" applyNumberFormat="1" applyFont="1" applyFill="1"/>
    <xf numFmtId="10" fontId="0" fillId="16" borderId="0" xfId="15" applyNumberFormat="1" applyFont="1" applyFill="1"/>
    <xf numFmtId="169" fontId="10" fillId="10" borderId="0" xfId="1" applyNumberFormat="1" applyFont="1" applyFill="1"/>
    <xf numFmtId="0" fontId="8" fillId="0" borderId="0" xfId="14" applyFont="1"/>
    <xf numFmtId="0" fontId="47" fillId="0" borderId="13" xfId="14" applyFont="1" applyBorder="1"/>
    <xf numFmtId="168" fontId="50" fillId="0" borderId="13" xfId="15" applyNumberFormat="1" applyFont="1" applyBorder="1"/>
    <xf numFmtId="169" fontId="9" fillId="10" borderId="2" xfId="1" applyNumberFormat="1" applyFont="1" applyFill="1" applyBorder="1" applyAlignment="1">
      <alignment horizontal="left"/>
    </xf>
    <xf numFmtId="169" fontId="10" fillId="10" borderId="2" xfId="1" applyNumberFormat="1" applyFont="1" applyFill="1" applyBorder="1"/>
    <xf numFmtId="0" fontId="8" fillId="23" borderId="0" xfId="14" applyFont="1" applyFill="1" applyBorder="1"/>
    <xf numFmtId="0" fontId="10" fillId="23" borderId="0" xfId="14" applyFill="1" applyBorder="1"/>
    <xf numFmtId="169" fontId="9" fillId="23" borderId="0" xfId="14" applyNumberFormat="1" applyFont="1" applyFill="1" applyBorder="1"/>
    <xf numFmtId="10" fontId="14" fillId="2" borderId="1" xfId="0" applyNumberFormat="1" applyFont="1" applyFill="1" applyBorder="1"/>
    <xf numFmtId="170" fontId="0" fillId="2" borderId="1" xfId="1" applyNumberFormat="1" applyFont="1" applyFill="1" applyBorder="1"/>
    <xf numFmtId="10" fontId="45" fillId="0" borderId="0" xfId="8" applyNumberFormat="1" applyFont="1"/>
    <xf numFmtId="169" fontId="10" fillId="8" borderId="0" xfId="1" applyNumberFormat="1" applyFont="1" applyFill="1"/>
    <xf numFmtId="0" fontId="47" fillId="15" borderId="0" xfId="14" applyFont="1" applyFill="1" applyBorder="1"/>
    <xf numFmtId="169" fontId="47" fillId="15" borderId="0" xfId="1" applyNumberFormat="1" applyFont="1" applyFill="1" applyBorder="1"/>
    <xf numFmtId="169" fontId="47" fillId="15" borderId="0" xfId="14" applyNumberFormat="1" applyFont="1" applyFill="1" applyBorder="1"/>
    <xf numFmtId="0" fontId="7" fillId="23" borderId="0" xfId="14" applyFont="1" applyFill="1" applyBorder="1"/>
    <xf numFmtId="0" fontId="6" fillId="23" borderId="0" xfId="14" applyFont="1" applyFill="1" applyBorder="1"/>
    <xf numFmtId="168" fontId="0" fillId="0" borderId="0" xfId="8" applyNumberFormat="1" applyFont="1"/>
    <xf numFmtId="0" fontId="52" fillId="10" borderId="33" xfId="29" applyFont="1" applyFill="1" applyBorder="1" applyAlignment="1">
      <alignment horizontal="center" vertical="center" wrapText="1"/>
    </xf>
    <xf numFmtId="0" fontId="52" fillId="24" borderId="33" xfId="29" applyFont="1" applyFill="1" applyBorder="1" applyAlignment="1">
      <alignment horizontal="center" vertical="center" wrapText="1"/>
    </xf>
    <xf numFmtId="2" fontId="52" fillId="25" borderId="76" xfId="29" applyNumberFormat="1" applyFont="1" applyFill="1" applyBorder="1" applyAlignment="1">
      <alignment horizontal="center" vertical="center" wrapText="1"/>
    </xf>
    <xf numFmtId="0" fontId="52" fillId="11" borderId="33" xfId="29" applyFont="1" applyFill="1" applyBorder="1" applyAlignment="1">
      <alignment horizontal="center" vertical="center" wrapText="1"/>
    </xf>
    <xf numFmtId="0" fontId="52" fillId="17" borderId="33" xfId="29" applyFont="1" applyFill="1" applyBorder="1" applyAlignment="1">
      <alignment horizontal="center" vertical="center" wrapText="1"/>
    </xf>
    <xf numFmtId="0" fontId="52" fillId="18" borderId="33" xfId="29" applyFont="1" applyFill="1" applyBorder="1" applyAlignment="1">
      <alignment horizontal="center" vertical="center" wrapText="1"/>
    </xf>
    <xf numFmtId="0" fontId="51" fillId="8" borderId="33" xfId="29" applyFont="1" applyFill="1" applyBorder="1" applyAlignment="1">
      <alignment horizontal="center" vertical="center" wrapText="1"/>
    </xf>
    <xf numFmtId="0" fontId="52" fillId="17" borderId="34" xfId="29" applyFont="1" applyFill="1" applyBorder="1" applyAlignment="1">
      <alignment horizontal="center" vertical="center" wrapText="1"/>
    </xf>
    <xf numFmtId="0" fontId="52" fillId="25" borderId="76" xfId="29" applyFont="1" applyFill="1" applyBorder="1" applyAlignment="1">
      <alignment horizontal="center" vertical="center" wrapText="1"/>
    </xf>
    <xf numFmtId="0" fontId="51" fillId="10" borderId="73" xfId="29" applyFont="1" applyFill="1" applyBorder="1" applyAlignment="1">
      <alignment horizontal="center" vertical="center" wrapText="1"/>
    </xf>
    <xf numFmtId="0" fontId="52" fillId="10" borderId="34" xfId="29" applyFont="1" applyFill="1" applyBorder="1" applyAlignment="1">
      <alignment horizontal="center" vertical="center" wrapText="1"/>
    </xf>
    <xf numFmtId="0" fontId="52" fillId="19" borderId="35" xfId="29" applyFont="1" applyFill="1" applyBorder="1" applyAlignment="1">
      <alignment horizontal="center" vertical="center" wrapText="1"/>
    </xf>
    <xf numFmtId="0" fontId="52" fillId="19" borderId="17" xfId="29" applyFont="1" applyFill="1" applyBorder="1" applyAlignment="1">
      <alignment horizontal="center" vertical="center" wrapText="1"/>
    </xf>
    <xf numFmtId="0" fontId="51" fillId="19" borderId="36" xfId="29" applyFont="1" applyFill="1" applyBorder="1" applyAlignment="1">
      <alignment horizontal="center" vertical="center" wrapText="1"/>
    </xf>
    <xf numFmtId="0" fontId="52" fillId="18" borderId="35" xfId="29" applyFont="1" applyFill="1" applyBorder="1" applyAlignment="1">
      <alignment horizontal="center" vertical="center" wrapText="1"/>
    </xf>
    <xf numFmtId="0" fontId="52" fillId="18" borderId="17" xfId="29" applyFont="1" applyFill="1" applyBorder="1" applyAlignment="1">
      <alignment horizontal="center" vertical="center" wrapText="1"/>
    </xf>
    <xf numFmtId="0" fontId="51" fillId="7" borderId="36" xfId="29" applyFont="1" applyFill="1" applyBorder="1" applyAlignment="1">
      <alignment horizontal="center" vertical="center" wrapText="1"/>
    </xf>
    <xf numFmtId="0" fontId="51" fillId="17" borderId="39" xfId="29" applyFont="1" applyFill="1" applyBorder="1" applyAlignment="1">
      <alignment horizontal="center" vertical="center" wrapText="1"/>
    </xf>
    <xf numFmtId="0" fontId="51" fillId="10" borderId="77" xfId="29" applyFont="1" applyFill="1" applyBorder="1" applyAlignment="1">
      <alignment horizontal="center" vertical="center" wrapText="1"/>
    </xf>
    <xf numFmtId="0" fontId="52" fillId="0" borderId="0" xfId="29" applyFont="1" applyBorder="1"/>
    <xf numFmtId="0" fontId="52" fillId="18" borderId="38" xfId="29" applyFont="1" applyFill="1" applyBorder="1" applyAlignment="1">
      <alignment horizontal="center" vertical="center" wrapText="1"/>
    </xf>
    <xf numFmtId="0" fontId="51" fillId="20" borderId="37" xfId="29" applyFont="1" applyFill="1" applyBorder="1" applyAlignment="1">
      <alignment horizontal="center" vertical="center" wrapText="1"/>
    </xf>
    <xf numFmtId="0" fontId="51" fillId="10" borderId="0" xfId="29" applyFont="1" applyFill="1" applyBorder="1" applyAlignment="1">
      <alignment horizontal="center" vertical="center" wrapText="1"/>
    </xf>
    <xf numFmtId="0" fontId="51" fillId="26" borderId="0" xfId="29" applyFont="1" applyFill="1" applyBorder="1" applyAlignment="1">
      <alignment horizontal="center" vertical="center" wrapText="1"/>
    </xf>
    <xf numFmtId="0" fontId="51" fillId="17" borderId="29" xfId="29" applyFont="1" applyFill="1" applyBorder="1" applyAlignment="1">
      <alignment horizontal="center" vertical="center" wrapText="1"/>
    </xf>
    <xf numFmtId="0" fontId="51" fillId="19" borderId="4" xfId="29" applyFont="1" applyFill="1" applyBorder="1" applyAlignment="1">
      <alignment horizontal="center" vertical="center" wrapText="1"/>
    </xf>
    <xf numFmtId="0" fontId="51" fillId="7" borderId="78" xfId="29" applyFont="1" applyFill="1" applyBorder="1" applyAlignment="1">
      <alignment horizontal="center" vertical="center" wrapText="1"/>
    </xf>
    <xf numFmtId="0" fontId="51" fillId="17" borderId="79" xfId="29" applyFont="1" applyFill="1" applyBorder="1" applyAlignment="1">
      <alignment horizontal="center" vertical="center" wrapText="1"/>
    </xf>
    <xf numFmtId="0" fontId="51" fillId="18" borderId="29" xfId="29" applyFont="1" applyFill="1" applyBorder="1" applyAlignment="1">
      <alignment horizontal="center" vertical="center" wrapText="1"/>
    </xf>
    <xf numFmtId="0" fontId="52" fillId="25" borderId="29" xfId="29" applyFont="1" applyFill="1" applyBorder="1" applyAlignment="1">
      <alignment horizontal="center" vertical="center" wrapText="1"/>
    </xf>
    <xf numFmtId="0" fontId="51" fillId="18" borderId="5" xfId="29" applyFont="1" applyFill="1" applyBorder="1" applyAlignment="1">
      <alignment horizontal="center" vertical="center" wrapText="1"/>
    </xf>
    <xf numFmtId="0" fontId="53" fillId="27" borderId="80" xfId="29" applyFont="1" applyFill="1" applyBorder="1" applyAlignment="1">
      <alignment horizontal="center" vertical="center" wrapText="1"/>
    </xf>
    <xf numFmtId="0" fontId="51" fillId="7" borderId="81" xfId="29" applyFont="1" applyFill="1" applyBorder="1" applyAlignment="1">
      <alignment horizontal="center" vertical="center" wrapText="1"/>
    </xf>
    <xf numFmtId="0" fontId="51" fillId="17" borderId="82" xfId="29" applyFont="1" applyFill="1" applyBorder="1" applyAlignment="1">
      <alignment horizontal="center" vertical="center" wrapText="1"/>
    </xf>
    <xf numFmtId="0" fontId="51" fillId="18" borderId="83" xfId="29" applyFont="1" applyFill="1" applyBorder="1" applyAlignment="1">
      <alignment horizontal="center" vertical="center" wrapText="1"/>
    </xf>
    <xf numFmtId="0" fontId="52" fillId="25" borderId="84" xfId="29" applyFont="1" applyFill="1" applyBorder="1" applyAlignment="1">
      <alignment horizontal="center" vertical="center" wrapText="1"/>
    </xf>
    <xf numFmtId="0" fontId="54" fillId="18" borderId="83" xfId="29" applyFont="1" applyFill="1" applyBorder="1" applyAlignment="1">
      <alignment horizontal="center" vertical="center" wrapText="1"/>
    </xf>
    <xf numFmtId="0" fontId="51" fillId="18" borderId="85" xfId="29" applyFont="1" applyFill="1" applyBorder="1" applyAlignment="1">
      <alignment horizontal="center" vertical="center" wrapText="1"/>
    </xf>
    <xf numFmtId="0" fontId="52" fillId="0" borderId="0" xfId="29" applyFont="1"/>
    <xf numFmtId="0" fontId="55" fillId="7" borderId="4" xfId="29" applyFont="1" applyFill="1" applyBorder="1" applyAlignment="1">
      <alignment horizontal="center" vertical="center"/>
    </xf>
    <xf numFmtId="1" fontId="52" fillId="10" borderId="40" xfId="29" applyNumberFormat="1" applyFont="1" applyFill="1" applyBorder="1" applyAlignment="1">
      <alignment horizontal="center" vertical="center"/>
    </xf>
    <xf numFmtId="164" fontId="52" fillId="10" borderId="40" xfId="29" applyNumberFormat="1" applyFont="1" applyFill="1" applyBorder="1" applyAlignment="1">
      <alignment horizontal="center" vertical="center"/>
    </xf>
    <xf numFmtId="2" fontId="52" fillId="25" borderId="28" xfId="29" applyNumberFormat="1" applyFont="1" applyFill="1" applyBorder="1" applyAlignment="1">
      <alignment horizontal="center" vertical="center"/>
    </xf>
    <xf numFmtId="1" fontId="52" fillId="0" borderId="17" xfId="29" applyNumberFormat="1" applyFont="1" applyFill="1" applyBorder="1" applyAlignment="1">
      <alignment horizontal="center" vertical="center"/>
    </xf>
    <xf numFmtId="1" fontId="52" fillId="11" borderId="40" xfId="29" applyNumberFormat="1" applyFont="1" applyFill="1" applyBorder="1" applyAlignment="1">
      <alignment horizontal="center" vertical="center"/>
    </xf>
    <xf numFmtId="9" fontId="52" fillId="10" borderId="40" xfId="29" applyNumberFormat="1" applyFont="1" applyFill="1" applyBorder="1" applyAlignment="1">
      <alignment horizontal="center" vertical="center"/>
    </xf>
    <xf numFmtId="164" fontId="52" fillId="0" borderId="17" xfId="29" applyNumberFormat="1" applyFont="1" applyFill="1" applyBorder="1" applyAlignment="1">
      <alignment horizontal="center" vertical="center"/>
    </xf>
    <xf numFmtId="2" fontId="52" fillId="25" borderId="17" xfId="29" applyNumberFormat="1" applyFont="1" applyFill="1" applyBorder="1" applyAlignment="1">
      <alignment horizontal="center" vertical="center"/>
    </xf>
    <xf numFmtId="164" fontId="52" fillId="18" borderId="17" xfId="29" applyNumberFormat="1" applyFont="1" applyFill="1" applyBorder="1" applyAlignment="1">
      <alignment horizontal="center" vertical="center"/>
    </xf>
    <xf numFmtId="0" fontId="52" fillId="0" borderId="17" xfId="29" applyFont="1" applyFill="1" applyBorder="1" applyAlignment="1">
      <alignment horizontal="center" vertical="center"/>
    </xf>
    <xf numFmtId="1" fontId="52" fillId="0" borderId="28" xfId="29" applyNumberFormat="1" applyFont="1" applyFill="1" applyBorder="1" applyAlignment="1">
      <alignment horizontal="center" vertical="center"/>
    </xf>
    <xf numFmtId="164" fontId="52" fillId="25" borderId="37" xfId="29" applyNumberFormat="1" applyFont="1" applyFill="1" applyBorder="1" applyAlignment="1">
      <alignment horizontal="center" vertical="center"/>
    </xf>
    <xf numFmtId="0" fontId="52" fillId="0" borderId="3" xfId="29" applyFont="1" applyFill="1" applyBorder="1" applyAlignment="1">
      <alignment horizontal="center" vertical="center"/>
    </xf>
    <xf numFmtId="164" fontId="52" fillId="0" borderId="28" xfId="29" applyNumberFormat="1" applyFont="1" applyFill="1" applyBorder="1" applyAlignment="1">
      <alignment horizontal="center" vertical="center"/>
    </xf>
    <xf numFmtId="1" fontId="52" fillId="0" borderId="39" xfId="29" applyNumberFormat="1" applyFont="1" applyFill="1" applyBorder="1" applyAlignment="1">
      <alignment horizontal="center" vertical="center"/>
    </xf>
    <xf numFmtId="1" fontId="52" fillId="0" borderId="36" xfId="29" applyNumberFormat="1" applyFont="1" applyFill="1" applyBorder="1" applyAlignment="1">
      <alignment horizontal="center" vertical="center"/>
    </xf>
    <xf numFmtId="0" fontId="52" fillId="0" borderId="35" xfId="29" applyFont="1" applyFill="1" applyBorder="1" applyAlignment="1">
      <alignment horizontal="center" vertical="center"/>
    </xf>
    <xf numFmtId="0" fontId="52" fillId="7" borderId="3" xfId="29" applyFont="1" applyFill="1" applyBorder="1" applyAlignment="1">
      <alignment horizontal="center" vertical="center"/>
    </xf>
    <xf numFmtId="2" fontId="52" fillId="0" borderId="37" xfId="29" applyNumberFormat="1" applyFont="1" applyFill="1" applyBorder="1" applyAlignment="1">
      <alignment horizontal="center" vertical="center"/>
    </xf>
    <xf numFmtId="164" fontId="52" fillId="0" borderId="37" xfId="29" applyNumberFormat="1" applyFont="1" applyFill="1" applyBorder="1" applyAlignment="1">
      <alignment horizontal="center" vertical="center"/>
    </xf>
    <xf numFmtId="164" fontId="52" fillId="0" borderId="0" xfId="29" applyNumberFormat="1" applyFont="1" applyFill="1" applyBorder="1" applyAlignment="1">
      <alignment horizontal="center" vertical="center"/>
    </xf>
    <xf numFmtId="164" fontId="52" fillId="26" borderId="0" xfId="29" applyNumberFormat="1" applyFont="1" applyFill="1" applyBorder="1" applyAlignment="1">
      <alignment horizontal="center" vertical="center"/>
    </xf>
    <xf numFmtId="1" fontId="52" fillId="0" borderId="86" xfId="29" applyNumberFormat="1" applyFont="1" applyBorder="1" applyAlignment="1">
      <alignment horizontal="center" vertical="center"/>
    </xf>
    <xf numFmtId="1" fontId="52" fillId="0" borderId="11" xfId="29" applyNumberFormat="1" applyFont="1" applyBorder="1" applyAlignment="1">
      <alignment horizontal="center" vertical="center"/>
    </xf>
    <xf numFmtId="0" fontId="52" fillId="0" borderId="87" xfId="29" applyFont="1" applyBorder="1" applyAlignment="1">
      <alignment horizontal="center"/>
    </xf>
    <xf numFmtId="1" fontId="52" fillId="0" borderId="87" xfId="29" applyNumberFormat="1" applyFont="1" applyBorder="1" applyAlignment="1">
      <alignment horizontal="center" vertical="center"/>
    </xf>
    <xf numFmtId="164" fontId="52" fillId="25" borderId="11" xfId="29" applyNumberFormat="1" applyFont="1" applyFill="1" applyBorder="1" applyAlignment="1">
      <alignment horizontal="center" vertical="center"/>
    </xf>
    <xf numFmtId="164" fontId="52" fillId="18" borderId="11" xfId="29" applyNumberFormat="1" applyFont="1" applyFill="1" applyBorder="1" applyAlignment="1">
      <alignment horizontal="center" vertical="center"/>
    </xf>
    <xf numFmtId="0" fontId="56" fillId="27" borderId="88" xfId="29" applyFont="1" applyFill="1" applyBorder="1" applyAlignment="1">
      <alignment horizontal="center" vertical="center"/>
    </xf>
    <xf numFmtId="0" fontId="57" fillId="28" borderId="89" xfId="29" applyFont="1" applyFill="1" applyBorder="1" applyAlignment="1">
      <alignment horizontal="center" vertical="center"/>
    </xf>
    <xf numFmtId="1" fontId="57" fillId="28" borderId="89" xfId="29" applyNumberFormat="1" applyFont="1" applyFill="1" applyBorder="1" applyAlignment="1">
      <alignment horizontal="center" vertical="center"/>
    </xf>
    <xf numFmtId="1" fontId="52" fillId="0" borderId="89" xfId="29" applyNumberFormat="1" applyFont="1" applyBorder="1" applyAlignment="1">
      <alignment horizontal="center" vertical="center"/>
    </xf>
    <xf numFmtId="1" fontId="52" fillId="7" borderId="3" xfId="29" applyNumberFormat="1" applyFont="1" applyFill="1" applyBorder="1" applyAlignment="1">
      <alignment horizontal="center" vertical="center"/>
    </xf>
    <xf numFmtId="2" fontId="52" fillId="18" borderId="37" xfId="29" applyNumberFormat="1" applyFont="1" applyFill="1" applyBorder="1" applyAlignment="1">
      <alignment horizontal="center" vertical="center"/>
    </xf>
    <xf numFmtId="1" fontId="52" fillId="0" borderId="90" xfId="29" applyNumberFormat="1" applyFont="1" applyBorder="1" applyAlignment="1">
      <alignment horizontal="center" vertical="center"/>
    </xf>
    <xf numFmtId="0" fontId="52" fillId="0" borderId="2" xfId="29" applyFont="1" applyBorder="1" applyAlignment="1">
      <alignment horizontal="center" vertical="center"/>
    </xf>
    <xf numFmtId="0" fontId="52" fillId="0" borderId="88" xfId="29" applyFont="1" applyBorder="1" applyAlignment="1">
      <alignment horizontal="center"/>
    </xf>
    <xf numFmtId="1" fontId="52" fillId="0" borderId="2" xfId="29" applyNumberFormat="1" applyFont="1" applyBorder="1" applyAlignment="1">
      <alignment horizontal="center" vertical="center"/>
    </xf>
    <xf numFmtId="1" fontId="52" fillId="0" borderId="88" xfId="29" applyNumberFormat="1" applyFont="1" applyBorder="1" applyAlignment="1">
      <alignment horizontal="center" vertical="center"/>
    </xf>
    <xf numFmtId="164" fontId="52" fillId="25" borderId="2" xfId="29" applyNumberFormat="1" applyFont="1" applyFill="1" applyBorder="1" applyAlignment="1">
      <alignment horizontal="center" vertical="center"/>
    </xf>
    <xf numFmtId="164" fontId="52" fillId="18" borderId="2" xfId="29" applyNumberFormat="1" applyFont="1" applyFill="1" applyBorder="1" applyAlignment="1">
      <alignment horizontal="center" vertical="center"/>
    </xf>
    <xf numFmtId="0" fontId="57" fillId="28" borderId="88" xfId="29" applyFont="1" applyFill="1" applyBorder="1" applyAlignment="1">
      <alignment horizontal="center" vertical="center"/>
    </xf>
    <xf numFmtId="1" fontId="57" fillId="28" borderId="88" xfId="29" applyNumberFormat="1" applyFont="1" applyFill="1" applyBorder="1" applyAlignment="1">
      <alignment horizontal="center" vertical="center"/>
    </xf>
    <xf numFmtId="0" fontId="52" fillId="0" borderId="88" xfId="29" applyFont="1" applyBorder="1" applyAlignment="1">
      <alignment horizontal="center" vertical="center"/>
    </xf>
    <xf numFmtId="164" fontId="52" fillId="0" borderId="88" xfId="29" applyNumberFormat="1" applyFont="1" applyBorder="1" applyAlignment="1">
      <alignment horizontal="center" vertical="center"/>
    </xf>
    <xf numFmtId="1" fontId="52" fillId="10" borderId="55" xfId="29" applyNumberFormat="1" applyFont="1" applyFill="1" applyBorder="1" applyAlignment="1">
      <alignment horizontal="center" vertical="center"/>
    </xf>
    <xf numFmtId="164" fontId="52" fillId="10" borderId="55" xfId="29" applyNumberFormat="1" applyFont="1" applyFill="1" applyBorder="1" applyAlignment="1">
      <alignment horizontal="center" vertical="center"/>
    </xf>
    <xf numFmtId="1" fontId="52" fillId="0" borderId="41" xfId="29" applyNumberFormat="1" applyFont="1" applyFill="1" applyBorder="1" applyAlignment="1">
      <alignment horizontal="center" vertical="center"/>
    </xf>
    <xf numFmtId="1" fontId="52" fillId="11" borderId="55" xfId="29" applyNumberFormat="1" applyFont="1" applyFill="1" applyBorder="1" applyAlignment="1">
      <alignment horizontal="center" vertical="center"/>
    </xf>
    <xf numFmtId="9" fontId="52" fillId="10" borderId="55" xfId="29" applyNumberFormat="1" applyFont="1" applyFill="1" applyBorder="1" applyAlignment="1">
      <alignment horizontal="center" vertical="center"/>
    </xf>
    <xf numFmtId="164" fontId="52" fillId="0" borderId="41" xfId="29" applyNumberFormat="1" applyFont="1" applyFill="1" applyBorder="1" applyAlignment="1">
      <alignment horizontal="center" vertical="center"/>
    </xf>
    <xf numFmtId="2" fontId="52" fillId="25" borderId="41" xfId="29" applyNumberFormat="1" applyFont="1" applyFill="1" applyBorder="1" applyAlignment="1">
      <alignment horizontal="center" vertical="center"/>
    </xf>
    <xf numFmtId="164" fontId="52" fillId="18" borderId="41" xfId="29" applyNumberFormat="1" applyFont="1" applyFill="1" applyBorder="1" applyAlignment="1">
      <alignment horizontal="center" vertical="center"/>
    </xf>
    <xf numFmtId="0" fontId="52" fillId="0" borderId="41" xfId="29" applyFont="1" applyFill="1" applyBorder="1" applyAlignment="1">
      <alignment horizontal="center" vertical="center"/>
    </xf>
    <xf numFmtId="1" fontId="52" fillId="0" borderId="12" xfId="29" applyNumberFormat="1" applyFont="1" applyFill="1" applyBorder="1" applyAlignment="1">
      <alignment horizontal="center" vertical="center"/>
    </xf>
    <xf numFmtId="164" fontId="52" fillId="25" borderId="47" xfId="29" applyNumberFormat="1" applyFont="1" applyFill="1" applyBorder="1" applyAlignment="1">
      <alignment horizontal="center" vertical="center"/>
    </xf>
    <xf numFmtId="0" fontId="52" fillId="0" borderId="14" xfId="29" applyFont="1" applyFill="1" applyBorder="1" applyAlignment="1">
      <alignment horizontal="center" vertical="center"/>
    </xf>
    <xf numFmtId="164" fontId="52" fillId="0" borderId="12" xfId="29" applyNumberFormat="1" applyFont="1" applyFill="1" applyBorder="1" applyAlignment="1">
      <alignment horizontal="center" vertical="center"/>
    </xf>
    <xf numFmtId="1" fontId="52" fillId="0" borderId="44" xfId="29" applyNumberFormat="1" applyFont="1" applyFill="1" applyBorder="1" applyAlignment="1">
      <alignment horizontal="center" vertical="center"/>
    </xf>
    <xf numFmtId="1" fontId="52" fillId="0" borderId="45" xfId="29" applyNumberFormat="1" applyFont="1" applyFill="1" applyBorder="1" applyAlignment="1">
      <alignment horizontal="center" vertical="center"/>
    </xf>
    <xf numFmtId="0" fontId="52" fillId="0" borderId="46" xfId="29" applyFont="1" applyFill="1" applyBorder="1" applyAlignment="1">
      <alignment horizontal="center" vertical="center"/>
    </xf>
    <xf numFmtId="1" fontId="52" fillId="7" borderId="14" xfId="29" applyNumberFormat="1" applyFont="1" applyFill="1" applyBorder="1" applyAlignment="1">
      <alignment horizontal="center" vertical="center"/>
    </xf>
    <xf numFmtId="2" fontId="52" fillId="18" borderId="47" xfId="29" applyNumberFormat="1" applyFont="1" applyFill="1" applyBorder="1" applyAlignment="1">
      <alignment horizontal="center" vertical="center"/>
    </xf>
    <xf numFmtId="164" fontId="52" fillId="0" borderId="47" xfId="29" applyNumberFormat="1" applyFont="1" applyFill="1" applyBorder="1" applyAlignment="1">
      <alignment horizontal="center" vertical="center"/>
    </xf>
    <xf numFmtId="1" fontId="52" fillId="0" borderId="91" xfId="29" applyNumberFormat="1" applyFont="1" applyBorder="1" applyAlignment="1">
      <alignment horizontal="center" vertical="center"/>
    </xf>
    <xf numFmtId="0" fontId="52" fillId="0" borderId="13" xfId="29" applyFont="1" applyBorder="1" applyAlignment="1">
      <alignment horizontal="center" vertical="center"/>
    </xf>
    <xf numFmtId="0" fontId="52" fillId="0" borderId="92" xfId="29" applyFont="1" applyBorder="1" applyAlignment="1">
      <alignment horizontal="center"/>
    </xf>
    <xf numFmtId="1" fontId="52" fillId="0" borderId="13" xfId="29" applyNumberFormat="1" applyFont="1" applyBorder="1" applyAlignment="1">
      <alignment horizontal="center" vertical="center"/>
    </xf>
    <xf numFmtId="1" fontId="52" fillId="0" borderId="92" xfId="29" applyNumberFormat="1" applyFont="1" applyBorder="1" applyAlignment="1">
      <alignment horizontal="center" vertical="center"/>
    </xf>
    <xf numFmtId="164" fontId="52" fillId="25" borderId="13" xfId="29" applyNumberFormat="1" applyFont="1" applyFill="1" applyBorder="1" applyAlignment="1">
      <alignment horizontal="center" vertical="center"/>
    </xf>
    <xf numFmtId="164" fontId="52" fillId="18" borderId="13" xfId="29" applyNumberFormat="1" applyFont="1" applyFill="1" applyBorder="1" applyAlignment="1">
      <alignment horizontal="center" vertical="center"/>
    </xf>
    <xf numFmtId="0" fontId="56" fillId="27" borderId="92" xfId="29" applyFont="1" applyFill="1" applyBorder="1" applyAlignment="1">
      <alignment horizontal="center" vertical="center"/>
    </xf>
    <xf numFmtId="0" fontId="57" fillId="28" borderId="93" xfId="29" applyFont="1" applyFill="1" applyBorder="1" applyAlignment="1">
      <alignment horizontal="center" vertical="center"/>
    </xf>
    <xf numFmtId="1" fontId="57" fillId="28" borderId="93" xfId="29" applyNumberFormat="1" applyFont="1" applyFill="1" applyBorder="1" applyAlignment="1">
      <alignment horizontal="center" vertical="center"/>
    </xf>
    <xf numFmtId="0" fontId="52" fillId="0" borderId="92" xfId="29" applyFont="1" applyBorder="1" applyAlignment="1">
      <alignment horizontal="center" vertical="center"/>
    </xf>
    <xf numFmtId="164" fontId="52" fillId="0" borderId="92" xfId="29" applyNumberFormat="1" applyFont="1" applyBorder="1" applyAlignment="1">
      <alignment horizontal="center" vertical="center"/>
    </xf>
    <xf numFmtId="1" fontId="52" fillId="10" borderId="59" xfId="29" applyNumberFormat="1" applyFont="1" applyFill="1" applyBorder="1" applyAlignment="1">
      <alignment horizontal="center" vertical="center"/>
    </xf>
    <xf numFmtId="164" fontId="52" fillId="10" borderId="59" xfId="29" applyNumberFormat="1" applyFont="1" applyFill="1" applyBorder="1" applyAlignment="1">
      <alignment horizontal="center" vertical="center"/>
    </xf>
    <xf numFmtId="1" fontId="52" fillId="0" borderId="16" xfId="29" applyNumberFormat="1" applyFont="1" applyFill="1" applyBorder="1" applyAlignment="1">
      <alignment horizontal="center" vertical="center"/>
    </xf>
    <xf numFmtId="1" fontId="52" fillId="11" borderId="59" xfId="29" applyNumberFormat="1" applyFont="1" applyFill="1" applyBorder="1" applyAlignment="1">
      <alignment horizontal="center" vertical="center"/>
    </xf>
    <xf numFmtId="9" fontId="52" fillId="10" borderId="59" xfId="29" applyNumberFormat="1" applyFont="1" applyFill="1" applyBorder="1" applyAlignment="1">
      <alignment horizontal="center" vertical="center"/>
    </xf>
    <xf numFmtId="164" fontId="52" fillId="0" borderId="16" xfId="29" applyNumberFormat="1" applyFont="1" applyFill="1" applyBorder="1" applyAlignment="1">
      <alignment horizontal="center" vertical="center"/>
    </xf>
    <xf numFmtId="2" fontId="52" fillId="25" borderId="16" xfId="29" applyNumberFormat="1" applyFont="1" applyFill="1" applyBorder="1" applyAlignment="1">
      <alignment horizontal="center" vertical="center"/>
    </xf>
    <xf numFmtId="164" fontId="52" fillId="18" borderId="16" xfId="29" applyNumberFormat="1" applyFont="1" applyFill="1" applyBorder="1" applyAlignment="1">
      <alignment horizontal="center" vertical="center"/>
    </xf>
    <xf numFmtId="1" fontId="52" fillId="0" borderId="51" xfId="29" applyNumberFormat="1" applyFont="1" applyFill="1" applyBorder="1" applyAlignment="1">
      <alignment horizontal="center" vertical="center"/>
    </xf>
    <xf numFmtId="164" fontId="52" fillId="25" borderId="54" xfId="29" applyNumberFormat="1" applyFont="1" applyFill="1" applyBorder="1" applyAlignment="1">
      <alignment horizontal="center" vertical="center"/>
    </xf>
    <xf numFmtId="1" fontId="52" fillId="0" borderId="49" xfId="29" applyNumberFormat="1" applyFont="1" applyFill="1" applyBorder="1" applyAlignment="1">
      <alignment horizontal="center" vertical="center"/>
    </xf>
    <xf numFmtId="164" fontId="52" fillId="0" borderId="51" xfId="29" applyNumberFormat="1" applyFont="1" applyFill="1" applyBorder="1" applyAlignment="1">
      <alignment horizontal="center" vertical="center"/>
    </xf>
    <xf numFmtId="1" fontId="52" fillId="0" borderId="48" xfId="29" applyNumberFormat="1" applyFont="1" applyFill="1" applyBorder="1" applyAlignment="1">
      <alignment horizontal="center" vertical="center"/>
    </xf>
    <xf numFmtId="1" fontId="52" fillId="0" borderId="52" xfId="29" applyNumberFormat="1" applyFont="1" applyFill="1" applyBorder="1" applyAlignment="1">
      <alignment horizontal="center" vertical="center"/>
    </xf>
    <xf numFmtId="1" fontId="52" fillId="0" borderId="53" xfId="29" applyNumberFormat="1" applyFont="1" applyFill="1" applyBorder="1" applyAlignment="1">
      <alignment horizontal="center" vertical="center"/>
    </xf>
    <xf numFmtId="1" fontId="52" fillId="0" borderId="54" xfId="29" applyNumberFormat="1" applyFont="1" applyFill="1" applyBorder="1" applyAlignment="1">
      <alignment horizontal="center" vertical="center"/>
    </xf>
    <xf numFmtId="1" fontId="52" fillId="7" borderId="49" xfId="29" applyNumberFormat="1" applyFont="1" applyFill="1" applyBorder="1" applyAlignment="1">
      <alignment horizontal="center" vertical="center"/>
    </xf>
    <xf numFmtId="2" fontId="52" fillId="18" borderId="54" xfId="29" applyNumberFormat="1" applyFont="1" applyFill="1" applyBorder="1" applyAlignment="1">
      <alignment horizontal="center" vertical="center"/>
    </xf>
    <xf numFmtId="164" fontId="52" fillId="0" borderId="54" xfId="29" applyNumberFormat="1" applyFont="1" applyFill="1" applyBorder="1" applyAlignment="1">
      <alignment horizontal="center" vertical="center"/>
    </xf>
    <xf numFmtId="1" fontId="52" fillId="0" borderId="95" xfId="29" applyNumberFormat="1" applyFont="1" applyBorder="1" applyAlignment="1">
      <alignment horizontal="center" vertical="center"/>
    </xf>
    <xf numFmtId="0" fontId="52" fillId="0" borderId="94" xfId="29" applyFont="1" applyBorder="1" applyAlignment="1">
      <alignment horizontal="center" vertical="center"/>
    </xf>
    <xf numFmtId="3" fontId="52" fillId="0" borderId="89" xfId="29" applyNumberFormat="1" applyFont="1" applyBorder="1" applyAlignment="1">
      <alignment horizontal="center"/>
    </xf>
    <xf numFmtId="1" fontId="52" fillId="0" borderId="96" xfId="29" applyNumberFormat="1" applyFont="1" applyBorder="1" applyAlignment="1">
      <alignment horizontal="center" vertical="center"/>
    </xf>
    <xf numFmtId="164" fontId="52" fillId="25" borderId="22" xfId="29" applyNumberFormat="1" applyFont="1" applyFill="1" applyBorder="1" applyAlignment="1">
      <alignment horizontal="center" vertical="center"/>
    </xf>
    <xf numFmtId="164" fontId="52" fillId="18" borderId="96" xfId="29" applyNumberFormat="1" applyFont="1" applyFill="1" applyBorder="1" applyAlignment="1">
      <alignment horizontal="center" vertical="center"/>
    </xf>
    <xf numFmtId="0" fontId="56" fillId="27" borderId="89" xfId="29" applyFont="1" applyFill="1" applyBorder="1" applyAlignment="1">
      <alignment horizontal="center" vertical="center"/>
    </xf>
    <xf numFmtId="0" fontId="52" fillId="0" borderId="89" xfId="29" applyFont="1" applyBorder="1" applyAlignment="1">
      <alignment horizontal="center" vertical="center"/>
    </xf>
    <xf numFmtId="164" fontId="52" fillId="0" borderId="89" xfId="29" applyNumberFormat="1" applyFont="1" applyBorder="1" applyAlignment="1">
      <alignment horizontal="center" vertical="center"/>
    </xf>
    <xf numFmtId="1" fontId="52" fillId="10" borderId="25" xfId="29" applyNumberFormat="1" applyFont="1" applyFill="1" applyBorder="1" applyAlignment="1">
      <alignment horizontal="center" vertical="center"/>
    </xf>
    <xf numFmtId="164" fontId="52" fillId="10" borderId="25" xfId="29" applyNumberFormat="1" applyFont="1" applyFill="1" applyBorder="1" applyAlignment="1">
      <alignment horizontal="center" vertical="center"/>
    </xf>
    <xf numFmtId="1" fontId="52" fillId="0" borderId="19" xfId="29" applyNumberFormat="1" applyFont="1" applyFill="1" applyBorder="1" applyAlignment="1">
      <alignment horizontal="center" vertical="center"/>
    </xf>
    <xf numFmtId="1" fontId="52" fillId="11" borderId="25" xfId="29" applyNumberFormat="1" applyFont="1" applyFill="1" applyBorder="1" applyAlignment="1">
      <alignment horizontal="center" vertical="center"/>
    </xf>
    <xf numFmtId="9" fontId="52" fillId="10" borderId="25" xfId="29" applyNumberFormat="1" applyFont="1" applyFill="1" applyBorder="1" applyAlignment="1">
      <alignment horizontal="center" vertical="center"/>
    </xf>
    <xf numFmtId="164" fontId="52" fillId="0" borderId="19" xfId="29" applyNumberFormat="1" applyFont="1" applyFill="1" applyBorder="1" applyAlignment="1">
      <alignment horizontal="center" vertical="center"/>
    </xf>
    <xf numFmtId="2" fontId="52" fillId="25" borderId="19" xfId="29" applyNumberFormat="1" applyFont="1" applyFill="1" applyBorder="1" applyAlignment="1">
      <alignment horizontal="center" vertical="center"/>
    </xf>
    <xf numFmtId="164" fontId="52" fillId="18" borderId="19" xfId="29" applyNumberFormat="1" applyFont="1" applyFill="1" applyBorder="1" applyAlignment="1">
      <alignment horizontal="center" vertical="center"/>
    </xf>
    <xf numFmtId="1" fontId="52" fillId="0" borderId="24" xfId="29" applyNumberFormat="1" applyFont="1" applyFill="1" applyBorder="1" applyAlignment="1">
      <alignment horizontal="center" vertical="center"/>
    </xf>
    <xf numFmtId="164" fontId="52" fillId="25" borderId="58" xfId="29" applyNumberFormat="1" applyFont="1" applyFill="1" applyBorder="1" applyAlignment="1">
      <alignment horizontal="center" vertical="center"/>
    </xf>
    <xf numFmtId="1" fontId="52" fillId="0" borderId="18" xfId="29" applyNumberFormat="1" applyFont="1" applyFill="1" applyBorder="1" applyAlignment="1">
      <alignment horizontal="center" vertical="center"/>
    </xf>
    <xf numFmtId="164" fontId="52" fillId="0" borderId="24" xfId="29" applyNumberFormat="1" applyFont="1" applyFill="1" applyBorder="1" applyAlignment="1">
      <alignment horizontal="center" vertical="center"/>
    </xf>
    <xf numFmtId="1" fontId="52" fillId="0" borderId="42" xfId="29" applyNumberFormat="1" applyFont="1" applyFill="1" applyBorder="1" applyAlignment="1">
      <alignment horizontal="center" vertical="center"/>
    </xf>
    <xf numFmtId="1" fontId="52" fillId="0" borderId="56" xfId="29" applyNumberFormat="1" applyFont="1" applyFill="1" applyBorder="1" applyAlignment="1">
      <alignment horizontal="center" vertical="center"/>
    </xf>
    <xf numFmtId="1" fontId="52" fillId="0" borderId="57" xfId="29" applyNumberFormat="1" applyFont="1" applyFill="1" applyBorder="1" applyAlignment="1">
      <alignment horizontal="center" vertical="center"/>
    </xf>
    <xf numFmtId="1" fontId="52" fillId="0" borderId="58" xfId="29" applyNumberFormat="1" applyFont="1" applyFill="1" applyBorder="1" applyAlignment="1">
      <alignment horizontal="center" vertical="center"/>
    </xf>
    <xf numFmtId="1" fontId="52" fillId="7" borderId="18" xfId="29" applyNumberFormat="1" applyFont="1" applyFill="1" applyBorder="1" applyAlignment="1">
      <alignment horizontal="center" vertical="center"/>
    </xf>
    <xf numFmtId="2" fontId="52" fillId="18" borderId="58" xfId="29" applyNumberFormat="1" applyFont="1" applyFill="1" applyBorder="1" applyAlignment="1">
      <alignment horizontal="center" vertical="center"/>
    </xf>
    <xf numFmtId="164" fontId="52" fillId="0" borderId="58" xfId="29" applyNumberFormat="1" applyFont="1" applyFill="1" applyBorder="1" applyAlignment="1">
      <alignment horizontal="center" vertical="center"/>
    </xf>
    <xf numFmtId="1" fontId="52" fillId="0" borderId="98" xfId="29" applyNumberFormat="1" applyFont="1" applyBorder="1" applyAlignment="1">
      <alignment horizontal="center" vertical="center"/>
    </xf>
    <xf numFmtId="0" fontId="52" fillId="0" borderId="97" xfId="29" applyFont="1" applyBorder="1" applyAlignment="1">
      <alignment horizontal="center" vertical="center"/>
    </xf>
    <xf numFmtId="3" fontId="52" fillId="0" borderId="99" xfId="29" applyNumberFormat="1" applyFont="1" applyBorder="1" applyAlignment="1">
      <alignment horizontal="center"/>
    </xf>
    <xf numFmtId="1" fontId="52" fillId="0" borderId="100" xfId="29" applyNumberFormat="1" applyFont="1" applyBorder="1" applyAlignment="1">
      <alignment horizontal="center" vertical="center"/>
    </xf>
    <xf numFmtId="1" fontId="52" fillId="0" borderId="99" xfId="29" applyNumberFormat="1" applyFont="1" applyBorder="1" applyAlignment="1">
      <alignment horizontal="center" vertical="center"/>
    </xf>
    <xf numFmtId="164" fontId="52" fillId="25" borderId="101" xfId="29" applyNumberFormat="1" applyFont="1" applyFill="1" applyBorder="1" applyAlignment="1">
      <alignment horizontal="center" vertical="center"/>
    </xf>
    <xf numFmtId="164" fontId="52" fillId="18" borderId="100" xfId="29" applyNumberFormat="1" applyFont="1" applyFill="1" applyBorder="1" applyAlignment="1">
      <alignment horizontal="center" vertical="center"/>
    </xf>
    <xf numFmtId="0" fontId="56" fillId="27" borderId="93" xfId="29" applyFont="1" applyFill="1" applyBorder="1" applyAlignment="1">
      <alignment horizontal="center" vertical="center"/>
    </xf>
    <xf numFmtId="0" fontId="52" fillId="0" borderId="93" xfId="29" applyFont="1" applyBorder="1" applyAlignment="1">
      <alignment horizontal="center" vertical="center"/>
    </xf>
    <xf numFmtId="164" fontId="52" fillId="0" borderId="93" xfId="29" applyNumberFormat="1" applyFont="1" applyBorder="1" applyAlignment="1">
      <alignment horizontal="center" vertical="center"/>
    </xf>
    <xf numFmtId="0" fontId="52" fillId="0" borderId="16" xfId="29" applyFont="1" applyFill="1" applyBorder="1" applyAlignment="1">
      <alignment horizontal="center" vertical="center"/>
    </xf>
    <xf numFmtId="164" fontId="52" fillId="25" borderId="64" xfId="29" applyNumberFormat="1" applyFont="1" applyFill="1" applyBorder="1" applyAlignment="1">
      <alignment horizontal="center" vertical="center"/>
    </xf>
    <xf numFmtId="0" fontId="52" fillId="0" borderId="49" xfId="29" applyFont="1" applyFill="1" applyBorder="1" applyAlignment="1">
      <alignment horizontal="center" vertical="center"/>
    </xf>
    <xf numFmtId="0" fontId="52" fillId="0" borderId="53" xfId="29" applyFont="1" applyFill="1" applyBorder="1" applyAlignment="1">
      <alignment horizontal="center" vertical="center"/>
    </xf>
    <xf numFmtId="1" fontId="52" fillId="7" borderId="9" xfId="29" applyNumberFormat="1" applyFont="1" applyFill="1" applyBorder="1" applyAlignment="1">
      <alignment horizontal="center" vertical="center"/>
    </xf>
    <xf numFmtId="3" fontId="58" fillId="28" borderId="94" xfId="29" applyNumberFormat="1" applyFont="1" applyFill="1" applyBorder="1" applyAlignment="1">
      <alignment horizontal="center" vertical="center"/>
    </xf>
    <xf numFmtId="0" fontId="57" fillId="28" borderId="60" xfId="29" applyFont="1" applyFill="1" applyBorder="1" applyAlignment="1">
      <alignment horizontal="center" vertical="center"/>
    </xf>
    <xf numFmtId="1" fontId="57" fillId="28" borderId="60" xfId="29" applyNumberFormat="1" applyFont="1" applyFill="1" applyBorder="1" applyAlignment="1">
      <alignment horizontal="center" vertical="center"/>
    </xf>
    <xf numFmtId="3" fontId="58" fillId="28" borderId="89" xfId="29" applyNumberFormat="1" applyFont="1" applyFill="1" applyBorder="1" applyAlignment="1">
      <alignment horizontal="center" vertical="center"/>
    </xf>
    <xf numFmtId="1" fontId="52" fillId="0" borderId="37" xfId="29" applyNumberFormat="1" applyFont="1" applyFill="1" applyBorder="1" applyAlignment="1">
      <alignment horizontal="center" vertical="center"/>
    </xf>
    <xf numFmtId="3" fontId="58" fillId="28" borderId="102" xfId="29" applyNumberFormat="1" applyFont="1" applyFill="1" applyBorder="1" applyAlignment="1">
      <alignment horizontal="center" vertical="center"/>
    </xf>
    <xf numFmtId="3" fontId="52" fillId="0" borderId="87" xfId="29" applyNumberFormat="1" applyFont="1" applyBorder="1" applyAlignment="1">
      <alignment horizontal="center"/>
    </xf>
    <xf numFmtId="164" fontId="52" fillId="25" borderId="103" xfId="29" applyNumberFormat="1" applyFont="1" applyFill="1" applyBorder="1" applyAlignment="1">
      <alignment horizontal="center" vertical="center"/>
    </xf>
    <xf numFmtId="0" fontId="57" fillId="28" borderId="40" xfId="29" applyFont="1" applyFill="1" applyBorder="1" applyAlignment="1">
      <alignment horizontal="center" vertical="center"/>
    </xf>
    <xf numFmtId="1" fontId="57" fillId="28" borderId="40" xfId="29" applyNumberFormat="1" applyFont="1" applyFill="1" applyBorder="1" applyAlignment="1">
      <alignment horizontal="center" vertical="center"/>
    </xf>
    <xf numFmtId="3" fontId="58" fillId="28" borderId="88" xfId="29" applyNumberFormat="1" applyFont="1" applyFill="1" applyBorder="1" applyAlignment="1">
      <alignment horizontal="center" vertical="center"/>
    </xf>
    <xf numFmtId="0" fontId="52" fillId="0" borderId="102" xfId="29" applyFont="1" applyBorder="1" applyAlignment="1">
      <alignment horizontal="center" vertical="center"/>
    </xf>
    <xf numFmtId="1" fontId="52" fillId="0" borderId="93" xfId="29" applyNumberFormat="1" applyFont="1" applyBorder="1" applyAlignment="1">
      <alignment horizontal="center" vertical="center"/>
    </xf>
    <xf numFmtId="0" fontId="57" fillId="28" borderId="55" xfId="29" applyFont="1" applyFill="1" applyBorder="1" applyAlignment="1">
      <alignment horizontal="center" vertical="center"/>
    </xf>
    <xf numFmtId="1" fontId="57" fillId="28" borderId="55" xfId="29" applyNumberFormat="1" applyFont="1" applyFill="1" applyBorder="1" applyAlignment="1">
      <alignment horizontal="center" vertical="center"/>
    </xf>
    <xf numFmtId="1" fontId="52" fillId="0" borderId="62" xfId="29" applyNumberFormat="1" applyFont="1" applyFill="1" applyBorder="1" applyAlignment="1">
      <alignment horizontal="center" vertical="center"/>
    </xf>
    <xf numFmtId="1" fontId="52" fillId="0" borderId="61" xfId="29" applyNumberFormat="1" applyFont="1" applyFill="1" applyBorder="1" applyAlignment="1">
      <alignment horizontal="center" vertical="center"/>
    </xf>
    <xf numFmtId="3" fontId="58" fillId="28" borderId="11" xfId="29" applyNumberFormat="1" applyFont="1" applyFill="1" applyBorder="1" applyAlignment="1">
      <alignment horizontal="center" vertical="center"/>
    </xf>
    <xf numFmtId="1" fontId="58" fillId="28" borderId="89" xfId="29" applyNumberFormat="1" applyFont="1" applyFill="1" applyBorder="1" applyAlignment="1">
      <alignment horizontal="center" vertical="center"/>
    </xf>
    <xf numFmtId="3" fontId="58" fillId="28" borderId="87" xfId="29" applyNumberFormat="1" applyFont="1" applyFill="1" applyBorder="1" applyAlignment="1">
      <alignment horizontal="center" vertical="center"/>
    </xf>
    <xf numFmtId="3" fontId="58" fillId="28" borderId="2" xfId="29" applyNumberFormat="1" applyFont="1" applyFill="1" applyBorder="1" applyAlignment="1">
      <alignment horizontal="center" vertical="center"/>
    </xf>
    <xf numFmtId="3" fontId="52" fillId="0" borderId="88" xfId="29" applyNumberFormat="1" applyFont="1" applyBorder="1" applyAlignment="1">
      <alignment horizontal="center"/>
    </xf>
    <xf numFmtId="1" fontId="58" fillId="28" borderId="88" xfId="29" applyNumberFormat="1" applyFont="1" applyFill="1" applyBorder="1" applyAlignment="1">
      <alignment horizontal="center" vertical="center"/>
    </xf>
    <xf numFmtId="0" fontId="52" fillId="0" borderId="19" xfId="29" applyFont="1" applyFill="1" applyBorder="1" applyAlignment="1">
      <alignment horizontal="center" vertical="center"/>
    </xf>
    <xf numFmtId="0" fontId="52" fillId="0" borderId="18" xfId="29" applyFont="1" applyFill="1" applyBorder="1" applyAlignment="1">
      <alignment horizontal="center" vertical="center"/>
    </xf>
    <xf numFmtId="0" fontId="52" fillId="0" borderId="57" xfId="29" applyFont="1" applyFill="1" applyBorder="1" applyAlignment="1">
      <alignment horizontal="center" vertical="center"/>
    </xf>
    <xf numFmtId="3" fontId="58" fillId="28" borderId="13" xfId="29" applyNumberFormat="1" applyFont="1" applyFill="1" applyBorder="1" applyAlignment="1">
      <alignment horizontal="center" vertical="center"/>
    </xf>
    <xf numFmtId="3" fontId="52" fillId="0" borderId="92" xfId="29" applyNumberFormat="1" applyFont="1" applyBorder="1" applyAlignment="1">
      <alignment horizontal="center"/>
    </xf>
    <xf numFmtId="1" fontId="52" fillId="0" borderId="104" xfId="29" applyNumberFormat="1" applyFont="1" applyBorder="1" applyAlignment="1">
      <alignment horizontal="center" vertical="center"/>
    </xf>
    <xf numFmtId="3" fontId="58" fillId="28" borderId="93" xfId="29" applyNumberFormat="1" applyFont="1" applyFill="1" applyBorder="1" applyAlignment="1">
      <alignment horizontal="center" vertical="center"/>
    </xf>
    <xf numFmtId="1" fontId="58" fillId="28" borderId="93" xfId="29" applyNumberFormat="1" applyFont="1" applyFill="1" applyBorder="1" applyAlignment="1">
      <alignment horizontal="center" vertical="center"/>
    </xf>
    <xf numFmtId="3" fontId="58" fillId="28" borderId="92" xfId="29" applyNumberFormat="1" applyFont="1" applyFill="1" applyBorder="1" applyAlignment="1">
      <alignment horizontal="center" vertical="center"/>
    </xf>
    <xf numFmtId="1" fontId="52" fillId="10" borderId="60" xfId="29" applyNumberFormat="1" applyFont="1" applyFill="1" applyBorder="1" applyAlignment="1">
      <alignment horizontal="center" vertical="center"/>
    </xf>
    <xf numFmtId="164" fontId="52" fillId="10" borderId="60" xfId="29" applyNumberFormat="1" applyFont="1" applyFill="1" applyBorder="1" applyAlignment="1">
      <alignment horizontal="center" vertical="center"/>
    </xf>
    <xf numFmtId="1" fontId="52" fillId="11" borderId="60" xfId="29" applyNumberFormat="1" applyFont="1" applyFill="1" applyBorder="1" applyAlignment="1">
      <alignment horizontal="center" vertical="center"/>
    </xf>
    <xf numFmtId="9" fontId="52" fillId="10" borderId="60" xfId="29" applyNumberFormat="1" applyFont="1" applyFill="1" applyBorder="1" applyAlignment="1">
      <alignment horizontal="center" vertical="center"/>
    </xf>
    <xf numFmtId="0" fontId="52" fillId="0" borderId="96" xfId="29" applyFont="1" applyBorder="1" applyAlignment="1">
      <alignment horizontal="center" vertical="center"/>
    </xf>
    <xf numFmtId="164" fontId="52" fillId="25" borderId="96" xfId="29" applyNumberFormat="1" applyFont="1" applyFill="1" applyBorder="1" applyAlignment="1">
      <alignment horizontal="center" vertical="center"/>
    </xf>
    <xf numFmtId="0" fontId="52" fillId="0" borderId="22" xfId="29" applyFont="1" applyBorder="1" applyAlignment="1">
      <alignment horizontal="center" vertical="center"/>
    </xf>
    <xf numFmtId="1" fontId="52" fillId="0" borderId="22" xfId="29" applyNumberFormat="1" applyFont="1" applyBorder="1" applyAlignment="1">
      <alignment horizontal="center" vertical="center"/>
    </xf>
    <xf numFmtId="0" fontId="52" fillId="0" borderId="103" xfId="29" applyFont="1" applyBorder="1" applyAlignment="1">
      <alignment horizontal="center" vertical="center"/>
    </xf>
    <xf numFmtId="1" fontId="52" fillId="0" borderId="103" xfId="29" applyNumberFormat="1" applyFont="1" applyBorder="1" applyAlignment="1">
      <alignment horizontal="center" vertical="center"/>
    </xf>
    <xf numFmtId="0" fontId="52" fillId="0" borderId="100" xfId="29" applyFont="1" applyBorder="1" applyAlignment="1">
      <alignment horizontal="center" vertical="center"/>
    </xf>
    <xf numFmtId="164" fontId="52" fillId="25" borderId="100" xfId="29" applyNumberFormat="1" applyFont="1" applyFill="1" applyBorder="1" applyAlignment="1">
      <alignment horizontal="center" vertical="center"/>
    </xf>
    <xf numFmtId="0" fontId="52" fillId="0" borderId="101" xfId="29" applyFont="1" applyBorder="1" applyAlignment="1">
      <alignment horizontal="center" vertical="center"/>
    </xf>
    <xf numFmtId="1" fontId="52" fillId="0" borderId="101" xfId="29" applyNumberFormat="1" applyFont="1" applyBorder="1" applyAlignment="1">
      <alignment horizontal="center" vertical="center"/>
    </xf>
    <xf numFmtId="0" fontId="52" fillId="0" borderId="11" xfId="29" applyFont="1" applyBorder="1" applyAlignment="1">
      <alignment horizontal="center" vertical="center"/>
    </xf>
    <xf numFmtId="0" fontId="52" fillId="0" borderId="87" xfId="29" applyFont="1" applyBorder="1" applyAlignment="1">
      <alignment horizontal="center" vertical="center"/>
    </xf>
    <xf numFmtId="169" fontId="51" fillId="0" borderId="105" xfId="30" applyNumberFormat="1" applyFont="1" applyBorder="1" applyAlignment="1">
      <alignment horizontal="center" vertical="center"/>
    </xf>
    <xf numFmtId="164" fontId="52" fillId="0" borderId="87" xfId="29" applyNumberFormat="1" applyFont="1" applyBorder="1" applyAlignment="1">
      <alignment horizontal="center" vertical="center"/>
    </xf>
    <xf numFmtId="0" fontId="52" fillId="10" borderId="87" xfId="29" applyFont="1" applyFill="1" applyBorder="1" applyAlignment="1">
      <alignment horizontal="center" vertical="center"/>
    </xf>
    <xf numFmtId="164" fontId="52" fillId="10" borderId="87" xfId="29" applyNumberFormat="1" applyFont="1" applyFill="1" applyBorder="1" applyAlignment="1">
      <alignment horizontal="center" vertical="center"/>
    </xf>
    <xf numFmtId="2" fontId="52" fillId="18" borderId="2" xfId="29" applyNumberFormat="1" applyFont="1" applyFill="1" applyBorder="1" applyAlignment="1">
      <alignment horizontal="center" vertical="center"/>
    </xf>
    <xf numFmtId="0" fontId="52" fillId="27" borderId="88" xfId="29" applyFont="1" applyFill="1" applyBorder="1" applyAlignment="1">
      <alignment horizontal="center" vertical="center"/>
    </xf>
    <xf numFmtId="0" fontId="52" fillId="10" borderId="88" xfId="29" applyFont="1" applyFill="1" applyBorder="1" applyAlignment="1">
      <alignment horizontal="center" vertical="center"/>
    </xf>
    <xf numFmtId="2" fontId="52" fillId="27" borderId="88" xfId="29" applyNumberFormat="1" applyFont="1" applyFill="1" applyBorder="1" applyAlignment="1">
      <alignment horizontal="center" vertical="center"/>
    </xf>
    <xf numFmtId="2" fontId="59" fillId="7" borderId="88" xfId="29" applyNumberFormat="1" applyFont="1" applyFill="1" applyBorder="1" applyAlignment="1">
      <alignment horizontal="center" vertical="center"/>
    </xf>
    <xf numFmtId="164" fontId="52" fillId="10" borderId="88" xfId="29" applyNumberFormat="1" applyFont="1" applyFill="1" applyBorder="1" applyAlignment="1">
      <alignment horizontal="center" vertical="center"/>
    </xf>
    <xf numFmtId="0" fontId="52" fillId="10" borderId="92" xfId="29" applyFont="1" applyFill="1" applyBorder="1" applyAlignment="1">
      <alignment horizontal="center" vertical="center"/>
    </xf>
    <xf numFmtId="164" fontId="52" fillId="10" borderId="92" xfId="29" applyNumberFormat="1" applyFont="1" applyFill="1" applyBorder="1" applyAlignment="1">
      <alignment horizontal="center" vertical="center"/>
    </xf>
    <xf numFmtId="1" fontId="52" fillId="0" borderId="20" xfId="29" applyNumberFormat="1" applyFont="1" applyFill="1" applyBorder="1" applyAlignment="1">
      <alignment horizontal="center" vertical="center"/>
    </xf>
    <xf numFmtId="164" fontId="52" fillId="0" borderId="20" xfId="29" applyNumberFormat="1" applyFont="1" applyFill="1" applyBorder="1" applyAlignment="1">
      <alignment horizontal="center" vertical="center"/>
    </xf>
    <xf numFmtId="2" fontId="52" fillId="25" borderId="20" xfId="29" applyNumberFormat="1" applyFont="1" applyFill="1" applyBorder="1" applyAlignment="1">
      <alignment horizontal="center" vertical="center"/>
    </xf>
    <xf numFmtId="164" fontId="52" fillId="18" borderId="20" xfId="29" applyNumberFormat="1" applyFont="1" applyFill="1" applyBorder="1" applyAlignment="1">
      <alignment horizontal="center" vertical="center"/>
    </xf>
    <xf numFmtId="0" fontId="52" fillId="0" borderId="20" xfId="29" applyFont="1" applyFill="1" applyBorder="1" applyAlignment="1">
      <alignment horizontal="center" vertical="center"/>
    </xf>
    <xf numFmtId="1" fontId="52" fillId="0" borderId="15" xfId="29" applyNumberFormat="1" applyFont="1" applyFill="1" applyBorder="1" applyAlignment="1">
      <alignment horizontal="center" vertical="center"/>
    </xf>
    <xf numFmtId="0" fontId="52" fillId="10" borderId="9" xfId="29" applyFont="1" applyFill="1" applyBorder="1" applyAlignment="1">
      <alignment horizontal="center" vertical="center"/>
    </xf>
    <xf numFmtId="0" fontId="52" fillId="0" borderId="9" xfId="29" applyFont="1" applyFill="1" applyBorder="1" applyAlignment="1">
      <alignment horizontal="center" vertical="center"/>
    </xf>
    <xf numFmtId="164" fontId="52" fillId="0" borderId="15" xfId="29" applyNumberFormat="1" applyFont="1" applyFill="1" applyBorder="1" applyAlignment="1">
      <alignment horizontal="center" vertical="center"/>
    </xf>
    <xf numFmtId="0" fontId="52" fillId="0" borderId="63" xfId="29" applyFont="1" applyFill="1" applyBorder="1" applyAlignment="1">
      <alignment horizontal="center" vertical="center"/>
    </xf>
    <xf numFmtId="2" fontId="52" fillId="18" borderId="64" xfId="29" applyNumberFormat="1" applyFont="1" applyFill="1" applyBorder="1" applyAlignment="1">
      <alignment horizontal="center" vertical="center"/>
    </xf>
    <xf numFmtId="164" fontId="52" fillId="0" borderId="64" xfId="29" applyNumberFormat="1" applyFont="1" applyFill="1" applyBorder="1" applyAlignment="1">
      <alignment horizontal="center" vertical="center"/>
    </xf>
    <xf numFmtId="0" fontId="56" fillId="27" borderId="87" xfId="29" applyFont="1" applyFill="1" applyBorder="1" applyAlignment="1">
      <alignment horizontal="center" vertical="center"/>
    </xf>
    <xf numFmtId="0" fontId="52" fillId="10" borderId="3" xfId="29" applyFont="1" applyFill="1" applyBorder="1" applyAlignment="1">
      <alignment horizontal="center" vertical="center"/>
    </xf>
    <xf numFmtId="164" fontId="52" fillId="10" borderId="0" xfId="29" applyNumberFormat="1" applyFont="1" applyFill="1" applyBorder="1" applyAlignment="1">
      <alignment horizontal="center" vertical="center"/>
    </xf>
    <xf numFmtId="2" fontId="52" fillId="25" borderId="55" xfId="29" applyNumberFormat="1" applyFont="1" applyFill="1" applyBorder="1" applyAlignment="1">
      <alignment horizontal="center" vertical="center"/>
    </xf>
    <xf numFmtId="164" fontId="52" fillId="25" borderId="106" xfId="29" applyNumberFormat="1" applyFont="1" applyFill="1" applyBorder="1" applyAlignment="1">
      <alignment horizontal="center" vertical="center"/>
    </xf>
    <xf numFmtId="0" fontId="52" fillId="10" borderId="14" xfId="29" applyFont="1" applyFill="1" applyBorder="1" applyAlignment="1">
      <alignment horizontal="center" vertical="center"/>
    </xf>
    <xf numFmtId="1" fontId="52" fillId="7" borderId="8" xfId="29" applyNumberFormat="1" applyFont="1" applyFill="1" applyBorder="1" applyAlignment="1">
      <alignment horizontal="center" vertical="center"/>
    </xf>
    <xf numFmtId="1" fontId="52" fillId="0" borderId="107" xfId="29" applyNumberFormat="1" applyFont="1" applyBorder="1" applyAlignment="1">
      <alignment horizontal="center" vertical="center"/>
    </xf>
    <xf numFmtId="1" fontId="51" fillId="21" borderId="33" xfId="29" applyNumberFormat="1" applyFont="1" applyFill="1" applyBorder="1" applyAlignment="1">
      <alignment horizontal="center" vertical="center"/>
    </xf>
    <xf numFmtId="164" fontId="51" fillId="11" borderId="33" xfId="29" applyNumberFormat="1" applyFont="1" applyFill="1" applyBorder="1" applyAlignment="1">
      <alignment horizontal="center" vertical="center"/>
    </xf>
    <xf numFmtId="2" fontId="51" fillId="25" borderId="33" xfId="29" applyNumberFormat="1" applyFont="1" applyFill="1" applyBorder="1" applyAlignment="1">
      <alignment horizontal="center" vertical="center"/>
    </xf>
    <xf numFmtId="1" fontId="51" fillId="21" borderId="67" xfId="29" applyNumberFormat="1" applyFont="1" applyFill="1" applyBorder="1" applyAlignment="1">
      <alignment horizontal="center" vertical="center"/>
    </xf>
    <xf numFmtId="1" fontId="51" fillId="11" borderId="33" xfId="29" applyNumberFormat="1" applyFont="1" applyFill="1" applyBorder="1" applyAlignment="1">
      <alignment horizontal="center" vertical="center"/>
    </xf>
    <xf numFmtId="10" fontId="51" fillId="7" borderId="33" xfId="29" applyNumberFormat="1" applyFont="1" applyFill="1" applyBorder="1" applyAlignment="1">
      <alignment horizontal="center" vertical="center"/>
    </xf>
    <xf numFmtId="164" fontId="51" fillId="21" borderId="33" xfId="29" applyNumberFormat="1" applyFont="1" applyFill="1" applyBorder="1" applyAlignment="1">
      <alignment horizontal="center" vertical="center"/>
    </xf>
    <xf numFmtId="0" fontId="51" fillId="21" borderId="33" xfId="29" applyFont="1" applyFill="1" applyBorder="1" applyAlignment="1">
      <alignment horizontal="center" vertical="center"/>
    </xf>
    <xf numFmtId="1" fontId="51" fillId="21" borderId="34" xfId="29" applyNumberFormat="1" applyFont="1" applyFill="1" applyBorder="1" applyAlignment="1">
      <alignment horizontal="center" vertical="center"/>
    </xf>
    <xf numFmtId="164" fontId="52" fillId="25" borderId="108" xfId="29" applyNumberFormat="1" applyFont="1" applyFill="1" applyBorder="1" applyAlignment="1">
      <alignment horizontal="center" vertical="center"/>
    </xf>
    <xf numFmtId="0" fontId="51" fillId="21" borderId="73" xfId="29" applyFont="1" applyFill="1" applyBorder="1" applyAlignment="1">
      <alignment horizontal="center" vertical="center"/>
    </xf>
    <xf numFmtId="2" fontId="51" fillId="11" borderId="33" xfId="29" applyNumberFormat="1" applyFont="1" applyFill="1" applyBorder="1" applyAlignment="1">
      <alignment horizontal="center" vertical="center"/>
    </xf>
    <xf numFmtId="2" fontId="52" fillId="25" borderId="76" xfId="29" applyNumberFormat="1" applyFont="1" applyFill="1" applyBorder="1" applyAlignment="1">
      <alignment horizontal="center" vertical="center"/>
    </xf>
    <xf numFmtId="169" fontId="51" fillId="21" borderId="73" xfId="30" applyNumberFormat="1" applyFont="1" applyFill="1" applyBorder="1" applyAlignment="1">
      <alignment horizontal="center" vertical="center"/>
    </xf>
    <xf numFmtId="2" fontId="51" fillId="21" borderId="33" xfId="29" applyNumberFormat="1" applyFont="1" applyFill="1" applyBorder="1" applyAlignment="1">
      <alignment horizontal="center" vertical="center"/>
    </xf>
    <xf numFmtId="164" fontId="51" fillId="21" borderId="34" xfId="29" applyNumberFormat="1" applyFont="1" applyFill="1" applyBorder="1" applyAlignment="1">
      <alignment horizontal="center" vertical="center"/>
    </xf>
    <xf numFmtId="1" fontId="51" fillId="21" borderId="109" xfId="29" applyNumberFormat="1" applyFont="1" applyFill="1" applyBorder="1" applyAlignment="1">
      <alignment horizontal="center" vertical="center"/>
    </xf>
    <xf numFmtId="1" fontId="51" fillId="21" borderId="110" xfId="29" applyNumberFormat="1" applyFont="1" applyFill="1" applyBorder="1" applyAlignment="1">
      <alignment horizontal="center" vertical="center"/>
    </xf>
    <xf numFmtId="0" fontId="51" fillId="21" borderId="74" xfId="29" applyFont="1" applyFill="1" applyBorder="1" applyAlignment="1">
      <alignment horizontal="center" vertical="center"/>
    </xf>
    <xf numFmtId="1" fontId="52" fillId="0" borderId="110" xfId="29" applyNumberFormat="1" applyFont="1" applyFill="1" applyBorder="1" applyAlignment="1">
      <alignment horizontal="center" vertical="center"/>
    </xf>
    <xf numFmtId="164" fontId="52" fillId="25" borderId="76" xfId="29" applyNumberFormat="1" applyFont="1" applyFill="1" applyBorder="1" applyAlignment="1">
      <alignment horizontal="center" vertical="center"/>
    </xf>
    <xf numFmtId="1" fontId="52" fillId="7" borderId="74" xfId="29" applyNumberFormat="1" applyFont="1" applyFill="1" applyBorder="1" applyAlignment="1">
      <alignment horizontal="center" vertical="center"/>
    </xf>
    <xf numFmtId="2" fontId="51" fillId="11" borderId="71" xfId="29" applyNumberFormat="1" applyFont="1" applyFill="1" applyBorder="1" applyAlignment="1">
      <alignment horizontal="center" vertical="center"/>
    </xf>
    <xf numFmtId="2" fontId="51" fillId="11" borderId="76" xfId="29" applyNumberFormat="1" applyFont="1" applyFill="1" applyBorder="1" applyAlignment="1">
      <alignment horizontal="center" vertical="center"/>
    </xf>
    <xf numFmtId="2" fontId="51" fillId="10" borderId="0" xfId="29" applyNumberFormat="1" applyFont="1" applyFill="1" applyBorder="1" applyAlignment="1">
      <alignment horizontal="center" vertical="center"/>
    </xf>
    <xf numFmtId="2" fontId="51" fillId="26" borderId="0" xfId="29" applyNumberFormat="1" applyFont="1" applyFill="1" applyBorder="1" applyAlignment="1">
      <alignment horizontal="center" vertical="center"/>
    </xf>
    <xf numFmtId="169" fontId="51" fillId="0" borderId="111" xfId="30" applyNumberFormat="1" applyFont="1" applyBorder="1" applyAlignment="1">
      <alignment horizontal="center" vertical="center"/>
    </xf>
    <xf numFmtId="1" fontId="51" fillId="0" borderId="72" xfId="29" applyNumberFormat="1" applyFont="1" applyBorder="1" applyAlignment="1">
      <alignment horizontal="center" vertical="center"/>
    </xf>
    <xf numFmtId="1" fontId="51" fillId="0" borderId="105" xfId="29" applyNumberFormat="1" applyFont="1" applyBorder="1" applyAlignment="1">
      <alignment horizontal="center" vertical="center"/>
    </xf>
    <xf numFmtId="1" fontId="51" fillId="0" borderId="112" xfId="29" applyNumberFormat="1" applyFont="1" applyBorder="1" applyAlignment="1">
      <alignment horizontal="center" vertical="center"/>
    </xf>
    <xf numFmtId="164" fontId="51" fillId="25" borderId="112" xfId="29" applyNumberFormat="1" applyFont="1" applyFill="1" applyBorder="1" applyAlignment="1">
      <alignment horizontal="center" vertical="center"/>
    </xf>
    <xf numFmtId="2" fontId="51" fillId="18" borderId="72" xfId="29" applyNumberFormat="1" applyFont="1" applyFill="1" applyBorder="1" applyAlignment="1">
      <alignment horizontal="center" vertical="center"/>
    </xf>
    <xf numFmtId="1" fontId="53" fillId="27" borderId="111" xfId="29" applyNumberFormat="1" applyFont="1" applyFill="1" applyBorder="1" applyAlignment="1">
      <alignment horizontal="center" vertical="center"/>
    </xf>
    <xf numFmtId="2" fontId="51" fillId="0" borderId="105" xfId="29" applyNumberFormat="1" applyFont="1" applyBorder="1" applyAlignment="1">
      <alignment horizontal="center" vertical="center"/>
    </xf>
    <xf numFmtId="0" fontId="52" fillId="0" borderId="0" xfId="29" applyFont="1" applyBorder="1" applyAlignment="1">
      <alignment horizontal="center"/>
    </xf>
    <xf numFmtId="0" fontId="52" fillId="10" borderId="9" xfId="29" applyFont="1" applyFill="1" applyBorder="1" applyAlignment="1">
      <alignment horizontal="center" wrapText="1"/>
    </xf>
    <xf numFmtId="164" fontId="52" fillId="18" borderId="20" xfId="29" applyNumberFormat="1" applyFont="1" applyFill="1" applyBorder="1" applyAlignment="1">
      <alignment horizontal="center"/>
    </xf>
    <xf numFmtId="2" fontId="52" fillId="25" borderId="20" xfId="29" applyNumberFormat="1" applyFont="1" applyFill="1" applyBorder="1" applyAlignment="1">
      <alignment horizontal="center"/>
    </xf>
    <xf numFmtId="0" fontId="52" fillId="10" borderId="3" xfId="29" applyFont="1" applyFill="1" applyBorder="1" applyAlignment="1">
      <alignment horizontal="center" wrapText="1"/>
    </xf>
    <xf numFmtId="0" fontId="52" fillId="11" borderId="9" xfId="29" applyFont="1" applyFill="1" applyBorder="1" applyAlignment="1">
      <alignment horizontal="center" wrapText="1"/>
    </xf>
    <xf numFmtId="10" fontId="52" fillId="10" borderId="9" xfId="29" applyNumberFormat="1" applyFont="1" applyFill="1" applyBorder="1" applyAlignment="1">
      <alignment horizontal="center" wrapText="1"/>
    </xf>
    <xf numFmtId="0" fontId="52" fillId="0" borderId="20" xfId="29" applyFont="1" applyBorder="1" applyAlignment="1">
      <alignment horizontal="center"/>
    </xf>
    <xf numFmtId="164" fontId="52" fillId="0" borderId="20" xfId="29" applyNumberFormat="1" applyFont="1" applyBorder="1" applyAlignment="1">
      <alignment horizontal="center"/>
    </xf>
    <xf numFmtId="164" fontId="52" fillId="25" borderId="20" xfId="29" applyNumberFormat="1" applyFont="1" applyFill="1" applyBorder="1" applyAlignment="1">
      <alignment horizontal="center"/>
    </xf>
    <xf numFmtId="1" fontId="52" fillId="0" borderId="20" xfId="29" applyNumberFormat="1" applyFont="1" applyBorder="1" applyAlignment="1">
      <alignment horizontal="center"/>
    </xf>
    <xf numFmtId="1" fontId="52" fillId="0" borderId="15" xfId="29" applyNumberFormat="1" applyFont="1" applyBorder="1" applyAlignment="1">
      <alignment horizontal="center"/>
    </xf>
    <xf numFmtId="0" fontId="52" fillId="0" borderId="9" xfId="29" applyFont="1" applyBorder="1" applyAlignment="1">
      <alignment horizontal="center"/>
    </xf>
    <xf numFmtId="164" fontId="52" fillId="0" borderId="15" xfId="29" applyNumberFormat="1" applyFont="1" applyBorder="1" applyAlignment="1">
      <alignment horizontal="center"/>
    </xf>
    <xf numFmtId="1" fontId="52" fillId="0" borderId="63" xfId="29" applyNumberFormat="1" applyFont="1" applyBorder="1" applyAlignment="1">
      <alignment horizontal="center"/>
    </xf>
    <xf numFmtId="1" fontId="52" fillId="0" borderId="62" xfId="29" applyNumberFormat="1" applyFont="1" applyBorder="1" applyAlignment="1">
      <alignment horizontal="center"/>
    </xf>
    <xf numFmtId="0" fontId="52" fillId="0" borderId="63" xfId="29" applyFont="1" applyBorder="1" applyAlignment="1">
      <alignment horizontal="center"/>
    </xf>
    <xf numFmtId="1" fontId="52" fillId="0" borderId="61" xfId="29" applyNumberFormat="1" applyFont="1" applyBorder="1" applyAlignment="1">
      <alignment horizontal="center"/>
    </xf>
    <xf numFmtId="1" fontId="52" fillId="10" borderId="135" xfId="29" applyNumberFormat="1" applyFont="1" applyFill="1" applyBorder="1" applyAlignment="1">
      <alignment horizontal="center"/>
    </xf>
    <xf numFmtId="2" fontId="52" fillId="0" borderId="64" xfId="29" applyNumberFormat="1" applyFont="1" applyFill="1" applyBorder="1" applyAlignment="1">
      <alignment horizontal="center" vertical="center"/>
    </xf>
    <xf numFmtId="2" fontId="52" fillId="10" borderId="0" xfId="29" applyNumberFormat="1" applyFont="1" applyFill="1" applyBorder="1" applyAlignment="1">
      <alignment horizontal="center" vertical="center"/>
    </xf>
    <xf numFmtId="2" fontId="52" fillId="26" borderId="0" xfId="29" applyNumberFormat="1" applyFont="1" applyFill="1" applyBorder="1" applyAlignment="1">
      <alignment horizontal="center" vertical="center"/>
    </xf>
    <xf numFmtId="164" fontId="52" fillId="25" borderId="136" xfId="29" applyNumberFormat="1" applyFont="1" applyFill="1" applyBorder="1" applyAlignment="1">
      <alignment horizontal="center" vertical="center"/>
    </xf>
    <xf numFmtId="1" fontId="56" fillId="27" borderId="61" xfId="29" applyNumberFormat="1" applyFont="1" applyFill="1" applyBorder="1" applyAlignment="1">
      <alignment horizontal="center"/>
    </xf>
    <xf numFmtId="2" fontId="52" fillId="0" borderId="61" xfId="29" applyNumberFormat="1" applyFont="1" applyBorder="1" applyAlignment="1">
      <alignment horizontal="center"/>
    </xf>
    <xf numFmtId="164" fontId="52" fillId="0" borderId="61" xfId="29" applyNumberFormat="1" applyFont="1" applyBorder="1" applyAlignment="1">
      <alignment horizontal="center"/>
    </xf>
    <xf numFmtId="1" fontId="52" fillId="0" borderId="137" xfId="29" applyNumberFormat="1" applyFont="1" applyBorder="1" applyAlignment="1">
      <alignment horizontal="center"/>
    </xf>
    <xf numFmtId="164" fontId="52" fillId="18" borderId="17" xfId="29" applyNumberFormat="1" applyFont="1" applyFill="1" applyBorder="1" applyAlignment="1">
      <alignment horizontal="center"/>
    </xf>
    <xf numFmtId="2" fontId="52" fillId="25" borderId="17" xfId="29" applyNumberFormat="1" applyFont="1" applyFill="1" applyBorder="1" applyAlignment="1">
      <alignment horizontal="center"/>
    </xf>
    <xf numFmtId="0" fontId="52" fillId="11" borderId="3" xfId="29" applyFont="1" applyFill="1" applyBorder="1" applyAlignment="1">
      <alignment horizontal="center" wrapText="1"/>
    </xf>
    <xf numFmtId="10" fontId="52" fillId="10" borderId="3" xfId="29" applyNumberFormat="1" applyFont="1" applyFill="1" applyBorder="1" applyAlignment="1">
      <alignment horizontal="center" wrapText="1"/>
    </xf>
    <xf numFmtId="0" fontId="52" fillId="0" borderId="17" xfId="29" applyFont="1" applyBorder="1" applyAlignment="1">
      <alignment horizontal="center"/>
    </xf>
    <xf numFmtId="164" fontId="52" fillId="0" borderId="17" xfId="29" applyNumberFormat="1" applyFont="1" applyBorder="1" applyAlignment="1">
      <alignment horizontal="center"/>
    </xf>
    <xf numFmtId="164" fontId="52" fillId="25" borderId="17" xfId="29" applyNumberFormat="1" applyFont="1" applyFill="1" applyBorder="1" applyAlignment="1">
      <alignment horizontal="center"/>
    </xf>
    <xf numFmtId="1" fontId="52" fillId="0" borderId="17" xfId="29" applyNumberFormat="1" applyFont="1" applyBorder="1" applyAlignment="1">
      <alignment horizontal="center"/>
    </xf>
    <xf numFmtId="1" fontId="52" fillId="0" borderId="28" xfId="29" applyNumberFormat="1" applyFont="1" applyBorder="1" applyAlignment="1">
      <alignment horizontal="center"/>
    </xf>
    <xf numFmtId="1" fontId="52" fillId="0" borderId="3" xfId="29" applyNumberFormat="1" applyFont="1" applyBorder="1" applyAlignment="1">
      <alignment horizontal="center"/>
    </xf>
    <xf numFmtId="164" fontId="52" fillId="0" borderId="28" xfId="29" applyNumberFormat="1" applyFont="1" applyBorder="1" applyAlignment="1">
      <alignment horizontal="center"/>
    </xf>
    <xf numFmtId="1" fontId="52" fillId="0" borderId="35" xfId="29" applyNumberFormat="1" applyFont="1" applyBorder="1" applyAlignment="1">
      <alignment horizontal="center"/>
    </xf>
    <xf numFmtId="1" fontId="52" fillId="0" borderId="36" xfId="29" applyNumberFormat="1" applyFont="1" applyBorder="1" applyAlignment="1">
      <alignment horizontal="center"/>
    </xf>
    <xf numFmtId="1" fontId="52" fillId="0" borderId="39" xfId="29" applyNumberFormat="1" applyFont="1" applyBorder="1" applyAlignment="1">
      <alignment horizontal="center"/>
    </xf>
    <xf numFmtId="1" fontId="52" fillId="10" borderId="77" xfId="29" applyNumberFormat="1" applyFont="1" applyFill="1" applyBorder="1" applyAlignment="1">
      <alignment horizontal="center"/>
    </xf>
    <xf numFmtId="2" fontId="52" fillId="0" borderId="0" xfId="29" applyNumberFormat="1" applyFont="1" applyFill="1" applyBorder="1" applyAlignment="1">
      <alignment horizontal="center" vertical="center"/>
    </xf>
    <xf numFmtId="164" fontId="52" fillId="25" borderId="102" xfId="29" applyNumberFormat="1" applyFont="1" applyFill="1" applyBorder="1" applyAlignment="1">
      <alignment horizontal="center" vertical="center"/>
    </xf>
    <xf numFmtId="1" fontId="56" fillId="27" borderId="39" xfId="29" applyNumberFormat="1" applyFont="1" applyFill="1" applyBorder="1" applyAlignment="1">
      <alignment horizontal="center"/>
    </xf>
    <xf numFmtId="2" fontId="52" fillId="0" borderId="39" xfId="29" applyNumberFormat="1" applyFont="1" applyBorder="1" applyAlignment="1">
      <alignment horizontal="center"/>
    </xf>
    <xf numFmtId="164" fontId="52" fillId="0" borderId="39" xfId="29" applyNumberFormat="1" applyFont="1" applyBorder="1" applyAlignment="1">
      <alignment horizontal="center"/>
    </xf>
    <xf numFmtId="1" fontId="52" fillId="0" borderId="138" xfId="29" applyNumberFormat="1" applyFont="1" applyBorder="1" applyAlignment="1">
      <alignment horizontal="center"/>
    </xf>
    <xf numFmtId="1" fontId="52" fillId="10" borderId="3" xfId="29" applyNumberFormat="1" applyFont="1" applyFill="1" applyBorder="1" applyAlignment="1">
      <alignment horizontal="center" wrapText="1"/>
    </xf>
    <xf numFmtId="0" fontId="52" fillId="0" borderId="3" xfId="29" applyFont="1" applyBorder="1" applyAlignment="1">
      <alignment horizontal="center"/>
    </xf>
    <xf numFmtId="0" fontId="52" fillId="0" borderId="35" xfId="29" applyFont="1" applyBorder="1" applyAlignment="1">
      <alignment horizontal="center"/>
    </xf>
    <xf numFmtId="0" fontId="52" fillId="10" borderId="14" xfId="29" applyFont="1" applyFill="1" applyBorder="1" applyAlignment="1">
      <alignment horizontal="center" wrapText="1"/>
    </xf>
    <xf numFmtId="164" fontId="52" fillId="18" borderId="41" xfId="29" applyNumberFormat="1" applyFont="1" applyFill="1" applyBorder="1" applyAlignment="1">
      <alignment horizontal="center"/>
    </xf>
    <xf numFmtId="2" fontId="52" fillId="25" borderId="41" xfId="29" applyNumberFormat="1" applyFont="1" applyFill="1" applyBorder="1" applyAlignment="1">
      <alignment horizontal="center"/>
    </xf>
    <xf numFmtId="0" fontId="52" fillId="11" borderId="14" xfId="29" applyFont="1" applyFill="1" applyBorder="1" applyAlignment="1">
      <alignment horizontal="center" wrapText="1"/>
    </xf>
    <xf numFmtId="10" fontId="52" fillId="10" borderId="14" xfId="29" applyNumberFormat="1" applyFont="1" applyFill="1" applyBorder="1" applyAlignment="1">
      <alignment horizontal="center" wrapText="1"/>
    </xf>
    <xf numFmtId="0" fontId="52" fillId="0" borderId="41" xfId="29" applyFont="1" applyBorder="1" applyAlignment="1">
      <alignment horizontal="center"/>
    </xf>
    <xf numFmtId="164" fontId="52" fillId="0" borderId="41" xfId="29" applyNumberFormat="1" applyFont="1" applyBorder="1" applyAlignment="1">
      <alignment horizontal="center"/>
    </xf>
    <xf numFmtId="164" fontId="52" fillId="25" borderId="41" xfId="29" applyNumberFormat="1" applyFont="1" applyFill="1" applyBorder="1" applyAlignment="1">
      <alignment horizontal="center"/>
    </xf>
    <xf numFmtId="1" fontId="52" fillId="0" borderId="41" xfId="29" applyNumberFormat="1" applyFont="1" applyBorder="1" applyAlignment="1">
      <alignment horizontal="center"/>
    </xf>
    <xf numFmtId="1" fontId="52" fillId="0" borderId="12" xfId="29" applyNumberFormat="1" applyFont="1" applyBorder="1" applyAlignment="1">
      <alignment horizontal="center"/>
    </xf>
    <xf numFmtId="0" fontId="52" fillId="0" borderId="14" xfId="29" applyFont="1" applyBorder="1" applyAlignment="1">
      <alignment horizontal="center"/>
    </xf>
    <xf numFmtId="164" fontId="52" fillId="0" borderId="12" xfId="29" applyNumberFormat="1" applyFont="1" applyBorder="1" applyAlignment="1">
      <alignment horizontal="center"/>
    </xf>
    <xf numFmtId="1" fontId="52" fillId="0" borderId="46" xfId="29" applyNumberFormat="1" applyFont="1" applyBorder="1" applyAlignment="1">
      <alignment horizontal="center"/>
    </xf>
    <xf numFmtId="1" fontId="52" fillId="0" borderId="45" xfId="29" applyNumberFormat="1" applyFont="1" applyBorder="1" applyAlignment="1">
      <alignment horizontal="center"/>
    </xf>
    <xf numFmtId="0" fontId="52" fillId="0" borderId="46" xfId="29" applyFont="1" applyBorder="1" applyAlignment="1">
      <alignment horizontal="center"/>
    </xf>
    <xf numFmtId="1" fontId="52" fillId="0" borderId="44" xfId="29" applyNumberFormat="1" applyFont="1" applyBorder="1" applyAlignment="1">
      <alignment horizontal="center"/>
    </xf>
    <xf numFmtId="1" fontId="52" fillId="10" borderId="139" xfId="29" applyNumberFormat="1" applyFont="1" applyFill="1" applyBorder="1" applyAlignment="1">
      <alignment horizontal="center"/>
    </xf>
    <xf numFmtId="2" fontId="52" fillId="0" borderId="47" xfId="29" applyNumberFormat="1" applyFont="1" applyFill="1" applyBorder="1" applyAlignment="1">
      <alignment horizontal="center" vertical="center"/>
    </xf>
    <xf numFmtId="164" fontId="52" fillId="25" borderId="140" xfId="29" applyNumberFormat="1" applyFont="1" applyFill="1" applyBorder="1" applyAlignment="1">
      <alignment horizontal="center" vertical="center"/>
    </xf>
    <xf numFmtId="1" fontId="56" fillId="27" borderId="44" xfId="29" applyNumberFormat="1" applyFont="1" applyFill="1" applyBorder="1" applyAlignment="1">
      <alignment horizontal="center"/>
    </xf>
    <xf numFmtId="2" fontId="52" fillId="0" borderId="44" xfId="29" applyNumberFormat="1" applyFont="1" applyBorder="1" applyAlignment="1">
      <alignment horizontal="center"/>
    </xf>
    <xf numFmtId="164" fontId="52" fillId="0" borderId="44" xfId="29" applyNumberFormat="1" applyFont="1" applyBorder="1" applyAlignment="1">
      <alignment horizontal="center"/>
    </xf>
    <xf numFmtId="1" fontId="52" fillId="0" borderId="141" xfId="29" applyNumberFormat="1" applyFont="1" applyBorder="1" applyAlignment="1">
      <alignment horizontal="center"/>
    </xf>
    <xf numFmtId="1" fontId="51" fillId="22" borderId="66" xfId="29" applyNumberFormat="1" applyFont="1" applyFill="1" applyBorder="1" applyAlignment="1">
      <alignment horizontal="center" wrapText="1"/>
    </xf>
    <xf numFmtId="164" fontId="52" fillId="18" borderId="67" xfId="29" applyNumberFormat="1" applyFont="1" applyFill="1" applyBorder="1" applyAlignment="1">
      <alignment horizontal="center"/>
    </xf>
    <xf numFmtId="2" fontId="52" fillId="25" borderId="67" xfId="29" applyNumberFormat="1" applyFont="1" applyFill="1" applyBorder="1" applyAlignment="1">
      <alignment horizontal="center"/>
    </xf>
    <xf numFmtId="0" fontId="51" fillId="22" borderId="66" xfId="29" applyFont="1" applyFill="1" applyBorder="1" applyAlignment="1">
      <alignment horizontal="center" wrapText="1"/>
    </xf>
    <xf numFmtId="0" fontId="51" fillId="11" borderId="66" xfId="29" applyFont="1" applyFill="1" applyBorder="1" applyAlignment="1">
      <alignment horizontal="center" wrapText="1"/>
    </xf>
    <xf numFmtId="10" fontId="52" fillId="22" borderId="67" xfId="29" applyNumberFormat="1" applyFont="1" applyFill="1" applyBorder="1" applyAlignment="1">
      <alignment horizontal="center" wrapText="1"/>
    </xf>
    <xf numFmtId="0" fontId="51" fillId="22" borderId="67" xfId="29" applyFont="1" applyFill="1" applyBorder="1" applyAlignment="1">
      <alignment horizontal="center"/>
    </xf>
    <xf numFmtId="164" fontId="51" fillId="22" borderId="67" xfId="29" applyNumberFormat="1" applyFont="1" applyFill="1" applyBorder="1" applyAlignment="1">
      <alignment horizontal="center"/>
    </xf>
    <xf numFmtId="164" fontId="51" fillId="25" borderId="67" xfId="29" applyNumberFormat="1" applyFont="1" applyFill="1" applyBorder="1" applyAlignment="1">
      <alignment horizontal="center"/>
    </xf>
    <xf numFmtId="1" fontId="51" fillId="22" borderId="67" xfId="29" applyNumberFormat="1" applyFont="1" applyFill="1" applyBorder="1" applyAlignment="1">
      <alignment horizontal="center"/>
    </xf>
    <xf numFmtId="1" fontId="52" fillId="22" borderId="67" xfId="29" applyNumberFormat="1" applyFont="1" applyFill="1" applyBorder="1" applyAlignment="1">
      <alignment horizontal="center"/>
    </xf>
    <xf numFmtId="1" fontId="51" fillId="22" borderId="68" xfId="29" applyNumberFormat="1" applyFont="1" applyFill="1" applyBorder="1" applyAlignment="1">
      <alignment horizontal="center"/>
    </xf>
    <xf numFmtId="1" fontId="51" fillId="22" borderId="66" xfId="29" applyNumberFormat="1" applyFont="1" applyFill="1" applyBorder="1" applyAlignment="1">
      <alignment horizontal="center"/>
    </xf>
    <xf numFmtId="0" fontId="51" fillId="22" borderId="68" xfId="29" applyFont="1" applyFill="1" applyBorder="1" applyAlignment="1">
      <alignment horizontal="center"/>
    </xf>
    <xf numFmtId="0" fontId="51" fillId="22" borderId="66" xfId="29" applyFont="1" applyFill="1" applyBorder="1" applyAlignment="1">
      <alignment horizontal="center"/>
    </xf>
    <xf numFmtId="164" fontId="51" fillId="22" borderId="68" xfId="29" applyNumberFormat="1" applyFont="1" applyFill="1" applyBorder="1" applyAlignment="1">
      <alignment horizontal="center"/>
    </xf>
    <xf numFmtId="1" fontId="51" fillId="22" borderId="70" xfId="29" applyNumberFormat="1" applyFont="1" applyFill="1" applyBorder="1" applyAlignment="1">
      <alignment horizontal="center"/>
    </xf>
    <xf numFmtId="1" fontId="51" fillId="22" borderId="69" xfId="29" applyNumberFormat="1" applyFont="1" applyFill="1" applyBorder="1" applyAlignment="1">
      <alignment horizontal="center"/>
    </xf>
    <xf numFmtId="0" fontId="51" fillId="22" borderId="70" xfId="29" applyFont="1" applyFill="1" applyBorder="1" applyAlignment="1">
      <alignment horizontal="center"/>
    </xf>
    <xf numFmtId="1" fontId="51" fillId="22" borderId="65" xfId="29" applyNumberFormat="1" applyFont="1" applyFill="1" applyBorder="1" applyAlignment="1">
      <alignment horizontal="center"/>
    </xf>
    <xf numFmtId="1" fontId="51" fillId="10" borderId="142" xfId="29" applyNumberFormat="1" applyFont="1" applyFill="1" applyBorder="1" applyAlignment="1">
      <alignment horizontal="center"/>
    </xf>
    <xf numFmtId="2" fontId="51" fillId="18" borderId="71" xfId="29" applyNumberFormat="1" applyFont="1" applyFill="1" applyBorder="1" applyAlignment="1">
      <alignment horizontal="center"/>
    </xf>
    <xf numFmtId="2" fontId="51" fillId="22" borderId="71" xfId="29" applyNumberFormat="1" applyFont="1" applyFill="1" applyBorder="1" applyAlignment="1">
      <alignment horizontal="center"/>
    </xf>
    <xf numFmtId="2" fontId="51" fillId="22" borderId="0" xfId="29" applyNumberFormat="1" applyFont="1" applyFill="1" applyBorder="1" applyAlignment="1">
      <alignment horizontal="center"/>
    </xf>
    <xf numFmtId="2" fontId="51" fillId="26" borderId="0" xfId="29" applyNumberFormat="1" applyFont="1" applyFill="1" applyBorder="1" applyAlignment="1">
      <alignment horizontal="center"/>
    </xf>
    <xf numFmtId="1" fontId="53" fillId="27" borderId="65" xfId="29" applyNumberFormat="1" applyFont="1" applyFill="1" applyBorder="1" applyAlignment="1">
      <alignment horizontal="center"/>
    </xf>
    <xf numFmtId="2" fontId="51" fillId="22" borderId="65" xfId="29" applyNumberFormat="1" applyFont="1" applyFill="1" applyBorder="1" applyAlignment="1">
      <alignment horizontal="center"/>
    </xf>
    <xf numFmtId="164" fontId="51" fillId="22" borderId="65" xfId="29" applyNumberFormat="1" applyFont="1" applyFill="1" applyBorder="1" applyAlignment="1">
      <alignment horizontal="center"/>
    </xf>
    <xf numFmtId="1" fontId="51" fillId="22" borderId="143" xfId="29" applyNumberFormat="1" applyFont="1" applyFill="1" applyBorder="1" applyAlignment="1">
      <alignment horizontal="center"/>
    </xf>
    <xf numFmtId="164" fontId="52" fillId="10" borderId="20" xfId="29" applyNumberFormat="1" applyFont="1" applyFill="1" applyBorder="1" applyAlignment="1">
      <alignment horizontal="center" vertical="center" wrapText="1"/>
    </xf>
    <xf numFmtId="164" fontId="52" fillId="25" borderId="20" xfId="29" applyNumberFormat="1" applyFont="1" applyFill="1" applyBorder="1" applyAlignment="1">
      <alignment horizontal="center" vertical="center" wrapText="1"/>
    </xf>
    <xf numFmtId="1" fontId="52" fillId="0" borderId="9" xfId="29" applyNumberFormat="1" applyFont="1" applyBorder="1" applyAlignment="1">
      <alignment horizontal="center"/>
    </xf>
    <xf numFmtId="2" fontId="52" fillId="18" borderId="64" xfId="29" applyNumberFormat="1" applyFont="1" applyFill="1" applyBorder="1" applyAlignment="1">
      <alignment horizontal="center"/>
    </xf>
    <xf numFmtId="2" fontId="52" fillId="0" borderId="64" xfId="29" applyNumberFormat="1" applyFont="1" applyBorder="1" applyAlignment="1">
      <alignment horizontal="center"/>
    </xf>
    <xf numFmtId="2" fontId="52" fillId="0" borderId="0" xfId="29" applyNumberFormat="1" applyFont="1" applyBorder="1" applyAlignment="1">
      <alignment horizontal="center"/>
    </xf>
    <xf numFmtId="2" fontId="52" fillId="26" borderId="0" xfId="29" applyNumberFormat="1" applyFont="1" applyFill="1" applyBorder="1" applyAlignment="1">
      <alignment horizontal="center"/>
    </xf>
    <xf numFmtId="164" fontId="52" fillId="10" borderId="41" xfId="29" applyNumberFormat="1" applyFont="1" applyFill="1" applyBorder="1" applyAlignment="1">
      <alignment horizontal="center" vertical="center" wrapText="1"/>
    </xf>
    <xf numFmtId="164" fontId="52" fillId="25" borderId="41" xfId="29" applyNumberFormat="1" applyFont="1" applyFill="1" applyBorder="1" applyAlignment="1">
      <alignment horizontal="center" vertical="center" wrapText="1"/>
    </xf>
    <xf numFmtId="1" fontId="52" fillId="0" borderId="14" xfId="29" applyNumberFormat="1" applyFont="1" applyBorder="1" applyAlignment="1">
      <alignment horizontal="center"/>
    </xf>
    <xf numFmtId="2" fontId="52" fillId="18" borderId="47" xfId="29" applyNumberFormat="1" applyFont="1" applyFill="1" applyBorder="1" applyAlignment="1">
      <alignment horizontal="center"/>
    </xf>
    <xf numFmtId="2" fontId="52" fillId="0" borderId="47" xfId="29" applyNumberFormat="1" applyFont="1" applyBorder="1" applyAlignment="1">
      <alignment horizontal="center"/>
    </xf>
    <xf numFmtId="2" fontId="52" fillId="0" borderId="37" xfId="29" applyNumberFormat="1" applyFont="1" applyBorder="1" applyAlignment="1">
      <alignment horizontal="center"/>
    </xf>
    <xf numFmtId="10" fontId="52" fillId="10" borderId="66" xfId="29" applyNumberFormat="1" applyFont="1" applyFill="1" applyBorder="1" applyAlignment="1">
      <alignment horizontal="center" wrapText="1"/>
    </xf>
    <xf numFmtId="164" fontId="52" fillId="25" borderId="71" xfId="29" applyNumberFormat="1" applyFont="1" applyFill="1" applyBorder="1" applyAlignment="1">
      <alignment horizontal="center" vertical="center"/>
    </xf>
    <xf numFmtId="2" fontId="51" fillId="22" borderId="47" xfId="29" applyNumberFormat="1" applyFont="1" applyFill="1" applyBorder="1" applyAlignment="1">
      <alignment horizontal="center"/>
    </xf>
    <xf numFmtId="1" fontId="51" fillId="21" borderId="145" xfId="29" applyNumberFormat="1" applyFont="1" applyFill="1" applyBorder="1" applyAlignment="1">
      <alignment horizontal="center" wrapText="1"/>
    </xf>
    <xf numFmtId="164" fontId="51" fillId="11" borderId="147" xfId="29" applyNumberFormat="1" applyFont="1" applyFill="1" applyBorder="1" applyAlignment="1">
      <alignment horizontal="center" vertical="center"/>
    </xf>
    <xf numFmtId="2" fontId="51" fillId="25" borderId="147" xfId="29" applyNumberFormat="1" applyFont="1" applyFill="1" applyBorder="1" applyAlignment="1">
      <alignment horizontal="center" vertical="center"/>
    </xf>
    <xf numFmtId="0" fontId="51" fillId="21" borderId="145" xfId="29" applyFont="1" applyFill="1" applyBorder="1" applyAlignment="1">
      <alignment horizontal="center" wrapText="1"/>
    </xf>
    <xf numFmtId="0" fontId="51" fillId="11" borderId="145" xfId="29" applyFont="1" applyFill="1" applyBorder="1" applyAlignment="1">
      <alignment horizontal="center" wrapText="1"/>
    </xf>
    <xf numFmtId="10" fontId="52" fillId="7" borderId="147" xfId="29" applyNumberFormat="1" applyFont="1" applyFill="1" applyBorder="1" applyAlignment="1">
      <alignment horizontal="center" wrapText="1"/>
    </xf>
    <xf numFmtId="0" fontId="51" fillId="21" borderId="147" xfId="29" applyFont="1" applyFill="1" applyBorder="1" applyAlignment="1">
      <alignment horizontal="center" vertical="center"/>
    </xf>
    <xf numFmtId="164" fontId="51" fillId="21" borderId="147" xfId="29" applyNumberFormat="1" applyFont="1" applyFill="1" applyBorder="1" applyAlignment="1">
      <alignment horizontal="center" vertical="center"/>
    </xf>
    <xf numFmtId="164" fontId="51" fillId="25" borderId="147" xfId="29" applyNumberFormat="1" applyFont="1" applyFill="1" applyBorder="1" applyAlignment="1">
      <alignment horizontal="center" vertical="center"/>
    </xf>
    <xf numFmtId="1" fontId="51" fillId="21" borderId="147" xfId="29" applyNumberFormat="1" applyFont="1" applyFill="1" applyBorder="1" applyAlignment="1">
      <alignment horizontal="center" vertical="center"/>
    </xf>
    <xf numFmtId="2" fontId="51" fillId="7" borderId="147" xfId="29" applyNumberFormat="1" applyFont="1" applyFill="1" applyBorder="1" applyAlignment="1">
      <alignment horizontal="center" vertical="center"/>
    </xf>
    <xf numFmtId="1" fontId="51" fillId="21" borderId="146" xfId="29" applyNumberFormat="1" applyFont="1" applyFill="1" applyBorder="1" applyAlignment="1">
      <alignment horizontal="center" vertical="center"/>
    </xf>
    <xf numFmtId="164" fontId="52" fillId="25" borderId="148" xfId="29" applyNumberFormat="1" applyFont="1" applyFill="1" applyBorder="1" applyAlignment="1">
      <alignment horizontal="center" vertical="center"/>
    </xf>
    <xf numFmtId="1" fontId="51" fillId="21" borderId="145" xfId="29" applyNumberFormat="1" applyFont="1" applyFill="1" applyBorder="1" applyAlignment="1">
      <alignment horizontal="center" vertical="center"/>
    </xf>
    <xf numFmtId="0" fontId="51" fillId="21" borderId="145" xfId="29" applyFont="1" applyFill="1" applyBorder="1" applyAlignment="1">
      <alignment horizontal="center" vertical="center"/>
    </xf>
    <xf numFmtId="2" fontId="51" fillId="21" borderId="147" xfId="29" applyNumberFormat="1" applyFont="1" applyFill="1" applyBorder="1" applyAlignment="1">
      <alignment horizontal="center" vertical="center"/>
    </xf>
    <xf numFmtId="164" fontId="51" fillId="21" borderId="146" xfId="29" applyNumberFormat="1" applyFont="1" applyFill="1" applyBorder="1" applyAlignment="1">
      <alignment horizontal="center" vertical="center"/>
    </xf>
    <xf numFmtId="1" fontId="51" fillId="21" borderId="149" xfId="29" applyNumberFormat="1" applyFont="1" applyFill="1" applyBorder="1" applyAlignment="1">
      <alignment horizontal="center" vertical="center"/>
    </xf>
    <xf numFmtId="1" fontId="51" fillId="21" borderId="150" xfId="29" applyNumberFormat="1" applyFont="1" applyFill="1" applyBorder="1" applyAlignment="1">
      <alignment horizontal="center" vertical="center"/>
    </xf>
    <xf numFmtId="0" fontId="51" fillId="21" borderId="149" xfId="29" applyFont="1" applyFill="1" applyBorder="1" applyAlignment="1">
      <alignment horizontal="center" vertical="center"/>
    </xf>
    <xf numFmtId="1" fontId="51" fillId="21" borderId="144" xfId="29" applyNumberFormat="1" applyFont="1" applyFill="1" applyBorder="1" applyAlignment="1">
      <alignment horizontal="center" vertical="center"/>
    </xf>
    <xf numFmtId="1" fontId="51" fillId="10" borderId="151" xfId="29" applyNumberFormat="1" applyFont="1" applyFill="1" applyBorder="1" applyAlignment="1">
      <alignment horizontal="center" vertical="center"/>
    </xf>
    <xf numFmtId="2" fontId="51" fillId="7" borderId="148" xfId="29" applyNumberFormat="1" applyFont="1" applyFill="1" applyBorder="1" applyAlignment="1">
      <alignment horizontal="center" vertical="center"/>
    </xf>
    <xf numFmtId="2" fontId="51" fillId="11" borderId="108" xfId="29" applyNumberFormat="1" applyFont="1" applyFill="1" applyBorder="1" applyAlignment="1">
      <alignment horizontal="center" vertical="center"/>
    </xf>
    <xf numFmtId="1" fontId="51" fillId="21" borderId="65" xfId="29" applyNumberFormat="1" applyFont="1" applyFill="1" applyBorder="1" applyAlignment="1">
      <alignment horizontal="center" vertical="center"/>
    </xf>
    <xf numFmtId="2" fontId="51" fillId="7" borderId="72" xfId="29" applyNumberFormat="1" applyFont="1" applyFill="1" applyBorder="1" applyAlignment="1">
      <alignment horizontal="center" vertical="center"/>
    </xf>
    <xf numFmtId="1" fontId="53" fillId="27" borderId="65" xfId="29" applyNumberFormat="1" applyFont="1" applyFill="1" applyBorder="1" applyAlignment="1">
      <alignment horizontal="center" vertical="center"/>
    </xf>
    <xf numFmtId="2" fontId="51" fillId="21" borderId="65" xfId="29" applyNumberFormat="1" applyFont="1" applyFill="1" applyBorder="1" applyAlignment="1">
      <alignment horizontal="center" vertical="center"/>
    </xf>
    <xf numFmtId="164" fontId="51" fillId="21" borderId="65" xfId="29" applyNumberFormat="1" applyFont="1" applyFill="1" applyBorder="1" applyAlignment="1">
      <alignment horizontal="center" vertical="center"/>
    </xf>
    <xf numFmtId="1" fontId="52" fillId="0" borderId="152" xfId="29" applyNumberFormat="1" applyFont="1" applyBorder="1" applyAlignment="1">
      <alignment horizontal="center" vertical="center"/>
    </xf>
    <xf numFmtId="169" fontId="52" fillId="0" borderId="0" xfId="30" applyNumberFormat="1" applyFont="1"/>
    <xf numFmtId="10" fontId="52" fillId="0" borderId="0" xfId="29" applyNumberFormat="1" applyFont="1"/>
    <xf numFmtId="169" fontId="51" fillId="7" borderId="0" xfId="30" applyNumberFormat="1" applyFont="1" applyFill="1"/>
    <xf numFmtId="10" fontId="60" fillId="0" borderId="0" xfId="31" applyNumberFormat="1" applyFont="1"/>
    <xf numFmtId="169" fontId="54" fillId="7" borderId="0" xfId="30" applyNumberFormat="1" applyFont="1" applyFill="1"/>
    <xf numFmtId="169" fontId="61" fillId="7" borderId="0" xfId="30" applyNumberFormat="1" applyFont="1" applyFill="1"/>
    <xf numFmtId="169" fontId="52" fillId="7" borderId="0" xfId="30" applyNumberFormat="1" applyFont="1" applyFill="1"/>
    <xf numFmtId="169" fontId="52" fillId="0" borderId="0" xfId="29" applyNumberFormat="1" applyFont="1"/>
    <xf numFmtId="169" fontId="61" fillId="0" borderId="0" xfId="29" applyNumberFormat="1" applyFont="1"/>
    <xf numFmtId="0" fontId="62" fillId="26" borderId="41" xfId="29" applyFont="1" applyFill="1" applyBorder="1"/>
    <xf numFmtId="0" fontId="62" fillId="26" borderId="41" xfId="29" applyFont="1" applyFill="1" applyBorder="1" applyAlignment="1">
      <alignment wrapText="1"/>
    </xf>
    <xf numFmtId="0" fontId="52" fillId="26" borderId="0" xfId="29" applyFont="1" applyFill="1"/>
    <xf numFmtId="169" fontId="61" fillId="0" borderId="0" xfId="30" applyNumberFormat="1" applyFont="1"/>
    <xf numFmtId="0" fontId="52" fillId="0" borderId="0" xfId="29" applyFont="1" applyAlignment="1">
      <alignment horizontal="center"/>
    </xf>
    <xf numFmtId="169" fontId="52" fillId="8" borderId="2" xfId="30" applyNumberFormat="1" applyFont="1" applyFill="1" applyBorder="1"/>
    <xf numFmtId="169" fontId="52" fillId="8" borderId="2" xfId="30" applyNumberFormat="1" applyFont="1" applyFill="1" applyBorder="1" applyAlignment="1">
      <alignment horizontal="center"/>
    </xf>
    <xf numFmtId="0" fontId="52" fillId="18" borderId="0" xfId="29" applyFont="1" applyFill="1"/>
    <xf numFmtId="169" fontId="6" fillId="10" borderId="2" xfId="1" applyNumberFormat="1" applyFont="1" applyFill="1" applyBorder="1"/>
    <xf numFmtId="168" fontId="10" fillId="0" borderId="0" xfId="8" applyNumberFormat="1" applyFont="1"/>
    <xf numFmtId="9" fontId="52" fillId="8" borderId="2" xfId="8" applyFont="1" applyFill="1" applyBorder="1"/>
    <xf numFmtId="10" fontId="52" fillId="0" borderId="0" xfId="8" applyNumberFormat="1" applyFont="1"/>
    <xf numFmtId="169" fontId="51" fillId="8" borderId="2" xfId="30" applyNumberFormat="1" applyFont="1" applyFill="1" applyBorder="1"/>
    <xf numFmtId="169" fontId="63" fillId="8" borderId="2" xfId="30" applyNumberFormat="1" applyFont="1" applyFill="1" applyBorder="1"/>
    <xf numFmtId="169" fontId="64" fillId="8" borderId="2" xfId="30" applyNumberFormat="1" applyFont="1" applyFill="1" applyBorder="1"/>
    <xf numFmtId="164" fontId="52" fillId="18" borderId="7" xfId="29" applyNumberFormat="1" applyFont="1" applyFill="1" applyBorder="1" applyAlignment="1">
      <alignment horizontal="center" vertical="center"/>
    </xf>
    <xf numFmtId="164" fontId="52" fillId="18" borderId="153" xfId="29" applyNumberFormat="1" applyFont="1" applyFill="1" applyBorder="1" applyAlignment="1">
      <alignment horizontal="center" vertical="center"/>
    </xf>
    <xf numFmtId="164" fontId="51" fillId="18" borderId="72" xfId="29" applyNumberFormat="1" applyFont="1" applyFill="1" applyBorder="1" applyAlignment="1">
      <alignment horizontal="center" vertical="center"/>
    </xf>
    <xf numFmtId="0" fontId="51" fillId="18" borderId="10" xfId="29" applyFont="1" applyFill="1" applyBorder="1" applyAlignment="1">
      <alignment horizontal="center" vertical="center" wrapText="1"/>
    </xf>
    <xf numFmtId="1" fontId="52" fillId="18" borderId="23" xfId="29" applyNumberFormat="1" applyFont="1" applyFill="1" applyBorder="1" applyAlignment="1">
      <alignment horizontal="center" vertical="center"/>
    </xf>
    <xf numFmtId="1" fontId="52" fillId="18" borderId="154" xfId="29" applyNumberFormat="1" applyFont="1" applyFill="1" applyBorder="1" applyAlignment="1">
      <alignment horizontal="center" vertical="center"/>
    </xf>
    <xf numFmtId="1" fontId="52" fillId="18" borderId="155" xfId="29" applyNumberFormat="1" applyFont="1" applyFill="1" applyBorder="1" applyAlignment="1">
      <alignment horizontal="center" vertical="center"/>
    </xf>
    <xf numFmtId="1" fontId="52" fillId="18" borderId="30" xfId="29" applyNumberFormat="1" applyFont="1" applyFill="1" applyBorder="1" applyAlignment="1">
      <alignment horizontal="center" vertical="center"/>
    </xf>
    <xf numFmtId="1" fontId="52" fillId="18" borderId="26" xfId="29" applyNumberFormat="1" applyFont="1" applyFill="1" applyBorder="1" applyAlignment="1">
      <alignment horizontal="center" vertical="center"/>
    </xf>
    <xf numFmtId="1" fontId="52" fillId="18" borderId="156" xfId="29" applyNumberFormat="1" applyFont="1" applyFill="1" applyBorder="1" applyAlignment="1">
      <alignment horizontal="center" vertical="center"/>
    </xf>
    <xf numFmtId="1" fontId="51" fillId="18" borderId="157" xfId="29" applyNumberFormat="1" applyFont="1" applyFill="1" applyBorder="1" applyAlignment="1">
      <alignment horizontal="center" vertical="center"/>
    </xf>
    <xf numFmtId="1" fontId="52" fillId="18" borderId="23" xfId="29" applyNumberFormat="1" applyFont="1" applyFill="1" applyBorder="1" applyAlignment="1">
      <alignment horizontal="center"/>
    </xf>
    <xf numFmtId="1" fontId="52" fillId="18" borderId="30" xfId="29" applyNumberFormat="1" applyFont="1" applyFill="1" applyBorder="1" applyAlignment="1">
      <alignment horizontal="center"/>
    </xf>
    <xf numFmtId="1" fontId="52" fillId="18" borderId="155" xfId="29" applyNumberFormat="1" applyFont="1" applyFill="1" applyBorder="1" applyAlignment="1">
      <alignment horizontal="center"/>
    </xf>
    <xf numFmtId="1" fontId="52" fillId="18" borderId="157" xfId="29" applyNumberFormat="1" applyFont="1" applyFill="1" applyBorder="1" applyAlignment="1">
      <alignment horizontal="center"/>
    </xf>
    <xf numFmtId="169" fontId="52" fillId="0" borderId="1" xfId="30" applyNumberFormat="1" applyFont="1" applyBorder="1"/>
    <xf numFmtId="0" fontId="52" fillId="0" borderId="1" xfId="29" applyFont="1" applyBorder="1"/>
    <xf numFmtId="0" fontId="54" fillId="0" borderId="156" xfId="29" applyFont="1" applyBorder="1" applyAlignment="1">
      <alignment horizontal="center"/>
    </xf>
    <xf numFmtId="0" fontId="52" fillId="18" borderId="73" xfId="29" applyFont="1" applyFill="1" applyBorder="1" applyAlignment="1">
      <alignment horizontal="center" vertical="center" wrapText="1"/>
    </xf>
    <xf numFmtId="164" fontId="52" fillId="18" borderId="3" xfId="29" applyNumberFormat="1" applyFont="1" applyFill="1" applyBorder="1" applyAlignment="1">
      <alignment horizontal="center" vertical="center"/>
    </xf>
    <xf numFmtId="164" fontId="52" fillId="18" borderId="14" xfId="29" applyNumberFormat="1" applyFont="1" applyFill="1" applyBorder="1" applyAlignment="1">
      <alignment horizontal="center" vertical="center"/>
    </xf>
    <xf numFmtId="164" fontId="52" fillId="18" borderId="49" xfId="29" applyNumberFormat="1" applyFont="1" applyFill="1" applyBorder="1" applyAlignment="1">
      <alignment horizontal="center" vertical="center"/>
    </xf>
    <xf numFmtId="164" fontId="52" fillId="18" borderId="18" xfId="29" applyNumberFormat="1" applyFont="1" applyFill="1" applyBorder="1" applyAlignment="1">
      <alignment horizontal="center" vertical="center"/>
    </xf>
    <xf numFmtId="164" fontId="52" fillId="18" borderId="9" xfId="29" applyNumberFormat="1" applyFont="1" applyFill="1" applyBorder="1" applyAlignment="1">
      <alignment horizontal="center" vertical="center"/>
    </xf>
    <xf numFmtId="164" fontId="51" fillId="18" borderId="14" xfId="29" applyNumberFormat="1" applyFont="1" applyFill="1" applyBorder="1" applyAlignment="1">
      <alignment horizontal="center" vertical="center"/>
    </xf>
    <xf numFmtId="2" fontId="51" fillId="11" borderId="73" xfId="29" applyNumberFormat="1" applyFont="1" applyFill="1" applyBorder="1" applyAlignment="1">
      <alignment horizontal="center" vertical="center"/>
    </xf>
    <xf numFmtId="164" fontId="52" fillId="18" borderId="9" xfId="29" applyNumberFormat="1" applyFont="1" applyFill="1" applyBorder="1" applyAlignment="1">
      <alignment horizontal="center"/>
    </xf>
    <xf numFmtId="164" fontId="52" fillId="18" borderId="3" xfId="29" applyNumberFormat="1" applyFont="1" applyFill="1" applyBorder="1" applyAlignment="1">
      <alignment horizontal="center"/>
    </xf>
    <xf numFmtId="164" fontId="52" fillId="18" borderId="14" xfId="29" applyNumberFormat="1" applyFont="1" applyFill="1" applyBorder="1" applyAlignment="1">
      <alignment horizontal="center"/>
    </xf>
    <xf numFmtId="2" fontId="51" fillId="18" borderId="66" xfId="29" applyNumberFormat="1" applyFont="1" applyFill="1" applyBorder="1" applyAlignment="1">
      <alignment horizontal="center"/>
    </xf>
    <xf numFmtId="164" fontId="51" fillId="18" borderId="66" xfId="29" applyNumberFormat="1" applyFont="1" applyFill="1" applyBorder="1" applyAlignment="1">
      <alignment horizontal="center"/>
    </xf>
    <xf numFmtId="2" fontId="51" fillId="7" borderId="145" xfId="29" applyNumberFormat="1" applyFont="1" applyFill="1" applyBorder="1" applyAlignment="1">
      <alignment horizontal="center" vertical="center"/>
    </xf>
    <xf numFmtId="169" fontId="52" fillId="0" borderId="1" xfId="30" applyNumberFormat="1" applyFont="1" applyBorder="1" applyAlignment="1">
      <alignment horizontal="left"/>
    </xf>
    <xf numFmtId="0" fontId="65" fillId="15" borderId="0" xfId="14" applyFont="1" applyFill="1" applyBorder="1"/>
    <xf numFmtId="169" fontId="65" fillId="15" borderId="0" xfId="1" applyNumberFormat="1" applyFont="1" applyFill="1" applyBorder="1"/>
    <xf numFmtId="169" fontId="65" fillId="15" borderId="0" xfId="14" applyNumberFormat="1" applyFont="1" applyFill="1" applyBorder="1"/>
    <xf numFmtId="0" fontId="46" fillId="23" borderId="75" xfId="14" applyFont="1" applyFill="1" applyBorder="1"/>
    <xf numFmtId="169" fontId="46" fillId="23" borderId="75" xfId="14" applyNumberFormat="1" applyFont="1" applyFill="1" applyBorder="1"/>
    <xf numFmtId="2" fontId="51" fillId="7" borderId="73" xfId="29" applyNumberFormat="1" applyFont="1" applyFill="1" applyBorder="1" applyAlignment="1">
      <alignment horizontal="center" vertical="center"/>
    </xf>
    <xf numFmtId="2" fontId="52" fillId="18" borderId="9" xfId="29" applyNumberFormat="1" applyFont="1" applyFill="1" applyBorder="1" applyAlignment="1">
      <alignment horizontal="center"/>
    </xf>
    <xf numFmtId="2" fontId="52" fillId="18" borderId="3" xfId="29" applyNumberFormat="1" applyFont="1" applyFill="1" applyBorder="1" applyAlignment="1">
      <alignment horizontal="center"/>
    </xf>
    <xf numFmtId="2" fontId="52" fillId="18" borderId="14" xfId="29" applyNumberFormat="1" applyFont="1" applyFill="1" applyBorder="1" applyAlignment="1">
      <alignment horizontal="center"/>
    </xf>
    <xf numFmtId="2" fontId="52" fillId="18" borderId="66" xfId="29" applyNumberFormat="1" applyFont="1" applyFill="1" applyBorder="1" applyAlignment="1">
      <alignment horizontal="center"/>
    </xf>
    <xf numFmtId="169" fontId="54" fillId="7" borderId="1" xfId="30" applyNumberFormat="1" applyFont="1" applyFill="1" applyBorder="1"/>
    <xf numFmtId="169" fontId="64" fillId="8" borderId="3" xfId="30" applyNumberFormat="1" applyFont="1" applyFill="1" applyBorder="1"/>
    <xf numFmtId="169" fontId="63" fillId="8" borderId="3" xfId="30" applyNumberFormat="1" applyFont="1" applyFill="1" applyBorder="1"/>
    <xf numFmtId="10" fontId="5" fillId="0" borderId="0" xfId="14" applyNumberFormat="1" applyFont="1"/>
    <xf numFmtId="10" fontId="46" fillId="0" borderId="0" xfId="14" applyNumberFormat="1" applyFont="1"/>
    <xf numFmtId="0" fontId="46" fillId="0" borderId="0" xfId="14" applyFont="1"/>
    <xf numFmtId="169" fontId="9" fillId="29" borderId="7" xfId="1" applyNumberFormat="1" applyFont="1" applyFill="1" applyBorder="1" applyAlignment="1">
      <alignment horizontal="left"/>
    </xf>
    <xf numFmtId="169" fontId="10" fillId="29" borderId="7" xfId="1" applyNumberFormat="1" applyFont="1" applyFill="1" applyBorder="1"/>
    <xf numFmtId="169" fontId="6" fillId="29" borderId="7" xfId="1" applyNumberFormat="1" applyFont="1" applyFill="1" applyBorder="1"/>
    <xf numFmtId="165" fontId="14" fillId="0" borderId="0" xfId="0" applyNumberFormat="1" applyFont="1" applyFill="1"/>
    <xf numFmtId="9" fontId="26" fillId="2" borderId="20" xfId="0" applyNumberFormat="1" applyFont="1" applyFill="1" applyBorder="1"/>
    <xf numFmtId="9" fontId="32" fillId="2" borderId="20" xfId="0" applyNumberFormat="1" applyFont="1" applyFill="1" applyBorder="1" applyAlignment="1">
      <alignment horizontal="right"/>
    </xf>
    <xf numFmtId="165" fontId="26" fillId="2" borderId="0" xfId="0" applyNumberFormat="1" applyFont="1" applyFill="1"/>
    <xf numFmtId="166" fontId="26" fillId="2" borderId="0" xfId="0" applyNumberFormat="1" applyFont="1" applyFill="1"/>
    <xf numFmtId="166" fontId="14" fillId="2" borderId="0" xfId="0" applyNumberFormat="1" applyFont="1" applyFill="1"/>
    <xf numFmtId="169" fontId="18" fillId="2" borderId="0" xfId="1" applyNumberFormat="1" applyFont="1" applyFill="1" applyAlignment="1">
      <alignment wrapText="1"/>
    </xf>
    <xf numFmtId="169" fontId="0" fillId="2" borderId="1" xfId="1" applyNumberFormat="1" applyFont="1" applyFill="1" applyBorder="1"/>
    <xf numFmtId="169" fontId="15" fillId="0" borderId="0" xfId="1" applyNumberFormat="1" applyFont="1"/>
    <xf numFmtId="169" fontId="17" fillId="2" borderId="0" xfId="1" applyNumberFormat="1" applyFont="1" applyFill="1" applyAlignment="1">
      <alignment wrapText="1"/>
    </xf>
    <xf numFmtId="169" fontId="14" fillId="2" borderId="0" xfId="1" applyNumberFormat="1" applyFont="1" applyFill="1"/>
    <xf numFmtId="169" fontId="0" fillId="4" borderId="0" xfId="1" applyNumberFormat="1" applyFont="1" applyFill="1"/>
    <xf numFmtId="0" fontId="0" fillId="0" borderId="0" xfId="0" applyAlignment="1"/>
    <xf numFmtId="0" fontId="67" fillId="30" borderId="0" xfId="0" applyFont="1" applyFill="1"/>
    <xf numFmtId="0" fontId="68" fillId="30" borderId="0" xfId="0" applyFont="1" applyFill="1"/>
    <xf numFmtId="0" fontId="69" fillId="0" borderId="6" xfId="0" applyFont="1" applyBorder="1"/>
    <xf numFmtId="0" fontId="69" fillId="0" borderId="4" xfId="0" applyFont="1" applyBorder="1"/>
    <xf numFmtId="165" fontId="16" fillId="0" borderId="11" xfId="0" applyNumberFormat="1" applyFont="1" applyBorder="1" applyAlignment="1">
      <alignment horizontal="center"/>
    </xf>
    <xf numFmtId="165" fontId="14" fillId="0" borderId="0" xfId="0" applyNumberFormat="1" applyFont="1" applyAlignment="1">
      <alignment horizontal="center"/>
    </xf>
    <xf numFmtId="172" fontId="15" fillId="0" borderId="0" xfId="9" applyNumberFormat="1" applyFont="1"/>
    <xf numFmtId="172" fontId="27" fillId="0" borderId="0" xfId="9" applyNumberFormat="1" applyFont="1"/>
    <xf numFmtId="0" fontId="68" fillId="4" borderId="0" xfId="0" applyFont="1" applyFill="1" applyAlignment="1">
      <alignment wrapText="1"/>
    </xf>
    <xf numFmtId="0" fontId="68" fillId="4" borderId="1" xfId="0" applyFont="1" applyFill="1" applyBorder="1"/>
    <xf numFmtId="0" fontId="68" fillId="4" borderId="0" xfId="0" applyFont="1" applyFill="1"/>
    <xf numFmtId="0" fontId="68" fillId="3" borderId="0" xfId="0" applyFont="1" applyFill="1"/>
    <xf numFmtId="0" fontId="66" fillId="30" borderId="0" xfId="14" applyFont="1" applyFill="1"/>
    <xf numFmtId="0" fontId="66" fillId="30" borderId="11" xfId="14" applyFont="1" applyFill="1" applyBorder="1"/>
    <xf numFmtId="9" fontId="32" fillId="12" borderId="0" xfId="0" applyNumberFormat="1" applyFont="1" applyFill="1" applyBorder="1"/>
    <xf numFmtId="9" fontId="37" fillId="2" borderId="41" xfId="0" applyNumberFormat="1" applyFont="1" applyFill="1" applyBorder="1"/>
    <xf numFmtId="168" fontId="37" fillId="0" borderId="14" xfId="0" applyNumberFormat="1" applyFont="1" applyBorder="1"/>
    <xf numFmtId="168" fontId="37" fillId="0" borderId="1" xfId="0" applyNumberFormat="1" applyFont="1" applyBorder="1"/>
    <xf numFmtId="168" fontId="37" fillId="0" borderId="9" xfId="0" applyNumberFormat="1" applyFont="1" applyBorder="1"/>
    <xf numFmtId="0" fontId="15" fillId="0" borderId="27" xfId="0" applyFont="1" applyBorder="1"/>
    <xf numFmtId="1" fontId="0" fillId="0" borderId="1" xfId="0" applyNumberFormat="1" applyBorder="1" applyAlignment="1"/>
    <xf numFmtId="0" fontId="27" fillId="0" borderId="12" xfId="0" applyFont="1" applyBorder="1"/>
    <xf numFmtId="0" fontId="27" fillId="0" borderId="27" xfId="0" applyFont="1" applyBorder="1"/>
    <xf numFmtId="0" fontId="27" fillId="0" borderId="27" xfId="0" applyFont="1" applyBorder="1" applyAlignment="1">
      <alignment wrapText="1"/>
    </xf>
    <xf numFmtId="0" fontId="27" fillId="0" borderId="15" xfId="0" applyFont="1" applyBorder="1" applyAlignment="1">
      <alignment wrapText="1"/>
    </xf>
    <xf numFmtId="0" fontId="15" fillId="0" borderId="17" xfId="0" applyFont="1" applyBorder="1"/>
    <xf numFmtId="168" fontId="37" fillId="0" borderId="41" xfId="0" applyNumberFormat="1" applyFont="1" applyBorder="1"/>
    <xf numFmtId="168" fontId="37" fillId="0" borderId="21" xfId="0" applyNumberFormat="1" applyFont="1" applyBorder="1"/>
    <xf numFmtId="168" fontId="37" fillId="0" borderId="20" xfId="0" applyNumberFormat="1" applyFont="1" applyBorder="1"/>
    <xf numFmtId="9" fontId="0" fillId="2" borderId="17" xfId="0" applyNumberFormat="1" applyFill="1" applyBorder="1"/>
    <xf numFmtId="0" fontId="0" fillId="0" borderId="28" xfId="0" applyBorder="1" applyAlignment="1">
      <alignment horizontal="center"/>
    </xf>
    <xf numFmtId="0" fontId="14" fillId="0" borderId="2" xfId="0" applyFont="1" applyFill="1" applyBorder="1" applyAlignment="1">
      <alignment horizontal="center"/>
    </xf>
    <xf numFmtId="9" fontId="26" fillId="2" borderId="17" xfId="0" applyNumberFormat="1" applyFont="1" applyFill="1" applyBorder="1"/>
    <xf numFmtId="1" fontId="16" fillId="2" borderId="41" xfId="0" applyNumberFormat="1" applyFont="1" applyFill="1" applyBorder="1"/>
    <xf numFmtId="0" fontId="28" fillId="0" borderId="13" xfId="0" applyFont="1" applyBorder="1"/>
    <xf numFmtId="0" fontId="16" fillId="0" borderId="13" xfId="0" applyFont="1" applyBorder="1"/>
    <xf numFmtId="0" fontId="16" fillId="0" borderId="13" xfId="0" applyFont="1" applyBorder="1" applyAlignment="1">
      <alignment horizontal="center"/>
    </xf>
    <xf numFmtId="1" fontId="16" fillId="2" borderId="20" xfId="0" applyNumberFormat="1" applyFont="1" applyFill="1" applyBorder="1"/>
    <xf numFmtId="0" fontId="16" fillId="0" borderId="11" xfId="0" applyFont="1" applyBorder="1"/>
    <xf numFmtId="0" fontId="16" fillId="0" borderId="11" xfId="0" applyFont="1" applyBorder="1" applyAlignment="1">
      <alignment horizontal="center"/>
    </xf>
    <xf numFmtId="1" fontId="71" fillId="2" borderId="21" xfId="0" applyNumberFormat="1" applyFont="1" applyFill="1" applyBorder="1"/>
    <xf numFmtId="9" fontId="26" fillId="2" borderId="41" xfId="0" applyNumberFormat="1" applyFont="1" applyFill="1" applyBorder="1"/>
    <xf numFmtId="9" fontId="32" fillId="2" borderId="41" xfId="0" applyNumberFormat="1" applyFont="1" applyFill="1" applyBorder="1" applyAlignment="1">
      <alignment horizontal="right"/>
    </xf>
    <xf numFmtId="0" fontId="32" fillId="0" borderId="15" xfId="0" applyFont="1" applyBorder="1" applyAlignment="1">
      <alignment wrapText="1"/>
    </xf>
    <xf numFmtId="0" fontId="19" fillId="0" borderId="14" xfId="0" applyFont="1" applyBorder="1" applyAlignment="1">
      <alignment wrapText="1"/>
    </xf>
    <xf numFmtId="0" fontId="19" fillId="0" borderId="1" xfId="0" applyFont="1" applyBorder="1" applyAlignment="1">
      <alignment wrapText="1"/>
    </xf>
    <xf numFmtId="0" fontId="19" fillId="0" borderId="9" xfId="0" applyFont="1" applyBorder="1" applyAlignment="1">
      <alignment wrapText="1"/>
    </xf>
    <xf numFmtId="0" fontId="14" fillId="0" borderId="13" xfId="0" applyFont="1" applyBorder="1"/>
    <xf numFmtId="169" fontId="37" fillId="2" borderId="41" xfId="1" applyNumberFormat="1" applyFont="1" applyFill="1" applyBorder="1"/>
    <xf numFmtId="0" fontId="14" fillId="0" borderId="0" xfId="0" applyFont="1" applyBorder="1" applyAlignment="1">
      <alignment wrapText="1"/>
    </xf>
    <xf numFmtId="0" fontId="14" fillId="0" borderId="11" xfId="0" applyFont="1" applyBorder="1" applyAlignment="1">
      <alignment wrapText="1"/>
    </xf>
    <xf numFmtId="9" fontId="37" fillId="2" borderId="9" xfId="0" applyNumberFormat="1" applyFont="1" applyFill="1" applyBorder="1" applyAlignment="1"/>
    <xf numFmtId="9" fontId="14" fillId="2" borderId="20" xfId="0" applyNumberFormat="1" applyFont="1" applyFill="1" applyBorder="1" applyAlignment="1"/>
    <xf numFmtId="0" fontId="14" fillId="2" borderId="41" xfId="0" applyFont="1" applyFill="1" applyBorder="1"/>
    <xf numFmtId="1" fontId="14" fillId="2" borderId="21" xfId="0" applyNumberFormat="1" applyFont="1" applyFill="1" applyBorder="1" applyAlignment="1">
      <alignment horizontal="right"/>
    </xf>
    <xf numFmtId="0" fontId="14" fillId="2" borderId="17" xfId="0" applyFont="1" applyFill="1" applyBorder="1" applyAlignment="1">
      <alignment horizontal="center"/>
    </xf>
    <xf numFmtId="9" fontId="14" fillId="2" borderId="17" xfId="0" applyNumberFormat="1" applyFont="1" applyFill="1" applyBorder="1" applyAlignment="1">
      <alignment horizontal="center"/>
    </xf>
    <xf numFmtId="0" fontId="14" fillId="0" borderId="3" xfId="0" applyFont="1" applyBorder="1" applyAlignment="1">
      <alignment horizontal="center"/>
    </xf>
    <xf numFmtId="0" fontId="14" fillId="0" borderId="17" xfId="0" applyFont="1" applyBorder="1" applyAlignment="1">
      <alignment horizontal="center"/>
    </xf>
    <xf numFmtId="1" fontId="0" fillId="0" borderId="21" xfId="0" applyNumberFormat="1" applyBorder="1" applyAlignment="1"/>
    <xf numFmtId="1" fontId="0" fillId="0" borderId="20" xfId="0" applyNumberFormat="1" applyBorder="1" applyAlignment="1">
      <alignment horizontal="right"/>
    </xf>
    <xf numFmtId="1" fontId="0" fillId="0" borderId="1" xfId="0" applyNumberFormat="1" applyBorder="1"/>
    <xf numFmtId="0" fontId="32" fillId="0" borderId="41" xfId="0" applyFont="1" applyBorder="1" applyAlignment="1">
      <alignment wrapText="1"/>
    </xf>
    <xf numFmtId="0" fontId="32" fillId="0" borderId="20" xfId="0" applyFont="1" applyBorder="1" applyAlignment="1">
      <alignment wrapText="1"/>
    </xf>
    <xf numFmtId="0" fontId="4" fillId="0" borderId="0" xfId="14" applyFont="1"/>
    <xf numFmtId="0" fontId="10" fillId="0" borderId="1" xfId="14" applyBorder="1"/>
    <xf numFmtId="10" fontId="45" fillId="0" borderId="1" xfId="8" applyNumberFormat="1" applyFont="1" applyBorder="1"/>
    <xf numFmtId="0" fontId="66" fillId="30" borderId="1" xfId="14" applyFont="1" applyFill="1" applyBorder="1"/>
    <xf numFmtId="0" fontId="66" fillId="30" borderId="9" xfId="14" applyFont="1" applyFill="1" applyBorder="1"/>
    <xf numFmtId="0" fontId="33" fillId="0" borderId="1" xfId="0" applyFont="1" applyFill="1" applyBorder="1"/>
    <xf numFmtId="169" fontId="4" fillId="0" borderId="1" xfId="1" applyNumberFormat="1" applyFont="1" applyBorder="1"/>
    <xf numFmtId="169" fontId="4" fillId="14" borderId="1" xfId="1" applyNumberFormat="1" applyFont="1" applyFill="1" applyBorder="1"/>
    <xf numFmtId="168" fontId="4" fillId="0" borderId="1" xfId="8" applyNumberFormat="1" applyFont="1" applyBorder="1"/>
    <xf numFmtId="169" fontId="10" fillId="0" borderId="1" xfId="1" applyNumberFormat="1" applyFont="1" applyBorder="1"/>
    <xf numFmtId="0" fontId="4" fillId="0" borderId="1" xfId="14" applyFont="1" applyBorder="1"/>
    <xf numFmtId="0" fontId="14" fillId="2" borderId="1" xfId="0" applyFont="1" applyFill="1" applyBorder="1" applyAlignment="1">
      <alignment wrapText="1"/>
    </xf>
    <xf numFmtId="0" fontId="22" fillId="0" borderId="1" xfId="0" applyFont="1" applyBorder="1" applyAlignment="1">
      <alignment wrapText="1"/>
    </xf>
    <xf numFmtId="169" fontId="4" fillId="15" borderId="1" xfId="1" applyNumberFormat="1" applyFont="1" applyFill="1" applyBorder="1"/>
    <xf numFmtId="169" fontId="4" fillId="10" borderId="1" xfId="1" applyNumberFormat="1" applyFont="1" applyFill="1" applyBorder="1"/>
    <xf numFmtId="169" fontId="4" fillId="9" borderId="1" xfId="1" applyNumberFormat="1" applyFont="1" applyFill="1" applyBorder="1"/>
    <xf numFmtId="0" fontId="4" fillId="16" borderId="1" xfId="14" applyFont="1" applyFill="1" applyBorder="1"/>
    <xf numFmtId="169" fontId="4" fillId="10" borderId="3" xfId="1" applyNumberFormat="1" applyFont="1" applyFill="1" applyBorder="1" applyAlignment="1">
      <alignment horizontal="left"/>
    </xf>
    <xf numFmtId="169" fontId="9" fillId="29" borderId="8" xfId="1" applyNumberFormat="1" applyFont="1" applyFill="1" applyBorder="1" applyAlignment="1">
      <alignment horizontal="left"/>
    </xf>
    <xf numFmtId="0" fontId="46" fillId="0" borderId="1" xfId="14" applyFont="1" applyBorder="1"/>
    <xf numFmtId="0" fontId="47" fillId="0" borderId="14" xfId="14" applyFont="1" applyBorder="1"/>
    <xf numFmtId="0" fontId="47" fillId="15" borderId="1" xfId="14" applyFont="1" applyFill="1" applyBorder="1"/>
    <xf numFmtId="0" fontId="65" fillId="15" borderId="1" xfId="14" applyFont="1" applyFill="1" applyBorder="1"/>
    <xf numFmtId="0" fontId="4" fillId="23" borderId="1" xfId="14" applyFont="1" applyFill="1" applyBorder="1"/>
    <xf numFmtId="0" fontId="46" fillId="23" borderId="126" xfId="14" applyFont="1" applyFill="1" applyBorder="1"/>
    <xf numFmtId="1" fontId="34" fillId="2" borderId="1" xfId="0" applyNumberFormat="1" applyFont="1" applyFill="1" applyBorder="1" applyAlignment="1">
      <alignment wrapText="1"/>
    </xf>
    <xf numFmtId="1" fontId="14" fillId="2" borderId="1" xfId="0" applyNumberFormat="1" applyFont="1" applyFill="1" applyBorder="1" applyAlignment="1">
      <alignment wrapText="1"/>
    </xf>
    <xf numFmtId="0" fontId="14" fillId="8" borderId="1" xfId="0" applyFont="1" applyFill="1" applyBorder="1" applyAlignment="1">
      <alignment wrapText="1"/>
    </xf>
    <xf numFmtId="0" fontId="15" fillId="4" borderId="1" xfId="0" applyFont="1" applyFill="1" applyBorder="1" applyAlignment="1">
      <alignment wrapText="1"/>
    </xf>
    <xf numFmtId="168" fontId="41" fillId="32" borderId="0" xfId="0" applyNumberFormat="1" applyFont="1" applyFill="1"/>
    <xf numFmtId="0" fontId="38" fillId="7" borderId="0" xfId="0" applyFont="1" applyFill="1"/>
    <xf numFmtId="0" fontId="74" fillId="0" borderId="9" xfId="0" applyFont="1" applyBorder="1"/>
    <xf numFmtId="0" fontId="74" fillId="0" borderId="11" xfId="0" applyFont="1" applyBorder="1"/>
    <xf numFmtId="0" fontId="74" fillId="0" borderId="15" xfId="0" applyFont="1" applyBorder="1"/>
    <xf numFmtId="9" fontId="38" fillId="2" borderId="1" xfId="2" applyFont="1" applyFill="1" applyBorder="1"/>
    <xf numFmtId="9" fontId="38" fillId="2" borderId="21" xfId="8" applyFont="1" applyFill="1" applyBorder="1"/>
    <xf numFmtId="1" fontId="38" fillId="0" borderId="0" xfId="0" applyNumberFormat="1" applyFont="1"/>
    <xf numFmtId="0" fontId="38" fillId="2" borderId="21" xfId="0" applyFont="1" applyFill="1" applyBorder="1"/>
    <xf numFmtId="0" fontId="38" fillId="2" borderId="1" xfId="0" applyFont="1" applyFill="1" applyBorder="1"/>
    <xf numFmtId="0" fontId="73" fillId="2" borderId="1" xfId="0" applyFont="1" applyFill="1" applyBorder="1"/>
    <xf numFmtId="0" fontId="38" fillId="6" borderId="1" xfId="0" applyFont="1" applyFill="1" applyBorder="1" applyAlignment="1">
      <alignment horizontal="right"/>
    </xf>
    <xf numFmtId="10" fontId="38" fillId="2" borderId="1" xfId="2" applyNumberFormat="1" applyFont="1" applyFill="1" applyBorder="1"/>
    <xf numFmtId="0" fontId="41" fillId="0" borderId="0" xfId="0" applyFont="1" applyAlignment="1">
      <alignment horizontal="right"/>
    </xf>
    <xf numFmtId="169" fontId="0" fillId="10" borderId="0" xfId="1" applyNumberFormat="1" applyFont="1" applyFill="1"/>
    <xf numFmtId="0" fontId="4" fillId="10" borderId="1" xfId="14" applyFont="1" applyFill="1" applyBorder="1"/>
    <xf numFmtId="0" fontId="38" fillId="2" borderId="21" xfId="0" applyFont="1" applyFill="1" applyBorder="1" applyAlignment="1">
      <alignment horizontal="right"/>
    </xf>
    <xf numFmtId="168" fontId="0" fillId="10" borderId="0" xfId="8" applyNumberFormat="1" applyFont="1" applyFill="1"/>
    <xf numFmtId="0" fontId="3" fillId="0" borderId="0" xfId="14" applyFont="1"/>
    <xf numFmtId="8" fontId="0" fillId="0" borderId="0" xfId="0" applyNumberFormat="1"/>
    <xf numFmtId="0" fontId="39" fillId="0" borderId="160" xfId="0" applyFont="1" applyBorder="1"/>
    <xf numFmtId="168" fontId="39" fillId="0" borderId="161" xfId="8" applyNumberFormat="1" applyFont="1" applyBorder="1"/>
    <xf numFmtId="0" fontId="39" fillId="0" borderId="159" xfId="0" applyFont="1" applyBorder="1"/>
    <xf numFmtId="0" fontId="39" fillId="0" borderId="131" xfId="0" applyFont="1" applyBorder="1"/>
    <xf numFmtId="10" fontId="39" fillId="0" borderId="163" xfId="0" applyNumberFormat="1" applyFont="1" applyBorder="1"/>
    <xf numFmtId="168" fontId="39" fillId="0" borderId="162" xfId="8" applyNumberFormat="1" applyFont="1" applyBorder="1"/>
    <xf numFmtId="0" fontId="0" fillId="0" borderId="11" xfId="0" applyBorder="1"/>
    <xf numFmtId="164" fontId="46" fillId="0" borderId="0" xfId="0" applyNumberFormat="1" applyFont="1"/>
    <xf numFmtId="174" fontId="46" fillId="0" borderId="0" xfId="0" applyNumberFormat="1" applyFont="1"/>
    <xf numFmtId="0" fontId="46" fillId="0" borderId="0" xfId="0" applyFont="1"/>
    <xf numFmtId="164" fontId="0" fillId="0" borderId="0" xfId="0" applyNumberFormat="1"/>
    <xf numFmtId="9" fontId="0" fillId="7" borderId="0" xfId="0" applyNumberFormat="1" applyFill="1"/>
    <xf numFmtId="9" fontId="0" fillId="7" borderId="0" xfId="8" applyFont="1" applyFill="1"/>
    <xf numFmtId="43" fontId="0" fillId="0" borderId="0" xfId="1" applyFont="1"/>
    <xf numFmtId="43" fontId="0" fillId="0" borderId="11" xfId="1" applyFont="1" applyBorder="1"/>
    <xf numFmtId="0" fontId="0" fillId="10" borderId="0" xfId="0" applyFill="1" applyBorder="1"/>
    <xf numFmtId="43" fontId="15" fillId="0" borderId="0" xfId="1" applyFont="1"/>
    <xf numFmtId="169" fontId="15" fillId="0" borderId="0" xfId="1" applyNumberFormat="1" applyFont="1" applyAlignment="1">
      <alignment horizontal="center"/>
    </xf>
    <xf numFmtId="169" fontId="27" fillId="0" borderId="0" xfId="1" applyNumberFormat="1" applyFont="1"/>
    <xf numFmtId="170" fontId="0" fillId="2" borderId="0" xfId="1" applyNumberFormat="1" applyFont="1" applyFill="1"/>
    <xf numFmtId="169" fontId="0" fillId="0" borderId="0" xfId="1" applyNumberFormat="1" applyFont="1" applyAlignment="1">
      <alignment wrapText="1"/>
    </xf>
    <xf numFmtId="169" fontId="14" fillId="2" borderId="1" xfId="1" applyNumberFormat="1" applyFont="1" applyFill="1" applyBorder="1"/>
    <xf numFmtId="170" fontId="14" fillId="2" borderId="0" xfId="1" applyNumberFormat="1" applyFont="1" applyFill="1" applyAlignment="1">
      <alignment wrapText="1"/>
    </xf>
    <xf numFmtId="170" fontId="14" fillId="2" borderId="1" xfId="1" applyNumberFormat="1" applyFont="1" applyFill="1" applyBorder="1"/>
    <xf numFmtId="169" fontId="14" fillId="2" borderId="0" xfId="1" applyNumberFormat="1" applyFont="1" applyFill="1" applyAlignment="1">
      <alignment wrapText="1"/>
    </xf>
    <xf numFmtId="170" fontId="18" fillId="2" borderId="0" xfId="1" applyNumberFormat="1" applyFont="1" applyFill="1" applyAlignment="1">
      <alignment wrapText="1"/>
    </xf>
    <xf numFmtId="170" fontId="14" fillId="2" borderId="0" xfId="1" applyNumberFormat="1" applyFont="1" applyFill="1"/>
    <xf numFmtId="170" fontId="26" fillId="2" borderId="0" xfId="1" applyNumberFormat="1" applyFont="1" applyFill="1"/>
    <xf numFmtId="170" fontId="19" fillId="2" borderId="0" xfId="1" applyNumberFormat="1" applyFont="1" applyFill="1" applyAlignment="1">
      <alignment wrapText="1"/>
    </xf>
    <xf numFmtId="170" fontId="15" fillId="2" borderId="1" xfId="1" applyNumberFormat="1" applyFont="1" applyFill="1" applyBorder="1"/>
    <xf numFmtId="170" fontId="15" fillId="2" borderId="0" xfId="1" applyNumberFormat="1" applyFont="1" applyFill="1"/>
    <xf numFmtId="170" fontId="27" fillId="2" borderId="0" xfId="1" applyNumberFormat="1" applyFont="1" applyFill="1"/>
    <xf numFmtId="169" fontId="23" fillId="0" borderId="0" xfId="1" applyNumberFormat="1" applyFont="1" applyAlignment="1">
      <alignment wrapText="1"/>
    </xf>
    <xf numFmtId="169" fontId="24" fillId="0" borderId="1" xfId="1" applyNumberFormat="1" applyFont="1" applyBorder="1"/>
    <xf numFmtId="169" fontId="24" fillId="0" borderId="0" xfId="1" applyNumberFormat="1" applyFont="1"/>
    <xf numFmtId="169" fontId="0" fillId="3" borderId="0" xfId="1" applyNumberFormat="1" applyFont="1" applyFill="1"/>
    <xf numFmtId="9" fontId="14" fillId="2" borderId="3" xfId="0" applyNumberFormat="1" applyFont="1" applyFill="1" applyBorder="1"/>
    <xf numFmtId="169" fontId="16" fillId="0" borderId="0" xfId="1" applyNumberFormat="1" applyFont="1"/>
    <xf numFmtId="169" fontId="16" fillId="0" borderId="0" xfId="1" applyNumberFormat="1" applyFont="1" applyAlignment="1">
      <alignment horizontal="center"/>
    </xf>
    <xf numFmtId="169" fontId="14" fillId="8" borderId="0" xfId="3" applyNumberFormat="1" applyFont="1" applyFill="1"/>
    <xf numFmtId="3" fontId="14" fillId="8" borderId="0" xfId="0" applyNumberFormat="1" applyFont="1" applyFill="1"/>
    <xf numFmtId="169" fontId="0" fillId="8" borderId="0" xfId="1" applyNumberFormat="1" applyFont="1" applyFill="1"/>
    <xf numFmtId="169" fontId="14" fillId="8" borderId="1" xfId="1" applyNumberFormat="1" applyFont="1" applyFill="1" applyBorder="1"/>
    <xf numFmtId="169" fontId="14" fillId="8" borderId="0" xfId="1" applyNumberFormat="1" applyFont="1" applyFill="1"/>
    <xf numFmtId="169" fontId="0" fillId="8" borderId="0" xfId="1" applyNumberFormat="1" applyFont="1" applyFill="1" applyAlignment="1">
      <alignment wrapText="1"/>
    </xf>
    <xf numFmtId="169" fontId="16" fillId="8" borderId="0" xfId="1" applyNumberFormat="1" applyFont="1" applyFill="1" applyAlignment="1">
      <alignment wrapText="1"/>
    </xf>
    <xf numFmtId="169" fontId="16" fillId="8" borderId="1" xfId="1" applyNumberFormat="1" applyFont="1" applyFill="1" applyBorder="1" applyAlignment="1">
      <alignment wrapText="1"/>
    </xf>
    <xf numFmtId="169" fontId="14" fillId="8" borderId="0" xfId="1" applyNumberFormat="1" applyFont="1" applyFill="1" applyAlignment="1">
      <alignment wrapText="1"/>
    </xf>
    <xf numFmtId="169" fontId="14" fillId="8" borderId="1" xfId="1" applyNumberFormat="1" applyFont="1" applyFill="1" applyBorder="1" applyAlignment="1">
      <alignment wrapText="1"/>
    </xf>
    <xf numFmtId="169" fontId="15" fillId="8" borderId="158" xfId="1" applyNumberFormat="1" applyFont="1" applyFill="1" applyBorder="1" applyAlignment="1">
      <alignment wrapText="1"/>
    </xf>
    <xf numFmtId="169" fontId="15" fillId="8" borderId="8" xfId="1" applyNumberFormat="1" applyFont="1" applyFill="1" applyBorder="1" applyAlignment="1">
      <alignment wrapText="1"/>
    </xf>
    <xf numFmtId="169" fontId="15" fillId="8" borderId="7" xfId="1" applyNumberFormat="1" applyFont="1" applyFill="1" applyBorder="1"/>
    <xf numFmtId="169" fontId="0" fillId="2" borderId="0" xfId="1" applyNumberFormat="1" applyFont="1" applyFill="1" applyAlignment="1">
      <alignment wrapText="1"/>
    </xf>
    <xf numFmtId="169" fontId="14" fillId="2" borderId="1" xfId="1" applyNumberFormat="1" applyFont="1" applyFill="1" applyBorder="1" applyAlignment="1">
      <alignment wrapText="1"/>
    </xf>
    <xf numFmtId="169" fontId="16" fillId="2" borderId="0" xfId="1" applyNumberFormat="1" applyFont="1" applyFill="1" applyAlignment="1">
      <alignment wrapText="1"/>
    </xf>
    <xf numFmtId="169" fontId="16" fillId="2" borderId="1" xfId="1" applyNumberFormat="1" applyFont="1" applyFill="1" applyBorder="1" applyAlignment="1">
      <alignment wrapText="1"/>
    </xf>
    <xf numFmtId="169" fontId="15" fillId="2" borderId="0" xfId="1" applyNumberFormat="1" applyFont="1" applyFill="1" applyAlignment="1">
      <alignment wrapText="1"/>
    </xf>
    <xf numFmtId="169" fontId="15" fillId="2" borderId="1" xfId="1" applyNumberFormat="1" applyFont="1" applyFill="1" applyBorder="1" applyAlignment="1">
      <alignment wrapText="1"/>
    </xf>
    <xf numFmtId="169" fontId="15" fillId="2" borderId="0" xfId="1" applyNumberFormat="1" applyFont="1" applyFill="1"/>
    <xf numFmtId="169" fontId="41" fillId="0" borderId="0" xfId="1" applyNumberFormat="1" applyFont="1"/>
    <xf numFmtId="0" fontId="14" fillId="0" borderId="28" xfId="0" applyFont="1" applyBorder="1" applyAlignment="1">
      <alignment horizontal="center"/>
    </xf>
    <xf numFmtId="169" fontId="19" fillId="0" borderId="0" xfId="1" applyNumberFormat="1" applyFont="1"/>
    <xf numFmtId="169" fontId="19" fillId="0" borderId="1" xfId="1" applyNumberFormat="1" applyFont="1" applyBorder="1"/>
    <xf numFmtId="169" fontId="15" fillId="3" borderId="0" xfId="1" applyNumberFormat="1" applyFont="1" applyFill="1"/>
    <xf numFmtId="0" fontId="14" fillId="0" borderId="2" xfId="0" applyFont="1" applyFill="1" applyBorder="1" applyAlignment="1">
      <alignment horizontal="center" wrapText="1"/>
    </xf>
    <xf numFmtId="9" fontId="38" fillId="2" borderId="21" xfId="0" applyNumberFormat="1" applyFont="1" applyFill="1" applyBorder="1"/>
    <xf numFmtId="9" fontId="38" fillId="0" borderId="0" xfId="0" applyNumberFormat="1" applyFont="1"/>
    <xf numFmtId="9" fontId="0" fillId="0" borderId="0" xfId="0" applyNumberFormat="1"/>
    <xf numFmtId="0" fontId="14" fillId="0" borderId="0" xfId="0" applyFont="1" applyAlignment="1">
      <alignment horizontal="right"/>
    </xf>
    <xf numFmtId="169" fontId="46" fillId="9" borderId="0" xfId="1" applyNumberFormat="1" applyFont="1" applyFill="1" applyAlignment="1">
      <alignment horizontal="left" vertical="top"/>
    </xf>
    <xf numFmtId="169" fontId="46" fillId="9" borderId="1" xfId="1" applyNumberFormat="1" applyFont="1" applyFill="1" applyBorder="1" applyAlignment="1">
      <alignment horizontal="left" vertical="top"/>
    </xf>
    <xf numFmtId="169" fontId="46" fillId="9" borderId="0" xfId="1" applyNumberFormat="1" applyFont="1" applyFill="1"/>
    <xf numFmtId="169" fontId="46" fillId="7" borderId="0" xfId="33" applyNumberFormat="1" applyFont="1" applyFill="1"/>
    <xf numFmtId="0" fontId="47" fillId="10" borderId="0" xfId="14" applyFont="1" applyFill="1" applyBorder="1"/>
    <xf numFmtId="0" fontId="47" fillId="10" borderId="1" xfId="14" applyFont="1" applyFill="1" applyBorder="1"/>
    <xf numFmtId="9" fontId="47" fillId="10" borderId="0" xfId="2" applyFont="1" applyFill="1" applyBorder="1"/>
    <xf numFmtId="9" fontId="0" fillId="0" borderId="0" xfId="8" applyFont="1"/>
    <xf numFmtId="10" fontId="14" fillId="12" borderId="0" xfId="8" applyNumberFormat="1" applyFont="1" applyFill="1"/>
    <xf numFmtId="0" fontId="75" fillId="0" borderId="0" xfId="0" applyFont="1"/>
    <xf numFmtId="9" fontId="14" fillId="12" borderId="0" xfId="8" applyFont="1" applyFill="1" applyBorder="1"/>
    <xf numFmtId="9" fontId="0" fillId="0" borderId="0" xfId="0" applyNumberFormat="1" applyBorder="1"/>
    <xf numFmtId="1" fontId="14" fillId="0" borderId="0" xfId="0" applyNumberFormat="1" applyFont="1"/>
    <xf numFmtId="169" fontId="0" fillId="0" borderId="0" xfId="0" applyNumberFormat="1"/>
    <xf numFmtId="169" fontId="0" fillId="7" borderId="0" xfId="1" applyNumberFormat="1" applyFont="1" applyFill="1"/>
    <xf numFmtId="169" fontId="46" fillId="0" borderId="0" xfId="0" applyNumberFormat="1" applyFont="1"/>
    <xf numFmtId="169" fontId="76" fillId="33" borderId="0" xfId="0" applyNumberFormat="1" applyFont="1" applyFill="1"/>
    <xf numFmtId="169" fontId="0" fillId="9" borderId="0" xfId="1" applyNumberFormat="1" applyFont="1" applyFill="1"/>
    <xf numFmtId="0" fontId="77" fillId="0" borderId="0" xfId="0" applyFont="1"/>
    <xf numFmtId="169" fontId="0" fillId="34" borderId="0" xfId="1" applyNumberFormat="1" applyFont="1" applyFill="1"/>
    <xf numFmtId="169" fontId="46" fillId="10" borderId="0" xfId="0" applyNumberFormat="1" applyFont="1" applyFill="1"/>
    <xf numFmtId="169" fontId="2" fillId="35" borderId="0" xfId="1" applyNumberFormat="1" applyFont="1" applyFill="1"/>
    <xf numFmtId="0" fontId="0" fillId="0" borderId="0" xfId="0" applyFont="1"/>
    <xf numFmtId="169" fontId="0" fillId="35" borderId="0" xfId="0" applyNumberFormat="1" applyFill="1"/>
    <xf numFmtId="0" fontId="0" fillId="35" borderId="0" xfId="0" applyFont="1" applyFill="1"/>
    <xf numFmtId="0" fontId="0" fillId="33" borderId="0" xfId="0" applyFill="1"/>
    <xf numFmtId="0" fontId="0" fillId="9" borderId="0" xfId="0" applyFill="1"/>
    <xf numFmtId="0" fontId="0" fillId="34" borderId="0" xfId="0" applyFill="1"/>
    <xf numFmtId="41" fontId="42" fillId="13" borderId="0" xfId="1" applyNumberFormat="1" applyFont="1" applyFill="1" applyBorder="1"/>
    <xf numFmtId="0" fontId="0" fillId="6" borderId="0" xfId="0" applyFill="1"/>
    <xf numFmtId="169" fontId="0" fillId="6" borderId="0" xfId="1" applyNumberFormat="1" applyFont="1" applyFill="1"/>
    <xf numFmtId="41" fontId="0" fillId="0" borderId="0" xfId="0" applyNumberFormat="1"/>
    <xf numFmtId="0" fontId="14" fillId="0" borderId="0" xfId="146"/>
    <xf numFmtId="0" fontId="78" fillId="0" borderId="0" xfId="146" applyFont="1" applyAlignment="1">
      <alignment horizontal="left"/>
    </xf>
    <xf numFmtId="0" fontId="15" fillId="0" borderId="114" xfId="146" applyFont="1" applyBorder="1" applyAlignment="1">
      <alignment horizontal="left" vertical="center" wrapText="1"/>
    </xf>
    <xf numFmtId="0" fontId="81" fillId="0" borderId="115" xfId="0" applyFont="1" applyFill="1" applyBorder="1"/>
    <xf numFmtId="0" fontId="15" fillId="0" borderId="116" xfId="0" applyFont="1" applyFill="1" applyBorder="1"/>
    <xf numFmtId="0" fontId="15" fillId="0" borderId="0" xfId="146" applyFont="1" applyAlignment="1">
      <alignment vertical="center"/>
    </xf>
    <xf numFmtId="0" fontId="14" fillId="0" borderId="0" xfId="146" applyAlignment="1">
      <alignment vertical="center"/>
    </xf>
    <xf numFmtId="0" fontId="15" fillId="0" borderId="35" xfId="146" applyFont="1" applyBorder="1" applyAlignment="1">
      <alignment horizontal="left" vertical="center" wrapText="1"/>
    </xf>
    <xf numFmtId="14" fontId="82" fillId="0" borderId="17" xfId="146" applyNumberFormat="1" applyFont="1" applyFill="1" applyBorder="1" applyAlignment="1">
      <alignment horizontal="left" vertical="center" wrapText="1"/>
    </xf>
    <xf numFmtId="14" fontId="14" fillId="0" borderId="36" xfId="146" applyNumberFormat="1" applyFont="1" applyFill="1" applyBorder="1" applyAlignment="1">
      <alignment horizontal="left" vertical="center" wrapText="1"/>
    </xf>
    <xf numFmtId="6" fontId="82" fillId="0" borderId="17" xfId="146" applyNumberFormat="1" applyFont="1" applyFill="1" applyBorder="1" applyAlignment="1">
      <alignment horizontal="left" vertical="center" wrapText="1"/>
    </xf>
    <xf numFmtId="6" fontId="14" fillId="0" borderId="36" xfId="146" applyNumberFormat="1" applyFont="1" applyFill="1" applyBorder="1" applyAlignment="1">
      <alignment horizontal="left" vertical="center" wrapText="1"/>
    </xf>
    <xf numFmtId="0" fontId="15" fillId="0" borderId="46" xfId="0" applyFont="1" applyBorder="1" applyAlignment="1">
      <alignment vertical="center"/>
    </xf>
    <xf numFmtId="0" fontId="82" fillId="0" borderId="17" xfId="146" applyFont="1" applyFill="1" applyBorder="1" applyAlignment="1">
      <alignment vertical="center" wrapText="1"/>
    </xf>
    <xf numFmtId="0" fontId="32" fillId="0" borderId="62" xfId="146" applyFont="1" applyFill="1" applyBorder="1" applyAlignment="1">
      <alignment vertical="center" wrapText="1"/>
    </xf>
    <xf numFmtId="0" fontId="15" fillId="0" borderId="166" xfId="0" applyFont="1" applyBorder="1"/>
    <xf numFmtId="9" fontId="82" fillId="0" borderId="167" xfId="146" applyNumberFormat="1" applyFont="1" applyFill="1" applyBorder="1" applyAlignment="1">
      <alignment horizontal="left" vertical="center" wrapText="1"/>
    </xf>
    <xf numFmtId="0" fontId="14" fillId="0" borderId="168" xfId="146" quotePrefix="1" applyFont="1" applyFill="1" applyBorder="1" applyAlignment="1">
      <alignment horizontal="left" vertical="center" wrapText="1"/>
    </xf>
    <xf numFmtId="0" fontId="14" fillId="0" borderId="0" xfId="146" applyFont="1" applyFill="1" applyBorder="1" applyAlignment="1">
      <alignment horizontal="left" vertical="center" wrapText="1"/>
    </xf>
    <xf numFmtId="9" fontId="14" fillId="0" borderId="0" xfId="146" applyNumberFormat="1" applyFont="1" applyBorder="1" applyAlignment="1">
      <alignment horizontal="left" vertical="center" wrapText="1"/>
    </xf>
    <xf numFmtId="0" fontId="15" fillId="0" borderId="0" xfId="0" applyFont="1" applyBorder="1" applyAlignment="1">
      <alignment horizontal="left" wrapText="1"/>
    </xf>
    <xf numFmtId="0" fontId="14" fillId="0" borderId="0" xfId="147" applyFont="1" applyBorder="1" applyAlignment="1">
      <alignment horizontal="left" vertical="top" wrapText="1"/>
    </xf>
    <xf numFmtId="0" fontId="84" fillId="0" borderId="0" xfId="148" applyBorder="1" applyAlignment="1" applyProtection="1">
      <alignment horizontal="left" vertical="top" wrapText="1"/>
    </xf>
    <xf numFmtId="0" fontId="84" fillId="0" borderId="0" xfId="148" applyFont="1" applyBorder="1" applyAlignment="1" applyProtection="1">
      <alignment horizontal="left" vertical="top" wrapText="1"/>
    </xf>
    <xf numFmtId="0" fontId="14" fillId="0" borderId="0" xfId="146" applyFont="1"/>
    <xf numFmtId="0" fontId="84" fillId="0" borderId="0" xfId="148" applyFont="1" applyFill="1" applyBorder="1" applyAlignment="1" applyProtection="1">
      <alignment horizontal="left" vertical="top" wrapText="1"/>
    </xf>
    <xf numFmtId="0" fontId="14" fillId="0" borderId="0" xfId="146" applyFont="1" applyAlignment="1">
      <alignment wrapText="1"/>
    </xf>
    <xf numFmtId="0" fontId="14" fillId="0" borderId="0" xfId="146" applyAlignment="1">
      <alignment wrapText="1"/>
    </xf>
    <xf numFmtId="0" fontId="14" fillId="0" borderId="0" xfId="147" applyFont="1" applyBorder="1" applyAlignment="1">
      <alignment horizontal="left" wrapText="1"/>
    </xf>
    <xf numFmtId="0" fontId="84" fillId="0" borderId="0" xfId="148" applyFont="1" applyBorder="1" applyAlignment="1" applyProtection="1">
      <alignment horizontal="left" wrapText="1"/>
    </xf>
    <xf numFmtId="0" fontId="84" fillId="0" borderId="0" xfId="148" applyNumberFormat="1" applyBorder="1" applyAlignment="1" applyProtection="1">
      <alignment horizontal="left" wrapText="1"/>
    </xf>
    <xf numFmtId="0" fontId="84" fillId="0" borderId="0" xfId="148" applyNumberFormat="1" applyFont="1" applyBorder="1" applyAlignment="1" applyProtection="1">
      <alignment horizontal="left" wrapText="1"/>
    </xf>
    <xf numFmtId="0" fontId="84" fillId="0" borderId="0" xfId="148" applyBorder="1" applyAlignment="1" applyProtection="1">
      <alignment horizontal="left" wrapText="1"/>
    </xf>
    <xf numFmtId="0" fontId="14" fillId="0" borderId="0" xfId="146" applyNumberFormat="1" applyFont="1" applyBorder="1" applyAlignment="1">
      <alignment horizontal="left" wrapText="1"/>
    </xf>
    <xf numFmtId="0" fontId="84" fillId="0" borderId="0" xfId="148" applyAlignment="1" applyProtection="1"/>
    <xf numFmtId="0" fontId="85" fillId="0" borderId="0" xfId="149" applyFont="1" applyAlignment="1">
      <alignment horizontal="right"/>
    </xf>
    <xf numFmtId="0" fontId="14" fillId="0" borderId="0" xfId="149" applyAlignment="1">
      <alignment vertical="center" wrapText="1"/>
    </xf>
    <xf numFmtId="0" fontId="79" fillId="0" borderId="0" xfId="149" applyFont="1" applyAlignment="1">
      <alignment vertical="center" wrapText="1"/>
    </xf>
    <xf numFmtId="0" fontId="86" fillId="0" borderId="0" xfId="149" applyFont="1" applyAlignment="1">
      <alignment vertical="center" wrapText="1"/>
    </xf>
    <xf numFmtId="0" fontId="15" fillId="0" borderId="0" xfId="149" applyFont="1" applyAlignment="1">
      <alignment vertical="center" wrapText="1"/>
    </xf>
    <xf numFmtId="0" fontId="14" fillId="0" borderId="0" xfId="149" applyNumberFormat="1" applyFont="1" applyAlignment="1">
      <alignment vertical="center" wrapText="1"/>
    </xf>
    <xf numFmtId="0" fontId="14" fillId="0" borderId="0" xfId="149" applyFont="1" applyAlignment="1">
      <alignment vertical="center" wrapText="1"/>
    </xf>
    <xf numFmtId="0" fontId="14" fillId="0" borderId="0" xfId="149" applyNumberFormat="1" applyFont="1" applyAlignment="1">
      <alignment horizontal="left" vertical="center" wrapText="1" indent="2"/>
    </xf>
    <xf numFmtId="14" fontId="85" fillId="0" borderId="0" xfId="149" applyNumberFormat="1" applyFont="1" applyAlignment="1">
      <alignment horizontal="right"/>
    </xf>
    <xf numFmtId="0" fontId="85" fillId="0" borderId="0" xfId="146" applyFont="1" applyAlignment="1"/>
    <xf numFmtId="14" fontId="85" fillId="0" borderId="0" xfId="0" applyNumberFormat="1" applyFont="1" applyFill="1" applyAlignment="1">
      <alignment horizontal="right"/>
    </xf>
    <xf numFmtId="0" fontId="14" fillId="0" borderId="0" xfId="150"/>
    <xf numFmtId="0" fontId="79" fillId="0" borderId="0" xfId="0" applyFont="1"/>
    <xf numFmtId="0" fontId="85" fillId="0" borderId="0" xfId="150" applyFont="1" applyAlignment="1">
      <alignment horizontal="right" vertical="top"/>
    </xf>
    <xf numFmtId="0" fontId="14" fillId="0" borderId="0" xfId="151"/>
    <xf numFmtId="0" fontId="80" fillId="0" borderId="0" xfId="150" applyFont="1"/>
    <xf numFmtId="14" fontId="85" fillId="0" borderId="0" xfId="150" applyNumberFormat="1" applyFont="1" applyAlignment="1">
      <alignment horizontal="right" vertical="top"/>
    </xf>
    <xf numFmtId="0" fontId="24" fillId="0" borderId="0" xfId="151" applyFont="1"/>
    <xf numFmtId="0" fontId="88" fillId="0" borderId="19" xfId="151" applyFont="1" applyBorder="1" applyAlignment="1">
      <alignment horizontal="center" vertical="center" wrapText="1"/>
    </xf>
    <xf numFmtId="0" fontId="14" fillId="0" borderId="19" xfId="151" applyFont="1" applyBorder="1" applyAlignment="1">
      <alignment horizontal="center" vertical="center" wrapText="1"/>
    </xf>
    <xf numFmtId="0" fontId="14" fillId="0" borderId="24" xfId="151" applyFont="1" applyBorder="1" applyAlignment="1">
      <alignment horizontal="center" vertical="center" wrapText="1"/>
    </xf>
    <xf numFmtId="0" fontId="89" fillId="0" borderId="41" xfId="151" applyFont="1" applyBorder="1" applyAlignment="1">
      <alignment horizontal="center" vertical="center" wrapText="1"/>
    </xf>
    <xf numFmtId="0" fontId="14" fillId="0" borderId="0" xfId="151" applyFont="1"/>
    <xf numFmtId="0" fontId="14" fillId="0" borderId="21" xfId="151" applyFill="1" applyBorder="1" applyAlignment="1">
      <alignment vertical="center"/>
    </xf>
    <xf numFmtId="0" fontId="14" fillId="0" borderId="0" xfId="151" applyBorder="1" applyAlignment="1">
      <alignment vertical="center" wrapText="1"/>
    </xf>
    <xf numFmtId="9" fontId="88" fillId="36" borderId="27" xfId="151" applyNumberFormat="1" applyFont="1" applyFill="1" applyBorder="1" applyAlignment="1">
      <alignment horizontal="center" vertical="center"/>
    </xf>
    <xf numFmtId="9" fontId="14" fillId="0" borderId="21" xfId="151" applyNumberFormat="1" applyBorder="1" applyAlignment="1">
      <alignment horizontal="center" vertical="center"/>
    </xf>
    <xf numFmtId="9" fontId="0" fillId="0" borderId="1" xfId="24" applyFont="1" applyBorder="1" applyAlignment="1">
      <alignment horizontal="center" vertical="center"/>
    </xf>
    <xf numFmtId="9" fontId="14" fillId="3" borderId="21" xfId="151" applyNumberFormat="1" applyFont="1" applyFill="1" applyBorder="1" applyAlignment="1">
      <alignment horizontal="center" vertical="center"/>
    </xf>
    <xf numFmtId="0" fontId="90" fillId="0" borderId="20" xfId="151" applyFont="1" applyFill="1" applyBorder="1" applyAlignment="1">
      <alignment horizontal="center" vertical="center" wrapText="1"/>
    </xf>
    <xf numFmtId="0" fontId="14" fillId="0" borderId="20" xfId="151" applyFill="1" applyBorder="1" applyAlignment="1">
      <alignment vertical="center"/>
    </xf>
    <xf numFmtId="0" fontId="14" fillId="0" borderId="11" xfId="151" applyBorder="1" applyAlignment="1">
      <alignment vertical="center" wrapText="1"/>
    </xf>
    <xf numFmtId="9" fontId="88" fillId="36" borderId="15" xfId="151" applyNumberFormat="1" applyFont="1" applyFill="1" applyBorder="1" applyAlignment="1">
      <alignment horizontal="center" vertical="center"/>
    </xf>
    <xf numFmtId="9" fontId="14" fillId="0" borderId="20" xfId="151" applyNumberFormat="1" applyBorder="1" applyAlignment="1">
      <alignment horizontal="center" vertical="center"/>
    </xf>
    <xf numFmtId="9" fontId="0" fillId="0" borderId="9" xfId="24" applyFont="1" applyBorder="1" applyAlignment="1">
      <alignment horizontal="center" vertical="center"/>
    </xf>
    <xf numFmtId="9" fontId="14" fillId="3" borderId="20" xfId="151" applyNumberFormat="1" applyFont="1" applyFill="1" applyBorder="1" applyAlignment="1">
      <alignment horizontal="center" vertical="center"/>
    </xf>
    <xf numFmtId="0" fontId="15" fillId="0" borderId="2" xfId="151" applyFont="1" applyFill="1" applyBorder="1" applyAlignment="1">
      <alignment vertical="center" wrapText="1"/>
    </xf>
    <xf numFmtId="0" fontId="14" fillId="0" borderId="41" xfId="151" applyBorder="1" applyAlignment="1">
      <alignment vertical="center"/>
    </xf>
    <xf numFmtId="0" fontId="14" fillId="0" borderId="20" xfId="151" applyBorder="1" applyAlignment="1">
      <alignment vertical="center"/>
    </xf>
    <xf numFmtId="0" fontId="15" fillId="0" borderId="0" xfId="151" applyFont="1" applyFill="1" applyAlignment="1">
      <alignment horizontal="left" vertical="center" wrapText="1"/>
    </xf>
    <xf numFmtId="0" fontId="15" fillId="0" borderId="0" xfId="151" applyFont="1" applyAlignment="1">
      <alignment horizontal="right"/>
    </xf>
    <xf numFmtId="168" fontId="93" fillId="37" borderId="17" xfId="24" applyNumberFormat="1" applyFont="1" applyFill="1" applyBorder="1" applyAlignment="1">
      <alignment horizontal="center" vertical="center"/>
    </xf>
    <xf numFmtId="168" fontId="92" fillId="0" borderId="0" xfId="24" applyNumberFormat="1" applyFont="1" applyFill="1" applyBorder="1" applyAlignment="1">
      <alignment horizontal="center"/>
    </xf>
    <xf numFmtId="6" fontId="15" fillId="0" borderId="0" xfId="151" applyNumberFormat="1" applyFont="1" applyFill="1" applyBorder="1" applyAlignment="1">
      <alignment horizontal="center" vertical="center"/>
    </xf>
    <xf numFmtId="0" fontId="14" fillId="0" borderId="17" xfId="151" applyFont="1" applyBorder="1"/>
    <xf numFmtId="0" fontId="94" fillId="0" borderId="17" xfId="151" applyFont="1" applyBorder="1" applyAlignment="1">
      <alignment horizontal="center"/>
    </xf>
    <xf numFmtId="168" fontId="94" fillId="0" borderId="17" xfId="24" applyNumberFormat="1" applyFont="1" applyFill="1" applyBorder="1" applyAlignment="1">
      <alignment horizontal="center"/>
    </xf>
    <xf numFmtId="0" fontId="15" fillId="0" borderId="17" xfId="151" applyFont="1" applyBorder="1" applyAlignment="1">
      <alignment horizontal="center"/>
    </xf>
    <xf numFmtId="0" fontId="15" fillId="0" borderId="17" xfId="151" applyFont="1" applyBorder="1"/>
    <xf numFmtId="9" fontId="82" fillId="0" borderId="17" xfId="151" applyNumberFormat="1" applyFont="1" applyBorder="1" applyAlignment="1">
      <alignment horizontal="center"/>
    </xf>
    <xf numFmtId="168" fontId="15" fillId="0" borderId="17" xfId="151" applyNumberFormat="1" applyFont="1" applyBorder="1" applyAlignment="1">
      <alignment horizontal="center"/>
    </xf>
    <xf numFmtId="14" fontId="82" fillId="0" borderId="17" xfId="146" applyNumberFormat="1" applyFont="1" applyBorder="1" applyAlignment="1">
      <alignment horizontal="center" vertical="center" wrapText="1"/>
    </xf>
    <xf numFmtId="14" fontId="82" fillId="0" borderId="17" xfId="146" applyNumberFormat="1" applyFont="1" applyFill="1" applyBorder="1" applyAlignment="1">
      <alignment horizontal="center" vertical="center" wrapText="1"/>
    </xf>
    <xf numFmtId="14" fontId="15" fillId="0" borderId="17" xfId="146" applyNumberFormat="1" applyFont="1" applyFill="1" applyBorder="1" applyAlignment="1">
      <alignment horizontal="center" vertical="center" wrapText="1"/>
    </xf>
    <xf numFmtId="0" fontId="15" fillId="0" borderId="0" xfId="0" applyFont="1" applyFill="1" applyAlignment="1">
      <alignment horizontal="right"/>
    </xf>
    <xf numFmtId="172" fontId="15" fillId="0" borderId="17" xfId="21" applyNumberFormat="1" applyFont="1" applyFill="1" applyBorder="1"/>
    <xf numFmtId="172" fontId="15" fillId="0" borderId="0" xfId="21" applyNumberFormat="1" applyFont="1" applyFill="1"/>
    <xf numFmtId="0" fontId="14" fillId="0" borderId="0" xfId="151" applyFill="1"/>
    <xf numFmtId="0" fontId="17" fillId="0" borderId="0" xfId="151" applyFont="1"/>
    <xf numFmtId="0" fontId="0" fillId="0" borderId="17" xfId="0" applyBorder="1"/>
    <xf numFmtId="9" fontId="88" fillId="0" borderId="17" xfId="151" applyNumberFormat="1" applyFont="1" applyFill="1" applyBorder="1" applyAlignment="1">
      <alignment horizontal="center" vertical="center"/>
    </xf>
    <xf numFmtId="0" fontId="14" fillId="0" borderId="21" xfId="151" applyBorder="1" applyAlignment="1">
      <alignment vertical="center"/>
    </xf>
    <xf numFmtId="0" fontId="15" fillId="0" borderId="13" xfId="151" applyFont="1" applyFill="1" applyBorder="1" applyAlignment="1">
      <alignment vertical="center" wrapText="1"/>
    </xf>
    <xf numFmtId="164" fontId="88" fillId="36" borderId="12" xfId="24" applyNumberFormat="1" applyFont="1" applyFill="1" applyBorder="1" applyAlignment="1">
      <alignment horizontal="center" vertical="center"/>
    </xf>
    <xf numFmtId="164" fontId="14" fillId="3" borderId="41" xfId="24" applyNumberFormat="1" applyFont="1" applyFill="1" applyBorder="1" applyAlignment="1">
      <alignment horizontal="center" vertical="center"/>
    </xf>
    <xf numFmtId="164" fontId="14" fillId="28" borderId="41" xfId="24" applyNumberFormat="1" applyFont="1" applyFill="1" applyBorder="1" applyAlignment="1">
      <alignment horizontal="center" vertical="center"/>
    </xf>
    <xf numFmtId="164" fontId="88" fillId="36" borderId="27" xfId="24" applyNumberFormat="1" applyFont="1" applyFill="1" applyBorder="1" applyAlignment="1">
      <alignment horizontal="center" vertical="center"/>
    </xf>
    <xf numFmtId="164" fontId="14" fillId="28" borderId="21" xfId="24" applyNumberFormat="1" applyFont="1" applyFill="1" applyBorder="1" applyAlignment="1">
      <alignment horizontal="center" vertical="center"/>
    </xf>
    <xf numFmtId="164" fontId="14" fillId="3" borderId="21" xfId="24" applyNumberFormat="1" applyFont="1" applyFill="1" applyBorder="1" applyAlignment="1">
      <alignment horizontal="center" vertical="center"/>
    </xf>
    <xf numFmtId="10" fontId="14" fillId="3" borderId="20" xfId="13" applyNumberFormat="1" applyFont="1" applyFill="1" applyBorder="1" applyAlignment="1">
      <alignment horizontal="center" vertical="center"/>
    </xf>
    <xf numFmtId="10" fontId="14" fillId="28" borderId="20" xfId="24" applyNumberFormat="1" applyFont="1" applyFill="1" applyBorder="1" applyAlignment="1">
      <alignment horizontal="center" vertical="center"/>
    </xf>
    <xf numFmtId="10" fontId="88" fillId="36" borderId="15" xfId="13" quotePrefix="1" applyNumberFormat="1" applyFont="1" applyFill="1" applyBorder="1" applyAlignment="1">
      <alignment horizontal="center" vertical="center"/>
    </xf>
    <xf numFmtId="0" fontId="84" fillId="0" borderId="0" xfId="148" applyFill="1" applyBorder="1" applyAlignment="1" applyProtection="1">
      <alignment horizontal="left" vertical="top" wrapText="1"/>
    </xf>
    <xf numFmtId="168" fontId="82" fillId="0" borderId="17" xfId="151" applyNumberFormat="1" applyFont="1" applyBorder="1" applyAlignment="1">
      <alignment horizontal="center"/>
    </xf>
    <xf numFmtId="0" fontId="82" fillId="0" borderId="28" xfId="149" applyFont="1" applyBorder="1" applyAlignment="1">
      <alignment vertical="center" wrapText="1"/>
    </xf>
    <xf numFmtId="0" fontId="15" fillId="0" borderId="0" xfId="149" applyNumberFormat="1" applyFont="1" applyAlignment="1">
      <alignment vertical="center" wrapText="1"/>
    </xf>
    <xf numFmtId="0" fontId="93" fillId="30" borderId="0" xfId="0" applyFont="1" applyFill="1"/>
    <xf numFmtId="0" fontId="14" fillId="10" borderId="0" xfId="125" applyFill="1"/>
    <xf numFmtId="0" fontId="14" fillId="10" borderId="0" xfId="125" applyFill="1" applyBorder="1"/>
    <xf numFmtId="0" fontId="0" fillId="10" borderId="0" xfId="0" applyFill="1"/>
    <xf numFmtId="0" fontId="78" fillId="0" borderId="0" xfId="146" applyFont="1" applyAlignment="1">
      <alignment horizontal="right"/>
    </xf>
    <xf numFmtId="0" fontId="96" fillId="10" borderId="0" xfId="125" applyFont="1" applyFill="1" applyBorder="1" applyAlignment="1"/>
    <xf numFmtId="0" fontId="97" fillId="10" borderId="0" xfId="125" applyFont="1" applyFill="1" applyBorder="1"/>
    <xf numFmtId="0" fontId="14" fillId="10" borderId="0" xfId="125" applyFont="1" applyFill="1" applyBorder="1"/>
    <xf numFmtId="0" fontId="98" fillId="10" borderId="0" xfId="125" applyFont="1" applyFill="1" applyBorder="1" applyAlignment="1">
      <alignment horizontal="right"/>
    </xf>
    <xf numFmtId="0" fontId="14" fillId="10" borderId="169" xfId="125" applyFill="1" applyBorder="1"/>
    <xf numFmtId="0" fontId="69" fillId="10" borderId="170" xfId="125" applyFont="1" applyFill="1" applyBorder="1" applyAlignment="1">
      <alignment wrapText="1"/>
    </xf>
    <xf numFmtId="165" fontId="69" fillId="10" borderId="170" xfId="125" applyNumberFormat="1" applyFont="1" applyFill="1" applyBorder="1" applyAlignment="1">
      <alignment horizontal="right" wrapText="1"/>
    </xf>
    <xf numFmtId="0" fontId="14" fillId="10" borderId="170" xfId="125" applyFont="1" applyFill="1" applyBorder="1"/>
    <xf numFmtId="0" fontId="14" fillId="10" borderId="171" xfId="125" applyFill="1" applyBorder="1"/>
    <xf numFmtId="0" fontId="14" fillId="10" borderId="172" xfId="125" applyFill="1" applyBorder="1"/>
    <xf numFmtId="0" fontId="99" fillId="10" borderId="0" xfId="125" applyFont="1" applyFill="1" applyBorder="1" applyAlignment="1">
      <alignment wrapText="1"/>
    </xf>
    <xf numFmtId="164" fontId="99" fillId="7" borderId="0" xfId="125" applyNumberFormat="1" applyFont="1" applyFill="1" applyBorder="1" applyAlignment="1">
      <alignment horizontal="center" wrapText="1"/>
    </xf>
    <xf numFmtId="0" fontId="69" fillId="10" borderId="0" xfId="125" applyFont="1" applyFill="1" applyBorder="1"/>
    <xf numFmtId="175" fontId="99" fillId="10" borderId="0" xfId="125" applyNumberFormat="1" applyFont="1" applyFill="1" applyBorder="1" applyAlignment="1">
      <alignment horizontal="center" wrapText="1"/>
    </xf>
    <xf numFmtId="0" fontId="14" fillId="10" borderId="173" xfId="125" applyFill="1" applyBorder="1"/>
    <xf numFmtId="168" fontId="99" fillId="7" borderId="0" xfId="24" applyNumberFormat="1" applyFont="1" applyFill="1" applyBorder="1" applyAlignment="1">
      <alignment horizontal="center" wrapText="1"/>
    </xf>
    <xf numFmtId="0" fontId="99" fillId="10" borderId="0" xfId="125" applyFont="1" applyFill="1" applyBorder="1" applyAlignment="1"/>
    <xf numFmtId="164" fontId="99" fillId="7" borderId="0" xfId="125" applyNumberFormat="1" applyFont="1" applyFill="1" applyBorder="1" applyAlignment="1">
      <alignment horizontal="center"/>
    </xf>
    <xf numFmtId="0" fontId="1" fillId="0" borderId="0" xfId="153"/>
    <xf numFmtId="176" fontId="99" fillId="10" borderId="0" xfId="125" applyNumberFormat="1" applyFont="1" applyFill="1" applyBorder="1" applyAlignment="1">
      <alignment horizontal="center"/>
    </xf>
    <xf numFmtId="0" fontId="99" fillId="10" borderId="174" xfId="125" applyFont="1" applyFill="1" applyBorder="1" applyAlignment="1"/>
    <xf numFmtId="0" fontId="99" fillId="10" borderId="174" xfId="125" applyFont="1" applyFill="1" applyBorder="1" applyAlignment="1">
      <alignment horizontal="center"/>
    </xf>
    <xf numFmtId="0" fontId="99" fillId="10" borderId="174" xfId="125" applyFont="1" applyFill="1" applyBorder="1" applyAlignment="1">
      <alignment horizontal="right"/>
    </xf>
    <xf numFmtId="0" fontId="99" fillId="10" borderId="175" xfId="125" applyFont="1" applyFill="1" applyBorder="1" applyAlignment="1"/>
    <xf numFmtId="0" fontId="99" fillId="10" borderId="175" xfId="125" applyFont="1" applyFill="1" applyBorder="1" applyAlignment="1">
      <alignment horizontal="center"/>
    </xf>
    <xf numFmtId="0" fontId="99" fillId="10" borderId="175" xfId="125" applyFont="1" applyFill="1" applyBorder="1" applyAlignment="1">
      <alignment horizontal="right"/>
    </xf>
    <xf numFmtId="3" fontId="69" fillId="7" borderId="0" xfId="125" applyNumberFormat="1" applyFont="1" applyFill="1" applyBorder="1" applyAlignment="1">
      <alignment horizontal="center" wrapText="1"/>
    </xf>
    <xf numFmtId="0" fontId="69" fillId="10" borderId="0" xfId="125" applyFont="1" applyFill="1" applyBorder="1" applyAlignment="1">
      <alignment horizontal="right" indent="2"/>
    </xf>
    <xf numFmtId="0" fontId="99" fillId="10" borderId="0" xfId="125" applyFont="1" applyFill="1" applyBorder="1" applyAlignment="1">
      <alignment horizontal="center" wrapText="1"/>
    </xf>
    <xf numFmtId="0" fontId="69" fillId="10" borderId="0" xfId="125" applyFont="1" applyFill="1" applyBorder="1" applyAlignment="1">
      <alignment wrapText="1"/>
    </xf>
    <xf numFmtId="169" fontId="69" fillId="10" borderId="0" xfId="13" applyNumberFormat="1" applyFont="1" applyFill="1" applyBorder="1" applyAlignment="1">
      <alignment horizontal="center" wrapText="1"/>
    </xf>
    <xf numFmtId="3" fontId="69" fillId="7" borderId="0" xfId="125" applyNumberFormat="1" applyFont="1" applyFill="1" applyBorder="1" applyAlignment="1">
      <alignment horizontal="center"/>
    </xf>
    <xf numFmtId="0" fontId="69" fillId="10" borderId="0" xfId="125" applyFont="1" applyFill="1" applyBorder="1" applyAlignment="1">
      <alignment horizontal="center"/>
    </xf>
    <xf numFmtId="0" fontId="14" fillId="10" borderId="0" xfId="0" applyFont="1" applyFill="1"/>
    <xf numFmtId="3" fontId="69" fillId="10" borderId="0" xfId="125" applyNumberFormat="1" applyFont="1" applyFill="1" applyBorder="1" applyAlignment="1">
      <alignment horizontal="center"/>
    </xf>
    <xf numFmtId="9" fontId="69" fillId="7" borderId="0" xfId="125" applyNumberFormat="1" applyFont="1" applyFill="1" applyBorder="1" applyAlignment="1">
      <alignment horizontal="center" wrapText="1"/>
    </xf>
    <xf numFmtId="10" fontId="0" fillId="10" borderId="0" xfId="0" applyNumberFormat="1" applyFill="1"/>
    <xf numFmtId="0" fontId="69" fillId="10" borderId="174" xfId="125" applyFont="1" applyFill="1" applyBorder="1" applyAlignment="1">
      <alignment wrapText="1"/>
    </xf>
    <xf numFmtId="0" fontId="69" fillId="10" borderId="174" xfId="125" applyFont="1" applyFill="1" applyBorder="1" applyAlignment="1">
      <alignment horizontal="center"/>
    </xf>
    <xf numFmtId="0" fontId="69" fillId="10" borderId="174" xfId="125" applyFont="1" applyFill="1" applyBorder="1" applyAlignment="1">
      <alignment horizontal="right" indent="2"/>
    </xf>
    <xf numFmtId="0" fontId="95" fillId="10" borderId="172" xfId="125" applyFont="1" applyFill="1" applyBorder="1"/>
    <xf numFmtId="0" fontId="69" fillId="10" borderId="175" xfId="125" applyFont="1" applyFill="1" applyBorder="1"/>
    <xf numFmtId="0" fontId="103" fillId="10" borderId="175" xfId="125" applyFont="1" applyFill="1" applyBorder="1" applyAlignment="1">
      <alignment horizontal="center"/>
    </xf>
    <xf numFmtId="0" fontId="103" fillId="10" borderId="175" xfId="125" applyFont="1" applyFill="1" applyBorder="1" applyAlignment="1">
      <alignment horizontal="right" indent="2"/>
    </xf>
    <xf numFmtId="9" fontId="103" fillId="10" borderId="175" xfId="24" applyFont="1" applyFill="1" applyBorder="1" applyAlignment="1">
      <alignment horizontal="center"/>
    </xf>
    <xf numFmtId="165" fontId="69" fillId="38" borderId="0" xfId="125" applyNumberFormat="1" applyFont="1" applyFill="1" applyBorder="1" applyAlignment="1">
      <alignment horizontal="center" vertical="center"/>
    </xf>
    <xf numFmtId="0" fontId="69" fillId="38" borderId="0" xfId="125" applyFont="1" applyFill="1" applyBorder="1" applyAlignment="1">
      <alignment horizontal="left" vertical="center" indent="2"/>
    </xf>
    <xf numFmtId="165" fontId="69" fillId="7" borderId="0" xfId="125" applyNumberFormat="1" applyFont="1" applyFill="1" applyBorder="1" applyAlignment="1">
      <alignment horizontal="center" vertical="center"/>
    </xf>
    <xf numFmtId="0" fontId="69" fillId="10" borderId="174" xfId="125" applyFont="1" applyFill="1" applyBorder="1"/>
    <xf numFmtId="9" fontId="69" fillId="38" borderId="174" xfId="24" applyNumberFormat="1" applyFont="1" applyFill="1" applyBorder="1" applyAlignment="1">
      <alignment horizontal="center"/>
    </xf>
    <xf numFmtId="0" fontId="103" fillId="38" borderId="174" xfId="125" applyFont="1" applyFill="1" applyBorder="1" applyAlignment="1">
      <alignment horizontal="right" indent="2"/>
    </xf>
    <xf numFmtId="9" fontId="69" fillId="7" borderId="174" xfId="125" applyNumberFormat="1" applyFont="1" applyFill="1" applyBorder="1" applyAlignment="1">
      <alignment horizontal="center" wrapText="1"/>
    </xf>
    <xf numFmtId="0" fontId="69" fillId="10" borderId="175" xfId="125" applyFont="1" applyFill="1" applyBorder="1" applyAlignment="1">
      <alignment wrapText="1"/>
    </xf>
    <xf numFmtId="9" fontId="103" fillId="10" borderId="175" xfId="125" applyNumberFormat="1" applyFont="1" applyFill="1" applyBorder="1" applyAlignment="1">
      <alignment horizontal="center"/>
    </xf>
    <xf numFmtId="0" fontId="103" fillId="10" borderId="174" xfId="125" applyFont="1" applyFill="1" applyBorder="1" applyAlignment="1">
      <alignment horizontal="center"/>
    </xf>
    <xf numFmtId="0" fontId="103" fillId="10" borderId="174" xfId="125" applyFont="1" applyFill="1" applyBorder="1" applyAlignment="1">
      <alignment horizontal="right" indent="2"/>
    </xf>
    <xf numFmtId="0" fontId="103" fillId="10" borderId="0" xfId="125" applyFont="1" applyFill="1" applyBorder="1" applyAlignment="1">
      <alignment horizontal="center"/>
    </xf>
    <xf numFmtId="0" fontId="103" fillId="10" borderId="0" xfId="125" applyFont="1" applyFill="1" applyBorder="1" applyAlignment="1">
      <alignment horizontal="right" indent="2"/>
    </xf>
    <xf numFmtId="2" fontId="69" fillId="38" borderId="174" xfId="21" applyNumberFormat="1" applyFont="1" applyFill="1" applyBorder="1" applyAlignment="1">
      <alignment horizontal="center"/>
    </xf>
    <xf numFmtId="2" fontId="69" fillId="38" borderId="174" xfId="21" applyNumberFormat="1" applyFont="1" applyFill="1" applyBorder="1" applyAlignment="1">
      <alignment horizontal="right" indent="2"/>
    </xf>
    <xf numFmtId="2" fontId="69" fillId="38" borderId="174" xfId="21" applyNumberFormat="1" applyFont="1" applyFill="1" applyBorder="1" applyAlignment="1">
      <alignment horizontal="center" wrapText="1"/>
    </xf>
    <xf numFmtId="9" fontId="103" fillId="10" borderId="175" xfId="125" applyNumberFormat="1" applyFont="1" applyFill="1" applyBorder="1" applyAlignment="1">
      <alignment horizontal="right" indent="1"/>
    </xf>
    <xf numFmtId="9" fontId="69" fillId="7" borderId="0" xfId="24" applyFont="1" applyFill="1" applyBorder="1" applyAlignment="1">
      <alignment horizontal="center"/>
    </xf>
    <xf numFmtId="44" fontId="69" fillId="10" borderId="0" xfId="21" applyFont="1" applyFill="1" applyBorder="1" applyAlignment="1">
      <alignment horizontal="right" indent="2"/>
    </xf>
    <xf numFmtId="7" fontId="69" fillId="10" borderId="0" xfId="21" applyNumberFormat="1" applyFont="1" applyFill="1" applyBorder="1" applyAlignment="1">
      <alignment horizontal="right" wrapText="1" indent="1"/>
    </xf>
    <xf numFmtId="7" fontId="69" fillId="10" borderId="0" xfId="21" applyNumberFormat="1" applyFont="1" applyFill="1" applyBorder="1" applyAlignment="1">
      <alignment horizontal="center"/>
    </xf>
    <xf numFmtId="165" fontId="69" fillId="7" borderId="0" xfId="125" applyNumberFormat="1" applyFont="1" applyFill="1" applyBorder="1" applyAlignment="1">
      <alignment horizontal="center" wrapText="1"/>
    </xf>
    <xf numFmtId="0" fontId="69" fillId="10" borderId="176" xfId="125" applyFont="1" applyFill="1" applyBorder="1" applyAlignment="1">
      <alignment wrapText="1"/>
    </xf>
    <xf numFmtId="0" fontId="69" fillId="10" borderId="176" xfId="125" applyFont="1" applyFill="1" applyBorder="1"/>
    <xf numFmtId="165" fontId="69" fillId="10" borderId="177" xfId="125" applyNumberFormat="1" applyFont="1" applyFill="1" applyBorder="1" applyAlignment="1">
      <alignment horizontal="right" wrapText="1"/>
    </xf>
    <xf numFmtId="0" fontId="17" fillId="7" borderId="0" xfId="125" applyFont="1" applyFill="1" applyBorder="1" applyAlignment="1"/>
    <xf numFmtId="0" fontId="69" fillId="7" borderId="0" xfId="125" applyFont="1" applyFill="1" applyBorder="1" applyAlignment="1"/>
    <xf numFmtId="0" fontId="69" fillId="7" borderId="0" xfId="125" applyFont="1" applyFill="1" applyBorder="1"/>
    <xf numFmtId="9" fontId="69" fillId="7" borderId="0" xfId="125" applyNumberFormat="1" applyFont="1" applyFill="1" applyBorder="1" applyAlignment="1">
      <alignment wrapText="1"/>
    </xf>
    <xf numFmtId="0" fontId="102" fillId="7" borderId="0" xfId="125" applyFont="1" applyFill="1" applyBorder="1" applyAlignment="1">
      <alignment horizontal="left"/>
    </xf>
    <xf numFmtId="0" fontId="102" fillId="7" borderId="0" xfId="125" applyFont="1" applyFill="1" applyBorder="1"/>
    <xf numFmtId="0" fontId="14" fillId="7" borderId="0" xfId="125" applyFill="1" applyBorder="1"/>
    <xf numFmtId="0" fontId="14" fillId="10" borderId="178" xfId="125" applyFill="1" applyBorder="1"/>
    <xf numFmtId="0" fontId="102" fillId="10" borderId="179" xfId="125" applyFont="1" applyFill="1" applyBorder="1"/>
    <xf numFmtId="0" fontId="14" fillId="10" borderId="179" xfId="125" applyFill="1" applyBorder="1"/>
    <xf numFmtId="0" fontId="14" fillId="10" borderId="180" xfId="125" applyFill="1" applyBorder="1"/>
    <xf numFmtId="0" fontId="39" fillId="0" borderId="0" xfId="0" applyFont="1" applyFill="1" applyBorder="1"/>
    <xf numFmtId="0" fontId="14" fillId="39" borderId="13" xfId="152" applyFont="1" applyFill="1" applyBorder="1" applyAlignment="1">
      <alignment vertical="center" wrapText="1"/>
    </xf>
    <xf numFmtId="0" fontId="14" fillId="39" borderId="0" xfId="152" applyFont="1" applyFill="1" applyBorder="1" applyAlignment="1">
      <alignment vertical="center" wrapText="1"/>
    </xf>
    <xf numFmtId="0" fontId="14" fillId="39" borderId="11" xfId="152" applyFont="1" applyFill="1" applyBorder="1" applyAlignment="1">
      <alignment vertical="center" wrapText="1"/>
    </xf>
    <xf numFmtId="164" fontId="14" fillId="39" borderId="13" xfId="24" applyNumberFormat="1" applyFont="1" applyFill="1" applyBorder="1" applyAlignment="1">
      <alignment horizontal="center" vertical="center"/>
    </xf>
    <xf numFmtId="164" fontId="14" fillId="39" borderId="0" xfId="24" applyNumberFormat="1" applyFont="1" applyFill="1" applyBorder="1" applyAlignment="1">
      <alignment horizontal="center" vertical="center"/>
    </xf>
    <xf numFmtId="0" fontId="14" fillId="39" borderId="11" xfId="152" applyFont="1" applyFill="1" applyBorder="1" applyAlignment="1">
      <alignment horizontal="center" vertical="center"/>
    </xf>
    <xf numFmtId="0" fontId="79" fillId="0" borderId="7" xfId="0" applyFont="1" applyBorder="1"/>
    <xf numFmtId="0" fontId="104" fillId="0" borderId="0" xfId="14" applyFont="1"/>
    <xf numFmtId="0" fontId="104" fillId="0" borderId="0" xfId="29" applyFont="1"/>
    <xf numFmtId="0" fontId="14" fillId="0" borderId="0" xfId="0" applyFont="1" applyAlignment="1">
      <alignment horizontal="justify" vertical="center"/>
    </xf>
    <xf numFmtId="0" fontId="32" fillId="0" borderId="36" xfId="146" applyFont="1" applyFill="1" applyBorder="1" applyAlignment="1">
      <alignment horizontal="left" vertical="center" wrapText="1"/>
    </xf>
    <xf numFmtId="0" fontId="14" fillId="0" borderId="0" xfId="146" applyNumberFormat="1" applyFont="1" applyBorder="1" applyAlignment="1">
      <alignment horizontal="left" wrapText="1"/>
    </xf>
    <xf numFmtId="0" fontId="79" fillId="0" borderId="0" xfId="146" applyFont="1" applyAlignment="1">
      <alignment horizontal="center" vertical="center"/>
    </xf>
    <xf numFmtId="0" fontId="80" fillId="0" borderId="0" xfId="146" applyFont="1" applyBorder="1" applyAlignment="1">
      <alignment horizontal="center"/>
    </xf>
    <xf numFmtId="0" fontId="15" fillId="0" borderId="46" xfId="146" applyFont="1" applyBorder="1" applyAlignment="1">
      <alignment horizontal="center" vertical="center" wrapText="1"/>
    </xf>
    <xf numFmtId="0" fontId="15" fillId="0" borderId="164" xfId="146" applyFont="1" applyBorder="1" applyAlignment="1">
      <alignment horizontal="center" vertical="center" wrapText="1"/>
    </xf>
    <xf numFmtId="0" fontId="15" fillId="0" borderId="63" xfId="146" applyFont="1" applyBorder="1" applyAlignment="1">
      <alignment horizontal="center" vertical="center" wrapText="1"/>
    </xf>
    <xf numFmtId="0" fontId="14" fillId="0" borderId="0" xfId="147" applyFont="1" applyBorder="1" applyAlignment="1">
      <alignment horizontal="left" vertical="top" wrapText="1"/>
    </xf>
    <xf numFmtId="0" fontId="14" fillId="0" borderId="0" xfId="147" applyFont="1" applyBorder="1" applyAlignment="1">
      <alignment horizontal="left" wrapText="1"/>
    </xf>
    <xf numFmtId="0" fontId="14" fillId="0" borderId="0" xfId="147" applyNumberFormat="1" applyFont="1" applyBorder="1" applyAlignment="1">
      <alignment horizontal="left" wrapText="1"/>
    </xf>
    <xf numFmtId="0" fontId="82" fillId="0" borderId="41" xfId="0" applyFont="1" applyFill="1" applyBorder="1" applyAlignment="1">
      <alignment horizontal="left" vertical="top" wrapText="1"/>
    </xf>
    <xf numFmtId="0" fontId="82" fillId="0" borderId="21" xfId="0" applyFont="1" applyFill="1" applyBorder="1" applyAlignment="1">
      <alignment horizontal="left" vertical="top" wrapText="1"/>
    </xf>
    <xf numFmtId="0" fontId="82" fillId="0" borderId="20" xfId="0" applyFont="1" applyFill="1" applyBorder="1" applyAlignment="1">
      <alignment horizontal="left" vertical="top" wrapText="1"/>
    </xf>
    <xf numFmtId="0" fontId="14" fillId="0" borderId="181" xfId="0" applyFont="1" applyFill="1" applyBorder="1" applyAlignment="1">
      <alignment horizontal="left" vertical="center" wrapText="1"/>
    </xf>
    <xf numFmtId="0" fontId="14" fillId="0" borderId="165" xfId="0" applyFont="1" applyFill="1" applyBorder="1" applyAlignment="1">
      <alignment horizontal="left" vertical="center" wrapText="1"/>
    </xf>
    <xf numFmtId="0" fontId="14" fillId="0" borderId="62" xfId="0" applyFont="1" applyFill="1" applyBorder="1" applyAlignment="1">
      <alignment horizontal="left" vertical="center" wrapText="1"/>
    </xf>
    <xf numFmtId="0" fontId="91" fillId="0" borderId="0" xfId="151" applyFont="1" applyBorder="1" applyAlignment="1">
      <alignment horizontal="center" vertical="center" wrapText="1"/>
    </xf>
    <xf numFmtId="0" fontId="14" fillId="0" borderId="0" xfId="151" applyBorder="1" applyAlignment="1">
      <alignment horizontal="center"/>
    </xf>
    <xf numFmtId="0" fontId="15" fillId="0" borderId="0" xfId="151" applyFont="1" applyFill="1" applyAlignment="1">
      <alignment horizontal="left" vertical="center" wrapText="1"/>
    </xf>
    <xf numFmtId="0" fontId="17" fillId="0" borderId="0" xfId="151" applyFont="1" applyAlignment="1">
      <alignment horizontal="left" vertical="top" wrapText="1"/>
    </xf>
    <xf numFmtId="0" fontId="80" fillId="0" borderId="0" xfId="146" applyFont="1" applyBorder="1" applyAlignment="1">
      <alignment horizontal="left"/>
    </xf>
    <xf numFmtId="0" fontId="14" fillId="0" borderId="0" xfId="151" applyFont="1" applyAlignment="1">
      <alignment horizontal="left" wrapText="1"/>
    </xf>
    <xf numFmtId="0" fontId="14" fillId="0" borderId="0" xfId="151" applyAlignment="1">
      <alignment horizontal="left" wrapText="1"/>
    </xf>
    <xf numFmtId="0" fontId="15" fillId="0" borderId="41" xfId="151" applyFont="1" applyFill="1" applyBorder="1" applyAlignment="1">
      <alignment horizontal="left" vertical="center"/>
    </xf>
    <xf numFmtId="0" fontId="15" fillId="0" borderId="43" xfId="151" applyFont="1" applyFill="1" applyBorder="1" applyAlignment="1">
      <alignment horizontal="left" vertical="center"/>
    </xf>
    <xf numFmtId="0" fontId="24" fillId="0" borderId="14" xfId="151" applyFont="1" applyBorder="1" applyAlignment="1">
      <alignment vertical="center"/>
    </xf>
    <xf numFmtId="0" fontId="24" fillId="0" borderId="75" xfId="151" applyFont="1" applyBorder="1" applyAlignment="1">
      <alignment vertical="center"/>
    </xf>
    <xf numFmtId="0" fontId="24" fillId="0" borderId="28" xfId="151" applyFont="1" applyBorder="1" applyAlignment="1">
      <alignment horizontal="center"/>
    </xf>
    <xf numFmtId="0" fontId="24" fillId="0" borderId="2" xfId="151" applyFont="1" applyBorder="1" applyAlignment="1">
      <alignment horizontal="center"/>
    </xf>
    <xf numFmtId="0" fontId="24" fillId="0" borderId="3" xfId="151" applyFont="1" applyBorder="1" applyAlignment="1">
      <alignment horizontal="center"/>
    </xf>
    <xf numFmtId="0" fontId="14" fillId="0" borderId="2" xfId="0" applyFont="1" applyBorder="1" applyAlignment="1">
      <alignment horizontal="center"/>
    </xf>
    <xf numFmtId="169" fontId="52" fillId="8" borderId="28" xfId="30" applyNumberFormat="1" applyFont="1" applyFill="1" applyBorder="1" applyAlignment="1">
      <alignment horizontal="center"/>
    </xf>
    <xf numFmtId="169" fontId="52" fillId="8" borderId="2" xfId="30" applyNumberFormat="1" applyFont="1" applyFill="1" applyBorder="1" applyAlignment="1">
      <alignment horizontal="center"/>
    </xf>
    <xf numFmtId="0" fontId="51" fillId="22" borderId="65" xfId="29" applyFont="1" applyFill="1" applyBorder="1" applyAlignment="1">
      <alignment vertical="top" wrapText="1"/>
    </xf>
    <xf numFmtId="0" fontId="51" fillId="22" borderId="66" xfId="29" applyFont="1" applyFill="1" applyBorder="1" applyAlignment="1">
      <alignment vertical="top" wrapText="1"/>
    </xf>
    <xf numFmtId="0" fontId="51" fillId="22" borderId="68" xfId="29" applyFont="1" applyFill="1" applyBorder="1" applyAlignment="1">
      <alignment horizontal="center"/>
    </xf>
    <xf numFmtId="0" fontId="51" fillId="22" borderId="66" xfId="29" applyFont="1" applyFill="1" applyBorder="1" applyAlignment="1">
      <alignment horizontal="center"/>
    </xf>
    <xf numFmtId="0" fontId="51" fillId="21" borderId="144" xfId="29" applyFont="1" applyFill="1" applyBorder="1" applyAlignment="1">
      <alignment horizontal="center" vertical="center" wrapText="1"/>
    </xf>
    <xf numFmtId="0" fontId="51" fillId="21" borderId="145" xfId="29" applyFont="1" applyFill="1" applyBorder="1" applyAlignment="1">
      <alignment horizontal="center" vertical="center" wrapText="1"/>
    </xf>
    <xf numFmtId="0" fontId="51" fillId="21" borderId="146" xfId="29" applyFont="1" applyFill="1" applyBorder="1" applyAlignment="1">
      <alignment horizontal="center" vertical="center"/>
    </xf>
    <xf numFmtId="0" fontId="51" fillId="21" borderId="145" xfId="29" applyFont="1" applyFill="1" applyBorder="1" applyAlignment="1">
      <alignment horizontal="center" vertical="center"/>
    </xf>
    <xf numFmtId="0" fontId="52" fillId="10" borderId="61" xfId="29" applyFont="1" applyFill="1" applyBorder="1" applyAlignment="1">
      <alignment vertical="top" wrapText="1"/>
    </xf>
    <xf numFmtId="0" fontId="52" fillId="10" borderId="9" xfId="29" applyFont="1" applyFill="1" applyBorder="1" applyAlignment="1">
      <alignment vertical="top" wrapText="1"/>
    </xf>
    <xf numFmtId="0" fontId="52" fillId="10" borderId="15" xfId="29" applyFont="1" applyFill="1" applyBorder="1" applyAlignment="1">
      <alignment horizontal="center" vertical="center" wrapText="1"/>
    </xf>
    <xf numFmtId="0" fontId="52" fillId="10" borderId="9" xfId="29" applyFont="1" applyFill="1" applyBorder="1" applyAlignment="1">
      <alignment horizontal="center" vertical="center" wrapText="1"/>
    </xf>
    <xf numFmtId="0" fontId="52" fillId="10" borderId="44" xfId="29" applyFont="1" applyFill="1" applyBorder="1" applyAlignment="1">
      <alignment vertical="top" wrapText="1"/>
    </xf>
    <xf numFmtId="0" fontId="52" fillId="10" borderId="14" xfId="29" applyFont="1" applyFill="1" applyBorder="1" applyAlignment="1">
      <alignment vertical="top" wrapText="1"/>
    </xf>
    <xf numFmtId="0" fontId="52" fillId="10" borderId="12" xfId="29" applyFont="1" applyFill="1" applyBorder="1" applyAlignment="1">
      <alignment horizontal="center" vertical="center" wrapText="1"/>
    </xf>
    <xf numFmtId="0" fontId="52" fillId="10" borderId="14" xfId="29" applyFont="1" applyFill="1" applyBorder="1" applyAlignment="1">
      <alignment horizontal="center" vertical="center" wrapText="1"/>
    </xf>
    <xf numFmtId="0" fontId="51" fillId="22" borderId="65" xfId="29" applyFont="1" applyFill="1" applyBorder="1" applyAlignment="1">
      <alignment horizontal="left" vertical="top" wrapText="1"/>
    </xf>
    <xf numFmtId="0" fontId="51" fillId="22" borderId="66" xfId="29" applyFont="1" applyFill="1" applyBorder="1" applyAlignment="1">
      <alignment horizontal="left" vertical="top" wrapText="1"/>
    </xf>
    <xf numFmtId="0" fontId="52" fillId="10" borderId="39" xfId="29" applyFont="1" applyFill="1" applyBorder="1" applyAlignment="1">
      <alignment vertical="top" wrapText="1"/>
    </xf>
    <xf numFmtId="0" fontId="52" fillId="10" borderId="3" xfId="29" applyFont="1" applyFill="1" applyBorder="1" applyAlignment="1">
      <alignment vertical="top" wrapText="1"/>
    </xf>
    <xf numFmtId="0" fontId="52" fillId="10" borderId="28" xfId="29" applyFont="1" applyFill="1" applyBorder="1" applyAlignment="1">
      <alignment horizontal="center" vertical="center" wrapText="1"/>
    </xf>
    <xf numFmtId="0" fontId="52" fillId="10" borderId="3" xfId="29" applyFont="1" applyFill="1" applyBorder="1" applyAlignment="1">
      <alignment horizontal="center" vertical="center" wrapText="1"/>
    </xf>
    <xf numFmtId="0" fontId="54" fillId="18" borderId="119" xfId="29" applyFont="1" applyFill="1" applyBorder="1" applyAlignment="1">
      <alignment horizontal="center" vertical="center" wrapText="1"/>
    </xf>
    <xf numFmtId="0" fontId="54" fillId="18" borderId="99" xfId="29" applyFont="1" applyFill="1" applyBorder="1" applyAlignment="1">
      <alignment horizontal="center" vertical="center" wrapText="1"/>
    </xf>
    <xf numFmtId="0" fontId="51" fillId="18" borderId="124" xfId="29" applyFont="1" applyFill="1" applyBorder="1" applyAlignment="1">
      <alignment horizontal="center" vertical="center" wrapText="1"/>
    </xf>
    <xf numFmtId="0" fontId="51" fillId="18" borderId="134" xfId="29" applyFont="1" applyFill="1" applyBorder="1" applyAlignment="1">
      <alignment horizontal="center" vertical="center" wrapText="1"/>
    </xf>
    <xf numFmtId="0" fontId="53" fillId="27" borderId="118" xfId="29" applyFont="1" applyFill="1" applyBorder="1" applyAlignment="1">
      <alignment horizontal="center" vertical="center" wrapText="1"/>
    </xf>
    <xf numFmtId="0" fontId="53" fillId="27" borderId="130" xfId="29" applyFont="1" applyFill="1" applyBorder="1" applyAlignment="1">
      <alignment horizontal="center" vertical="center" wrapText="1"/>
    </xf>
    <xf numFmtId="0" fontId="51" fillId="7" borderId="122" xfId="29" applyFont="1" applyFill="1" applyBorder="1" applyAlignment="1">
      <alignment horizontal="center" vertical="center" wrapText="1"/>
    </xf>
    <xf numFmtId="0" fontId="51" fillId="7" borderId="132" xfId="29" applyFont="1" applyFill="1" applyBorder="1" applyAlignment="1">
      <alignment horizontal="center" vertical="center" wrapText="1"/>
    </xf>
    <xf numFmtId="0" fontId="51" fillId="17" borderId="123" xfId="29" applyFont="1" applyFill="1" applyBorder="1" applyAlignment="1">
      <alignment horizontal="center" vertical="center" wrapText="1"/>
    </xf>
    <xf numFmtId="0" fontId="51" fillId="17" borderId="133" xfId="29" applyFont="1" applyFill="1" applyBorder="1" applyAlignment="1">
      <alignment horizontal="center" vertical="center" wrapText="1"/>
    </xf>
    <xf numFmtId="0" fontId="51" fillId="18" borderId="119" xfId="29" applyFont="1" applyFill="1" applyBorder="1" applyAlignment="1">
      <alignment horizontal="center" vertical="center" wrapText="1"/>
    </xf>
    <xf numFmtId="0" fontId="51" fillId="18" borderId="99" xfId="29" applyFont="1" applyFill="1" applyBorder="1" applyAlignment="1">
      <alignment horizontal="center" vertical="center" wrapText="1"/>
    </xf>
    <xf numFmtId="0" fontId="52" fillId="25" borderId="119" xfId="29" applyFont="1" applyFill="1" applyBorder="1" applyAlignment="1">
      <alignment horizontal="center" vertical="center" wrapText="1"/>
    </xf>
    <xf numFmtId="0" fontId="52" fillId="25" borderId="99" xfId="29" applyFont="1" applyFill="1" applyBorder="1" applyAlignment="1">
      <alignment horizontal="center" vertical="center" wrapText="1"/>
    </xf>
    <xf numFmtId="0" fontId="51" fillId="7" borderId="119" xfId="29" applyFont="1" applyFill="1" applyBorder="1" applyAlignment="1">
      <alignment horizontal="center" vertical="center" wrapText="1"/>
    </xf>
    <xf numFmtId="0" fontId="51" fillId="7" borderId="99" xfId="29" applyFont="1" applyFill="1" applyBorder="1" applyAlignment="1">
      <alignment horizontal="center" vertical="center" wrapText="1"/>
    </xf>
    <xf numFmtId="0" fontId="51" fillId="17" borderId="119" xfId="29" applyFont="1" applyFill="1" applyBorder="1" applyAlignment="1">
      <alignment horizontal="center" vertical="center" wrapText="1"/>
    </xf>
    <xf numFmtId="0" fontId="51" fillId="17" borderId="99" xfId="29" applyFont="1" applyFill="1" applyBorder="1" applyAlignment="1">
      <alignment horizontal="center" vertical="center" wrapText="1"/>
    </xf>
    <xf numFmtId="164" fontId="51" fillId="25" borderId="120" xfId="29" applyNumberFormat="1" applyFont="1" applyFill="1" applyBorder="1" applyAlignment="1">
      <alignment horizontal="center" vertical="center" wrapText="1"/>
    </xf>
    <xf numFmtId="164" fontId="51" fillId="25" borderId="131" xfId="29" applyNumberFormat="1" applyFont="1" applyFill="1" applyBorder="1" applyAlignment="1">
      <alignment horizontal="center" vertical="center" wrapText="1"/>
    </xf>
    <xf numFmtId="0" fontId="52" fillId="18" borderId="122" xfId="29" applyFont="1" applyFill="1" applyBorder="1" applyAlignment="1">
      <alignment horizontal="center" vertical="center" wrapText="1"/>
    </xf>
    <xf numFmtId="0" fontId="52" fillId="18" borderId="132" xfId="29" applyFont="1" applyFill="1" applyBorder="1" applyAlignment="1">
      <alignment horizontal="center" vertical="center" wrapText="1"/>
    </xf>
    <xf numFmtId="1" fontId="51" fillId="18" borderId="121" xfId="29" applyNumberFormat="1" applyFont="1" applyFill="1" applyBorder="1" applyAlignment="1">
      <alignment horizontal="center" vertical="center" wrapText="1"/>
    </xf>
    <xf numFmtId="1" fontId="51" fillId="18" borderId="75" xfId="29" applyNumberFormat="1" applyFont="1" applyFill="1" applyBorder="1" applyAlignment="1">
      <alignment horizontal="center" vertical="center" wrapText="1"/>
    </xf>
    <xf numFmtId="0" fontId="51" fillId="10" borderId="117" xfId="29" applyFont="1" applyFill="1" applyBorder="1" applyAlignment="1">
      <alignment horizontal="center" vertical="center" wrapText="1"/>
    </xf>
    <xf numFmtId="0" fontId="51" fillId="10" borderId="129" xfId="29" applyFont="1" applyFill="1" applyBorder="1" applyAlignment="1">
      <alignment horizontal="center" vertical="center" wrapText="1"/>
    </xf>
    <xf numFmtId="0" fontId="51" fillId="17" borderId="38" xfId="29" applyFont="1" applyFill="1" applyBorder="1" applyAlignment="1">
      <alignment horizontal="center" vertical="center" wrapText="1"/>
    </xf>
    <xf numFmtId="0" fontId="51" fillId="17" borderId="58" xfId="29" applyFont="1" applyFill="1" applyBorder="1" applyAlignment="1">
      <alignment horizontal="center" vertical="center" wrapText="1"/>
    </xf>
    <xf numFmtId="0" fontId="51" fillId="17" borderId="89" xfId="29" applyFont="1" applyFill="1" applyBorder="1" applyAlignment="1">
      <alignment horizontal="center" vertical="center" wrapText="1"/>
    </xf>
    <xf numFmtId="0" fontId="51" fillId="17" borderId="93" xfId="29" applyFont="1" applyFill="1" applyBorder="1" applyAlignment="1">
      <alignment horizontal="center" vertical="center" wrapText="1"/>
    </xf>
    <xf numFmtId="0" fontId="51" fillId="17" borderId="118" xfId="29" applyFont="1" applyFill="1" applyBorder="1" applyAlignment="1">
      <alignment horizontal="center" vertical="center" wrapText="1"/>
    </xf>
    <xf numFmtId="0" fontId="51" fillId="17" borderId="130" xfId="29" applyFont="1" applyFill="1" applyBorder="1" applyAlignment="1">
      <alignment horizontal="center" vertical="center" wrapText="1"/>
    </xf>
    <xf numFmtId="0" fontId="51" fillId="19" borderId="119" xfId="29" applyFont="1" applyFill="1" applyBorder="1" applyAlignment="1">
      <alignment horizontal="center" vertical="center" wrapText="1"/>
    </xf>
    <xf numFmtId="0" fontId="51" fillId="19" borderId="99" xfId="29" applyFont="1" applyFill="1" applyBorder="1" applyAlignment="1">
      <alignment horizontal="center" vertical="center" wrapText="1"/>
    </xf>
    <xf numFmtId="0" fontId="51" fillId="19" borderId="116" xfId="29" applyFont="1" applyFill="1" applyBorder="1" applyAlignment="1">
      <alignment horizontal="center" vertical="center" wrapText="1"/>
    </xf>
    <xf numFmtId="0" fontId="51" fillId="19" borderId="56" xfId="29" applyFont="1" applyFill="1" applyBorder="1" applyAlignment="1">
      <alignment horizontal="center" vertical="center" wrapText="1"/>
    </xf>
    <xf numFmtId="0" fontId="51" fillId="10" borderId="74" xfId="29" applyFont="1" applyFill="1" applyBorder="1" applyAlignment="1">
      <alignment horizontal="center" vertical="center" wrapText="1"/>
    </xf>
    <xf numFmtId="0" fontId="51" fillId="10" borderId="128" xfId="29" applyFont="1" applyFill="1" applyBorder="1" applyAlignment="1">
      <alignment horizontal="center" vertical="center" wrapText="1"/>
    </xf>
    <xf numFmtId="0" fontId="51" fillId="10" borderId="33" xfId="29" applyFont="1" applyFill="1" applyBorder="1" applyAlignment="1">
      <alignment horizontal="center" vertical="center" wrapText="1"/>
    </xf>
    <xf numFmtId="0" fontId="51" fillId="10" borderId="43" xfId="29" applyFont="1" applyFill="1" applyBorder="1" applyAlignment="1">
      <alignment horizontal="center" vertical="center" wrapText="1"/>
    </xf>
    <xf numFmtId="0" fontId="51" fillId="17" borderId="116" xfId="29" applyFont="1" applyFill="1" applyBorder="1" applyAlignment="1">
      <alignment horizontal="center" vertical="center" wrapText="1"/>
    </xf>
    <xf numFmtId="0" fontId="51" fillId="17" borderId="56" xfId="29" applyFont="1" applyFill="1" applyBorder="1" applyAlignment="1">
      <alignment horizontal="center" vertical="center" wrapText="1"/>
    </xf>
    <xf numFmtId="0" fontId="51" fillId="17" borderId="31" xfId="29" applyFont="1" applyFill="1" applyBorder="1" applyAlignment="1">
      <alignment horizontal="center" vertical="center" wrapText="1"/>
    </xf>
    <xf numFmtId="0" fontId="51" fillId="17" borderId="42" xfId="29" applyFont="1" applyFill="1" applyBorder="1" applyAlignment="1">
      <alignment horizontal="center" vertical="center" wrapText="1"/>
    </xf>
    <xf numFmtId="164" fontId="51" fillId="25" borderId="76" xfId="29" applyNumberFormat="1" applyFont="1" applyFill="1" applyBorder="1" applyAlignment="1">
      <alignment horizontal="center" vertical="center" wrapText="1"/>
    </xf>
    <xf numFmtId="164" fontId="51" fillId="25" borderId="127" xfId="29" applyNumberFormat="1" applyFont="1" applyFill="1" applyBorder="1" applyAlignment="1">
      <alignment horizontal="center" vertical="center" wrapText="1"/>
    </xf>
    <xf numFmtId="0" fontId="51" fillId="0" borderId="73" xfId="29" applyFont="1" applyBorder="1" applyAlignment="1">
      <alignment horizontal="center" vertical="top" wrapText="1"/>
    </xf>
    <xf numFmtId="0" fontId="51" fillId="0" borderId="126" xfId="29" applyFont="1" applyBorder="1" applyAlignment="1">
      <alignment horizontal="center" vertical="top" wrapText="1"/>
    </xf>
    <xf numFmtId="0" fontId="51" fillId="18" borderId="73" xfId="29" applyFont="1" applyFill="1" applyBorder="1" applyAlignment="1">
      <alignment horizontal="center" vertical="top" wrapText="1"/>
    </xf>
    <xf numFmtId="0" fontId="51" fillId="18" borderId="126" xfId="29" applyFont="1" applyFill="1" applyBorder="1" applyAlignment="1">
      <alignment horizontal="center" vertical="top" wrapText="1"/>
    </xf>
    <xf numFmtId="0" fontId="51" fillId="0" borderId="33" xfId="29" applyFont="1" applyBorder="1" applyAlignment="1">
      <alignment horizontal="center" vertical="top" wrapText="1"/>
    </xf>
    <xf numFmtId="0" fontId="51" fillId="0" borderId="43" xfId="29" applyFont="1" applyBorder="1" applyAlignment="1">
      <alignment horizontal="center" vertical="top" wrapText="1"/>
    </xf>
    <xf numFmtId="0" fontId="51" fillId="0" borderId="34" xfId="29" applyFont="1" applyBorder="1" applyAlignment="1">
      <alignment horizontal="center" vertical="top" wrapText="1"/>
    </xf>
    <xf numFmtId="0" fontId="51" fillId="0" borderId="125" xfId="29" applyFont="1" applyBorder="1" applyAlignment="1">
      <alignment horizontal="center" vertical="top" wrapText="1"/>
    </xf>
    <xf numFmtId="0" fontId="51" fillId="19" borderId="114" xfId="29" applyFont="1" applyFill="1" applyBorder="1" applyAlignment="1">
      <alignment horizontal="center" vertical="center" wrapText="1"/>
    </xf>
    <xf numFmtId="0" fontId="51" fillId="19" borderId="57" xfId="29" applyFont="1" applyFill="1" applyBorder="1" applyAlignment="1">
      <alignment horizontal="center" vertical="center" wrapText="1"/>
    </xf>
    <xf numFmtId="0" fontId="51" fillId="19" borderId="115" xfId="29" applyFont="1" applyFill="1" applyBorder="1" applyAlignment="1">
      <alignment horizontal="center" vertical="center" wrapText="1"/>
    </xf>
    <xf numFmtId="0" fontId="51" fillId="19" borderId="19" xfId="29" applyFont="1" applyFill="1" applyBorder="1" applyAlignment="1">
      <alignment horizontal="center" vertical="center" wrapText="1"/>
    </xf>
    <xf numFmtId="0" fontId="51" fillId="18" borderId="33" xfId="29" applyFont="1" applyFill="1" applyBorder="1" applyAlignment="1">
      <alignment horizontal="center" vertical="top" wrapText="1"/>
    </xf>
    <xf numFmtId="0" fontId="51" fillId="18" borderId="43" xfId="29" applyFont="1" applyFill="1" applyBorder="1" applyAlignment="1">
      <alignment horizontal="center" vertical="top" wrapText="1"/>
    </xf>
    <xf numFmtId="0" fontId="51" fillId="25" borderId="33" xfId="29" applyFont="1" applyFill="1" applyBorder="1" applyAlignment="1">
      <alignment horizontal="center" vertical="top" wrapText="1"/>
    </xf>
    <xf numFmtId="0" fontId="51" fillId="25" borderId="43" xfId="29" applyFont="1" applyFill="1" applyBorder="1" applyAlignment="1">
      <alignment horizontal="center" vertical="top" wrapText="1"/>
    </xf>
    <xf numFmtId="0" fontId="51" fillId="0" borderId="33" xfId="29" applyFont="1" applyBorder="1" applyAlignment="1">
      <alignment horizontal="center" vertical="center" wrapText="1"/>
    </xf>
    <xf numFmtId="0" fontId="51" fillId="0" borderId="43" xfId="29" applyFont="1" applyBorder="1" applyAlignment="1">
      <alignment horizontal="center" vertical="center" wrapText="1"/>
    </xf>
    <xf numFmtId="0" fontId="52" fillId="24" borderId="73" xfId="29" applyFont="1" applyFill="1" applyBorder="1" applyAlignment="1">
      <alignment horizontal="center" vertical="center" wrapText="1"/>
    </xf>
    <xf numFmtId="0" fontId="52" fillId="24" borderId="9" xfId="29" applyFont="1" applyFill="1" applyBorder="1" applyAlignment="1">
      <alignment horizontal="center" vertical="center" wrapText="1"/>
    </xf>
    <xf numFmtId="0" fontId="52" fillId="11" borderId="33" xfId="29" applyFont="1" applyFill="1" applyBorder="1" applyAlignment="1">
      <alignment horizontal="center" vertical="center" wrapText="1"/>
    </xf>
    <xf numFmtId="0" fontId="52" fillId="11" borderId="43" xfId="29" applyFont="1" applyFill="1" applyBorder="1" applyAlignment="1">
      <alignment horizontal="center" vertical="center" wrapText="1"/>
    </xf>
    <xf numFmtId="0" fontId="52" fillId="24" borderId="33" xfId="29" applyFont="1" applyFill="1" applyBorder="1" applyAlignment="1">
      <alignment horizontal="center" vertical="center" wrapText="1"/>
    </xf>
    <xf numFmtId="0" fontId="52" fillId="24" borderId="43" xfId="29" applyFont="1" applyFill="1" applyBorder="1" applyAlignment="1">
      <alignment horizontal="center" vertical="center" wrapText="1"/>
    </xf>
    <xf numFmtId="0" fontId="51" fillId="0" borderId="34" xfId="29" applyFont="1" applyBorder="1" applyAlignment="1">
      <alignment horizontal="center" vertical="center" wrapText="1"/>
    </xf>
    <xf numFmtId="0" fontId="51" fillId="0" borderId="73" xfId="29" applyFont="1" applyBorder="1" applyAlignment="1">
      <alignment horizontal="center" vertical="center" wrapText="1"/>
    </xf>
    <xf numFmtId="0" fontId="51" fillId="0" borderId="125" xfId="29" applyFont="1" applyBorder="1" applyAlignment="1">
      <alignment horizontal="center" vertical="center" wrapText="1"/>
    </xf>
    <xf numFmtId="0" fontId="51" fillId="0" borderId="126" xfId="29" applyFont="1" applyBorder="1" applyAlignment="1">
      <alignment horizontal="center" vertical="center" wrapText="1"/>
    </xf>
    <xf numFmtId="0" fontId="51" fillId="21" borderId="65" xfId="29" applyFont="1" applyFill="1" applyBorder="1" applyAlignment="1">
      <alignment horizontal="center" vertical="center"/>
    </xf>
    <xf numFmtId="0" fontId="51" fillId="21" borderId="66" xfId="29" applyFont="1" applyFill="1" applyBorder="1" applyAlignment="1">
      <alignment horizontal="center" vertical="center"/>
    </xf>
    <xf numFmtId="0" fontId="51" fillId="10" borderId="109" xfId="29" applyFont="1" applyFill="1" applyBorder="1" applyAlignment="1">
      <alignment horizontal="center" vertical="center" wrapText="1"/>
    </xf>
    <xf numFmtId="0" fontId="51" fillId="10" borderId="73" xfId="29" applyFont="1" applyFill="1" applyBorder="1" applyAlignment="1">
      <alignment horizontal="center" vertical="center" wrapText="1"/>
    </xf>
    <xf numFmtId="0" fontId="51" fillId="10" borderId="61" xfId="29" applyFont="1" applyFill="1" applyBorder="1" applyAlignment="1">
      <alignment horizontal="center" vertical="center" wrapText="1"/>
    </xf>
    <xf numFmtId="0" fontId="51" fillId="10" borderId="9" xfId="29" applyFont="1" applyFill="1" applyBorder="1" applyAlignment="1">
      <alignment horizontal="center" vertical="center" wrapText="1"/>
    </xf>
    <xf numFmtId="164" fontId="51" fillId="18" borderId="34" xfId="29" applyNumberFormat="1" applyFont="1" applyFill="1" applyBorder="1" applyAlignment="1">
      <alignment horizontal="center" vertical="center" wrapText="1"/>
    </xf>
    <xf numFmtId="164" fontId="51" fillId="18" borderId="125" xfId="29" applyNumberFormat="1" applyFont="1" applyFill="1" applyBorder="1" applyAlignment="1">
      <alignment horizontal="center" vertical="center" wrapText="1"/>
    </xf>
    <xf numFmtId="0" fontId="52" fillId="25" borderId="113" xfId="29" applyFont="1" applyFill="1" applyBorder="1" applyAlignment="1">
      <alignment horizontal="center" vertical="center" wrapText="1"/>
    </xf>
    <xf numFmtId="0" fontId="52" fillId="0" borderId="48" xfId="29" applyFont="1" applyFill="1" applyBorder="1" applyAlignment="1">
      <alignment horizontal="left" vertical="center"/>
    </xf>
    <xf numFmtId="0" fontId="52" fillId="0" borderId="49" xfId="29" applyFont="1" applyFill="1" applyBorder="1" applyAlignment="1">
      <alignment horizontal="left" vertical="center"/>
    </xf>
    <xf numFmtId="0" fontId="52" fillId="0" borderId="50" xfId="29" applyFont="1" applyFill="1" applyBorder="1" applyAlignment="1">
      <alignment horizontal="center" vertical="center"/>
    </xf>
    <xf numFmtId="0" fontId="52" fillId="0" borderId="21" xfId="29" applyFont="1" applyFill="1" applyBorder="1" applyAlignment="1">
      <alignment horizontal="center" vertical="center"/>
    </xf>
    <xf numFmtId="0" fontId="52" fillId="0" borderId="39" xfId="29" applyFont="1" applyFill="1" applyBorder="1" applyAlignment="1">
      <alignment horizontal="left" vertical="center"/>
    </xf>
    <xf numFmtId="0" fontId="52" fillId="0" borderId="3" xfId="29" applyFont="1" applyFill="1" applyBorder="1" applyAlignment="1">
      <alignment horizontal="left" vertical="center"/>
    </xf>
    <xf numFmtId="0" fontId="52" fillId="0" borderId="44" xfId="29" applyFont="1" applyFill="1" applyBorder="1" applyAlignment="1">
      <alignment horizontal="left" vertical="center"/>
    </xf>
    <xf numFmtId="0" fontId="52" fillId="0" borderId="14" xfId="29" applyFont="1" applyFill="1" applyBorder="1" applyAlignment="1">
      <alignment horizontal="left" vertical="center"/>
    </xf>
    <xf numFmtId="0" fontId="52" fillId="0" borderId="42" xfId="29" applyFont="1" applyFill="1" applyBorder="1" applyAlignment="1">
      <alignment horizontal="left" vertical="center"/>
    </xf>
    <xf numFmtId="0" fontId="52" fillId="0" borderId="18" xfId="29" applyFont="1" applyFill="1" applyBorder="1" applyAlignment="1">
      <alignment horizontal="left" vertical="center"/>
    </xf>
    <xf numFmtId="0" fontId="52" fillId="0" borderId="43" xfId="29" applyFont="1" applyFill="1" applyBorder="1" applyAlignment="1">
      <alignment horizontal="center" vertical="center"/>
    </xf>
    <xf numFmtId="0" fontId="52" fillId="12" borderId="48" xfId="29" applyFont="1" applyFill="1" applyBorder="1" applyAlignment="1">
      <alignment horizontal="left" vertical="center"/>
    </xf>
    <xf numFmtId="0" fontId="52" fillId="12" borderId="49" xfId="29" applyFont="1" applyFill="1" applyBorder="1" applyAlignment="1">
      <alignment horizontal="left" vertical="center"/>
    </xf>
    <xf numFmtId="0" fontId="52" fillId="12" borderId="39" xfId="29" applyFont="1" applyFill="1" applyBorder="1" applyAlignment="1">
      <alignment horizontal="left" vertical="center"/>
    </xf>
    <xf numFmtId="0" fontId="52" fillId="12" borderId="3" xfId="29" applyFont="1" applyFill="1" applyBorder="1" applyAlignment="1">
      <alignment horizontal="left" vertical="center"/>
    </xf>
    <xf numFmtId="0" fontId="52" fillId="12" borderId="42" xfId="29" applyFont="1" applyFill="1" applyBorder="1" applyAlignment="1">
      <alignment horizontal="left" vertical="center"/>
    </xf>
    <xf numFmtId="0" fontId="52" fillId="12" borderId="18" xfId="29" applyFont="1" applyFill="1" applyBorder="1" applyAlignment="1">
      <alignment horizontal="left" vertical="center"/>
    </xf>
    <xf numFmtId="0" fontId="51" fillId="0" borderId="31" xfId="29" applyFont="1" applyBorder="1" applyAlignment="1">
      <alignment horizontal="center" vertical="center"/>
    </xf>
    <xf numFmtId="0" fontId="51" fillId="0" borderId="32" xfId="29" applyFont="1" applyBorder="1" applyAlignment="1">
      <alignment horizontal="center" vertical="center"/>
    </xf>
    <xf numFmtId="0" fontId="52" fillId="0" borderId="41" xfId="29" applyFont="1" applyFill="1" applyBorder="1" applyAlignment="1">
      <alignment horizontal="center" vertical="center"/>
    </xf>
    <xf numFmtId="0" fontId="52" fillId="0" borderId="94" xfId="29" applyFont="1" applyFill="1" applyBorder="1" applyAlignment="1">
      <alignment horizontal="left" vertical="center"/>
    </xf>
    <xf numFmtId="0" fontId="52" fillId="0" borderId="97" xfId="29" applyFont="1" applyFill="1" applyBorder="1" applyAlignment="1">
      <alignment horizontal="left" vertical="center"/>
    </xf>
    <xf numFmtId="0" fontId="99" fillId="10" borderId="174" xfId="125" applyFont="1" applyFill="1" applyBorder="1" applyAlignment="1">
      <alignment horizontal="center" wrapText="1"/>
    </xf>
    <xf numFmtId="0" fontId="79" fillId="10" borderId="0" xfId="125" applyFont="1" applyFill="1" applyBorder="1" applyAlignment="1">
      <alignment horizontal="right"/>
    </xf>
    <xf numFmtId="0" fontId="24" fillId="10" borderId="0" xfId="125" applyFont="1" applyFill="1" applyBorder="1" applyAlignment="1">
      <alignment horizontal="center" vertical="center"/>
    </xf>
    <xf numFmtId="0" fontId="98" fillId="10" borderId="0" xfId="125" applyFont="1" applyFill="1" applyBorder="1" applyAlignment="1">
      <alignment horizontal="center" vertical="center"/>
    </xf>
    <xf numFmtId="0" fontId="99" fillId="10" borderId="0" xfId="125" applyFont="1" applyFill="1" applyBorder="1" applyAlignment="1">
      <alignment horizontal="left" shrinkToFit="1"/>
    </xf>
    <xf numFmtId="0" fontId="79" fillId="10" borderId="0" xfId="125" applyFont="1" applyFill="1" applyBorder="1" applyAlignment="1">
      <alignment horizontal="center"/>
    </xf>
    <xf numFmtId="0" fontId="79" fillId="0" borderId="0" xfId="0" applyFont="1" applyAlignment="1">
      <alignment horizontal="center"/>
    </xf>
  </cellXfs>
  <cellStyles count="154">
    <cellStyle name="=C:\WINNT35\SYSTEM32\COMMAND.COM" xfId="4"/>
    <cellStyle name="=C:\WINNT35\SYSTEM32\COMMAND.COM 2" xfId="16"/>
    <cellStyle name="Comma" xfId="1" builtinId="3"/>
    <cellStyle name="Comma 10" xfId="33"/>
    <cellStyle name="Comma 10 2" xfId="34"/>
    <cellStyle name="Comma 10 2 2" xfId="35"/>
    <cellStyle name="Comma 10 3" xfId="36"/>
    <cellStyle name="Comma 10 3 2" xfId="37"/>
    <cellStyle name="Comma 10 4" xfId="38"/>
    <cellStyle name="Comma 10 4 2" xfId="39"/>
    <cellStyle name="Comma 10 5" xfId="40"/>
    <cellStyle name="Comma 11 2" xfId="41"/>
    <cellStyle name="Comma 11 2 2" xfId="42"/>
    <cellStyle name="Comma 11 3" xfId="43"/>
    <cellStyle name="Comma 11 3 2" xfId="44"/>
    <cellStyle name="Comma 11 4" xfId="45"/>
    <cellStyle name="Comma 11 4 2" xfId="46"/>
    <cellStyle name="Comma 12" xfId="47"/>
    <cellStyle name="Comma 12 2" xfId="48"/>
    <cellStyle name="Comma 12 2 2" xfId="49"/>
    <cellStyle name="Comma 12 3" xfId="50"/>
    <cellStyle name="Comma 12 3 2" xfId="51"/>
    <cellStyle name="Comma 12 4" xfId="52"/>
    <cellStyle name="Comma 12 4 2" xfId="53"/>
    <cellStyle name="Comma 12 5" xfId="54"/>
    <cellStyle name="Comma 13" xfId="55"/>
    <cellStyle name="Comma 13 2" xfId="56"/>
    <cellStyle name="Comma 13 2 2" xfId="57"/>
    <cellStyle name="Comma 13 3" xfId="58"/>
    <cellStyle name="Comma 13 3 2" xfId="59"/>
    <cellStyle name="Comma 13 4" xfId="60"/>
    <cellStyle name="Comma 13 4 2" xfId="61"/>
    <cellStyle name="Comma 13 5" xfId="62"/>
    <cellStyle name="Comma 14" xfId="63"/>
    <cellStyle name="Comma 14 2" xfId="64"/>
    <cellStyle name="Comma 15" xfId="65"/>
    <cellStyle name="Comma 15 2" xfId="66"/>
    <cellStyle name="Comma 2" xfId="3"/>
    <cellStyle name="Comma 2 2" xfId="7"/>
    <cellStyle name="Comma 2 2 2" xfId="13"/>
    <cellStyle name="Comma 2 2 2 2" xfId="17"/>
    <cellStyle name="Comma 2 3" xfId="18"/>
    <cellStyle name="Comma 2 3 2" xfId="67"/>
    <cellStyle name="Comma 2 4" xfId="68"/>
    <cellStyle name="Comma 2 4 2" xfId="69"/>
    <cellStyle name="Comma 2 5" xfId="70"/>
    <cellStyle name="Comma 2 5 2" xfId="71"/>
    <cellStyle name="Comma 2 6" xfId="72"/>
    <cellStyle name="Comma 3" xfId="11"/>
    <cellStyle name="Comma 3 2" xfId="27"/>
    <cellStyle name="Comma 3 2 2" xfId="75"/>
    <cellStyle name="Comma 3 2 3" xfId="74"/>
    <cellStyle name="Comma 3 3" xfId="76"/>
    <cellStyle name="Comma 3 3 2" xfId="77"/>
    <cellStyle name="Comma 3 4" xfId="78"/>
    <cellStyle name="Comma 3 4 2" xfId="79"/>
    <cellStyle name="Comma 3 5" xfId="80"/>
    <cellStyle name="Comma 3 6" xfId="73"/>
    <cellStyle name="Comma 4" xfId="19"/>
    <cellStyle name="Comma 4 2" xfId="81"/>
    <cellStyle name="Comma 4 2 2" xfId="82"/>
    <cellStyle name="Comma 4 2 3" xfId="129"/>
    <cellStyle name="Comma 4 3" xfId="83"/>
    <cellStyle name="Comma 4 3 2" xfId="84"/>
    <cellStyle name="Comma 4 4" xfId="85"/>
    <cellStyle name="Comma 4 4 2" xfId="86"/>
    <cellStyle name="Comma 4 5" xfId="87"/>
    <cellStyle name="Comma 5" xfId="20"/>
    <cellStyle name="Comma 5 2" xfId="88"/>
    <cellStyle name="Comma 5 2 2" xfId="89"/>
    <cellStyle name="Comma 5 3" xfId="90"/>
    <cellStyle name="Comma 5 3 2" xfId="91"/>
    <cellStyle name="Comma 5 4" xfId="92"/>
    <cellStyle name="Comma 5 4 2" xfId="93"/>
    <cellStyle name="Comma 5 5" xfId="94"/>
    <cellStyle name="Comma 6" xfId="30"/>
    <cellStyle name="Comma 6 2" xfId="95"/>
    <cellStyle name="Comma 6 2 2" xfId="96"/>
    <cellStyle name="Comma 6 3" xfId="97"/>
    <cellStyle name="Comma 6 3 2" xfId="98"/>
    <cellStyle name="Comma 6 4" xfId="99"/>
    <cellStyle name="Comma 6 4 2" xfId="100"/>
    <cellStyle name="Comma 6 5" xfId="127"/>
    <cellStyle name="Comma 7" xfId="101"/>
    <cellStyle name="Comma 7 2" xfId="102"/>
    <cellStyle name="Comma 7 2 2" xfId="103"/>
    <cellStyle name="Comma 7 3" xfId="104"/>
    <cellStyle name="Comma 7 3 2" xfId="105"/>
    <cellStyle name="Comma 7 4" xfId="106"/>
    <cellStyle name="Comma 7 4 2" xfId="107"/>
    <cellStyle name="Comma 7 5" xfId="108"/>
    <cellStyle name="Comma 8" xfId="134"/>
    <cellStyle name="Comma 8 2" xfId="109"/>
    <cellStyle name="Comma 8 2 2" xfId="110"/>
    <cellStyle name="Comma 8 3" xfId="111"/>
    <cellStyle name="Comma 8 3 2" xfId="112"/>
    <cellStyle name="Comma 8 4" xfId="113"/>
    <cellStyle name="Comma 8 4 2" xfId="114"/>
    <cellStyle name="Comma 9" xfId="115"/>
    <cellStyle name="Comma 9 2" xfId="116"/>
    <cellStyle name="Comma 9 2 2" xfId="117"/>
    <cellStyle name="Comma 9 3" xfId="118"/>
    <cellStyle name="Comma 9 3 2" xfId="119"/>
    <cellStyle name="Comma 9 4" xfId="120"/>
    <cellStyle name="Comma 9 4 2" xfId="121"/>
    <cellStyle name="Comma 9 5" xfId="122"/>
    <cellStyle name="Currency" xfId="9" builtinId="4"/>
    <cellStyle name="Currency 2" xfId="21"/>
    <cellStyle name="Currency 2 2" xfId="123"/>
    <cellStyle name="Currency 3" xfId="22"/>
    <cellStyle name="Dezimal 2" xfId="138"/>
    <cellStyle name="Good 2" xfId="144"/>
    <cellStyle name="Hyperlink" xfId="148" builtinId="8"/>
    <cellStyle name="Normal" xfId="0" builtinId="0"/>
    <cellStyle name="Normal 10" xfId="153"/>
    <cellStyle name="Normal 2" xfId="5"/>
    <cellStyle name="Normal 2 2" xfId="6"/>
    <cellStyle name="Normal 2 2 2" xfId="125"/>
    <cellStyle name="Normal 2 3" xfId="124"/>
    <cellStyle name="Normal 3" xfId="10"/>
    <cellStyle name="Normal 3 2" xfId="26"/>
    <cellStyle name="Normal 3 2 2" xfId="126"/>
    <cellStyle name="Normal 3 3" xfId="145"/>
    <cellStyle name="Normal 3 4" xfId="128"/>
    <cellStyle name="Normal 4" xfId="14"/>
    <cellStyle name="Normal 4 2" xfId="135"/>
    <cellStyle name="Normal 4 3" xfId="130"/>
    <cellStyle name="Normal 5" xfId="23"/>
    <cellStyle name="Normal 5 2" xfId="131"/>
    <cellStyle name="Normal 6" xfId="29"/>
    <cellStyle name="Normal 6 2" xfId="133"/>
    <cellStyle name="Normal 7" xfId="132"/>
    <cellStyle name="Normal 7 2" xfId="137"/>
    <cellStyle name="Normal 8" xfId="142"/>
    <cellStyle name="Normal 9" xfId="32"/>
    <cellStyle name="Normal_ConsolidatedAg_IM_Clean" xfId="146"/>
    <cellStyle name="Normal_ConsolidatedAg_IM_Clean - v3" xfId="150"/>
    <cellStyle name="Normal_FeederRoadAnalysis_IM_Clean - v4" xfId="147"/>
    <cellStyle name="Normal_Lesotho - Health - v2" xfId="149"/>
    <cellStyle name="Normal_Mongolia Health ERR.IM Cleaned - v15" xfId="151"/>
    <cellStyle name="Normal_Mongolia Rail ERR.IM Cleaned" xfId="152"/>
    <cellStyle name="Percent" xfId="8" builtinId="5"/>
    <cellStyle name="Percent 2" xfId="2"/>
    <cellStyle name="Percent 2 2" xfId="24"/>
    <cellStyle name="Percent 3" xfId="12"/>
    <cellStyle name="Percent 3 2" xfId="28"/>
    <cellStyle name="Percent 3 3" xfId="136"/>
    <cellStyle name="Percent 4" xfId="15"/>
    <cellStyle name="Percent 5" xfId="25"/>
    <cellStyle name="Percent 6" xfId="31"/>
    <cellStyle name="Standard 2" xfId="139"/>
    <cellStyle name="Standard 2 2" xfId="140"/>
    <cellStyle name="Standard 2 2 2" xfId="143"/>
    <cellStyle name="Standard 3" xfId="141"/>
  </cellStyles>
  <dxfs count="2">
    <dxf>
      <font>
        <condense val="0"/>
        <extend val="0"/>
        <color indexed="10"/>
      </font>
    </dxf>
    <dxf>
      <font>
        <condense val="0"/>
        <extend val="0"/>
        <color indexed="9"/>
      </font>
      <fill>
        <patternFill patternType="none">
          <bgColor indexed="65"/>
        </patternFill>
      </fill>
    </dxf>
  </dxfs>
  <tableStyles count="0" defaultTableStyle="TableStyleMedium9" defaultPivotStyle="PivotStyleLight16"/>
  <colors>
    <mruColors>
      <color rgb="FFFFFF66"/>
      <color rgb="FF9A50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Undiscounted Annual Net Benefits of Farmer Income Support Project</a:t>
            </a:r>
          </a:p>
        </c:rich>
      </c:tx>
      <c:layout>
        <c:manualLayout>
          <c:xMode val="edge"/>
          <c:yMode val="edge"/>
          <c:x val="0.16338775080500831"/>
          <c:y val="3.1487336810171455E-2"/>
        </c:manualLayout>
      </c:layout>
      <c:overlay val="0"/>
      <c:spPr>
        <a:noFill/>
        <a:ln w="25400">
          <a:noFill/>
        </a:ln>
      </c:spPr>
    </c:title>
    <c:autoTitleDeleted val="0"/>
    <c:plotArea>
      <c:layout>
        <c:manualLayout>
          <c:layoutTarget val="inner"/>
          <c:xMode val="edge"/>
          <c:yMode val="edge"/>
          <c:x val="0.1449750706116372"/>
          <c:y val="0.18367646327143394"/>
          <c:w val="0.82290611509081668"/>
          <c:h val="0.68747476253022355"/>
        </c:manualLayout>
      </c:layout>
      <c:areaChart>
        <c:grouping val="standard"/>
        <c:varyColors val="0"/>
        <c:ser>
          <c:idx val="0"/>
          <c:order val="0"/>
          <c:spPr>
            <a:solidFill>
              <a:srgbClr val="0080C0"/>
            </a:solidFill>
            <a:ln w="12700">
              <a:solidFill>
                <a:srgbClr val="000000"/>
              </a:solidFill>
              <a:prstDash val="solid"/>
            </a:ln>
          </c:spPr>
          <c:val>
            <c:numRef>
              <c:f>'Cost-Benefit Summary'!$C$14:$V$14</c:f>
              <c:numCache>
                <c:formatCode>_(* #,##0_);_(* \(#,##0\);_(* "-"??_);_(@_)</c:formatCode>
                <c:ptCount val="20"/>
                <c:pt idx="0">
                  <c:v>-31688189.914818428</c:v>
                </c:pt>
                <c:pt idx="1">
                  <c:v>-70880383.521604329</c:v>
                </c:pt>
                <c:pt idx="2">
                  <c:v>-101020251.2064632</c:v>
                </c:pt>
                <c:pt idx="3">
                  <c:v>-94059664.693780854</c:v>
                </c:pt>
                <c:pt idx="4">
                  <c:v>-74245278.475035548</c:v>
                </c:pt>
                <c:pt idx="5">
                  <c:v>135939783.632128</c:v>
                </c:pt>
                <c:pt idx="6">
                  <c:v>94572580.57013306</c:v>
                </c:pt>
                <c:pt idx="7">
                  <c:v>266103762.14039189</c:v>
                </c:pt>
                <c:pt idx="8">
                  <c:v>332173429.7122618</c:v>
                </c:pt>
                <c:pt idx="9">
                  <c:v>389903780.4335596</c:v>
                </c:pt>
                <c:pt idx="10">
                  <c:v>448594009.12342358</c:v>
                </c:pt>
                <c:pt idx="11">
                  <c:v>471037114.87500608</c:v>
                </c:pt>
                <c:pt idx="12">
                  <c:v>467658264.75753474</c:v>
                </c:pt>
                <c:pt idx="13">
                  <c:v>442593966.49685818</c:v>
                </c:pt>
                <c:pt idx="14">
                  <c:v>401652803.60420954</c:v>
                </c:pt>
                <c:pt idx="15">
                  <c:v>348998700.65156621</c:v>
                </c:pt>
                <c:pt idx="16">
                  <c:v>290864080.07877904</c:v>
                </c:pt>
                <c:pt idx="17">
                  <c:v>234178032.08534631</c:v>
                </c:pt>
                <c:pt idx="18">
                  <c:v>184480548.81068993</c:v>
                </c:pt>
                <c:pt idx="19">
                  <c:v>144588745.12158307</c:v>
                </c:pt>
              </c:numCache>
            </c:numRef>
          </c:val>
        </c:ser>
        <c:dLbls>
          <c:showLegendKey val="0"/>
          <c:showVal val="0"/>
          <c:showCatName val="0"/>
          <c:showSerName val="0"/>
          <c:showPercent val="0"/>
          <c:showBubbleSize val="0"/>
        </c:dLbls>
        <c:axId val="79926400"/>
        <c:axId val="79928320"/>
      </c:areaChart>
      <c:catAx>
        <c:axId val="79926400"/>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Year</a:t>
                </a:r>
              </a:p>
            </c:rich>
          </c:tx>
          <c:layout>
            <c:manualLayout>
              <c:xMode val="edge"/>
              <c:yMode val="edge"/>
              <c:x val="0.5343367348790945"/>
              <c:y val="0.9000145890854539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9928320"/>
        <c:crosses val="autoZero"/>
        <c:auto val="1"/>
        <c:lblAlgn val="ctr"/>
        <c:lblOffset val="100"/>
        <c:tickLblSkip val="1"/>
        <c:tickMarkSkip val="1"/>
        <c:noMultiLvlLbl val="0"/>
      </c:catAx>
      <c:valAx>
        <c:axId val="79928320"/>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 2009 MT</a:t>
                </a:r>
              </a:p>
            </c:rich>
          </c:tx>
          <c:layout>
            <c:manualLayout>
              <c:xMode val="edge"/>
              <c:yMode val="edge"/>
              <c:x val="2.2091387954099189E-2"/>
              <c:y val="0.3962163820431544"/>
            </c:manualLayout>
          </c:layout>
          <c:overlay val="0"/>
          <c:spPr>
            <a:noFill/>
            <a:ln w="25400">
              <a:noFill/>
            </a:ln>
          </c:spPr>
        </c:title>
        <c:numFmt formatCode="&quot;$&quot;#,##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9926400"/>
        <c:crosses val="autoZero"/>
        <c:crossBetween val="midCat"/>
      </c:valAx>
      <c:spPr>
        <a:noFill/>
        <a:ln w="12700">
          <a:solidFill>
            <a:srgbClr val="808080"/>
          </a:solidFill>
          <a:prstDash val="solid"/>
        </a:ln>
      </c:spPr>
    </c:plotArea>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000000000000111" r="0.75000000000000111" t="1" header="0.5" footer="0.5"/>
    <c:pageSetup orientation="landscape" horizontalDpi="200" verticalDpi="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4.png"/><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0</xdr:row>
      <xdr:rowOff>142875</xdr:rowOff>
    </xdr:from>
    <xdr:to>
      <xdr:col>1</xdr:col>
      <xdr:colOff>2400300</xdr:colOff>
      <xdr:row>6</xdr:row>
      <xdr:rowOff>19050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142875"/>
          <a:ext cx="2409825"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73</xdr:col>
      <xdr:colOff>223650</xdr:colOff>
      <xdr:row>2</xdr:row>
      <xdr:rowOff>5603</xdr:rowOff>
    </xdr:from>
    <xdr:to>
      <xdr:col>76</xdr:col>
      <xdr:colOff>552262</xdr:colOff>
      <xdr:row>2</xdr:row>
      <xdr:rowOff>158003</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861709" y="5603"/>
          <a:ext cx="2143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142875</xdr:colOff>
      <xdr:row>0</xdr:row>
      <xdr:rowOff>152400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1552575</xdr:colOff>
      <xdr:row>0</xdr:row>
      <xdr:rowOff>152400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2</xdr:row>
      <xdr:rowOff>114300</xdr:rowOff>
    </xdr:from>
    <xdr:to>
      <xdr:col>13</xdr:col>
      <xdr:colOff>571500</xdr:colOff>
      <xdr:row>27</xdr:row>
      <xdr:rowOff>114300</xdr:rowOff>
    </xdr:to>
    <xdr:pic>
      <xdr:nvPicPr>
        <xdr:cNvPr id="3686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438150"/>
          <a:ext cx="8496300" cy="4048125"/>
        </a:xfrm>
        <a:prstGeom prst="rect">
          <a:avLst/>
        </a:prstGeom>
        <a:noFill/>
        <a:ln w="1">
          <a:noFill/>
          <a:miter lim="800000"/>
          <a:headEnd/>
          <a:tailEnd type="none" w="med" len="med"/>
        </a:ln>
        <a:effectLst/>
      </xdr:spPr>
    </xdr:pic>
    <xdr:clientData/>
  </xdr:twoCellAnchor>
  <xdr:twoCellAnchor editAs="oneCell">
    <xdr:from>
      <xdr:col>27</xdr:col>
      <xdr:colOff>0</xdr:colOff>
      <xdr:row>1</xdr:row>
      <xdr:rowOff>0</xdr:rowOff>
    </xdr:from>
    <xdr:to>
      <xdr:col>33</xdr:col>
      <xdr:colOff>552450</xdr:colOff>
      <xdr:row>26</xdr:row>
      <xdr:rowOff>47625</xdr:rowOff>
    </xdr:to>
    <xdr:pic>
      <xdr:nvPicPr>
        <xdr:cNvPr id="3686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6459200" y="161925"/>
          <a:ext cx="4210050" cy="4095750"/>
        </a:xfrm>
        <a:prstGeom prst="rect">
          <a:avLst/>
        </a:prstGeom>
        <a:noFill/>
        <a:ln w="1">
          <a:noFill/>
          <a:miter lim="800000"/>
          <a:headEnd/>
          <a:tailEnd type="none" w="med" len="med"/>
        </a:ln>
        <a:effectLst/>
      </xdr:spPr>
    </xdr:pic>
    <xdr:clientData/>
  </xdr:twoCellAnchor>
  <xdr:twoCellAnchor editAs="oneCell">
    <xdr:from>
      <xdr:col>0</xdr:col>
      <xdr:colOff>0</xdr:colOff>
      <xdr:row>0</xdr:row>
      <xdr:rowOff>0</xdr:rowOff>
    </xdr:from>
    <xdr:to>
      <xdr:col>3</xdr:col>
      <xdr:colOff>333375</xdr:colOff>
      <xdr:row>0</xdr:row>
      <xdr:rowOff>152400</xdr:rowOff>
    </xdr:to>
    <xdr:pic>
      <xdr:nvPicPr>
        <xdr:cNvPr id="4" name="Picture 3" descr="MCC horizontal"/>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381001</xdr:colOff>
      <xdr:row>0</xdr:row>
      <xdr:rowOff>114301</xdr:rowOff>
    </xdr:from>
    <xdr:to>
      <xdr:col>2</xdr:col>
      <xdr:colOff>1590675</xdr:colOff>
      <xdr:row>2</xdr:row>
      <xdr:rowOff>256626</xdr:rowOff>
    </xdr:to>
    <xdr:pic>
      <xdr:nvPicPr>
        <xdr:cNvPr id="2" name="Picture 1" descr="content-branding-logo-horz"/>
        <xdr:cNvPicPr>
          <a:picLocks noChangeAspect="1" noChangeArrowheads="1"/>
        </xdr:cNvPicPr>
      </xdr:nvPicPr>
      <xdr:blipFill>
        <a:blip xmlns:r="http://schemas.openxmlformats.org/officeDocument/2006/relationships" r:embed="rId1" cstate="print"/>
        <a:srcRect/>
        <a:stretch>
          <a:fillRect/>
        </a:stretch>
      </xdr:blipFill>
      <xdr:spPr bwMode="auto">
        <a:xfrm>
          <a:off x="381001" y="114301"/>
          <a:ext cx="1876424" cy="561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xdr:colOff>
      <xdr:row>29</xdr:row>
      <xdr:rowOff>19050</xdr:rowOff>
    </xdr:from>
    <xdr:to>
      <xdr:col>1</xdr:col>
      <xdr:colOff>2190750</xdr:colOff>
      <xdr:row>30</xdr:row>
      <xdr:rowOff>9525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7038975"/>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0</xdr:row>
      <xdr:rowOff>19050</xdr:rowOff>
    </xdr:from>
    <xdr:to>
      <xdr:col>1</xdr:col>
      <xdr:colOff>2190750</xdr:colOff>
      <xdr:row>1</xdr:row>
      <xdr:rowOff>9525</xdr:rowOff>
    </xdr:to>
    <xdr:pic>
      <xdr:nvPicPr>
        <xdr:cNvPr id="3"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1905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29</xdr:row>
      <xdr:rowOff>19050</xdr:rowOff>
    </xdr:from>
    <xdr:to>
      <xdr:col>1</xdr:col>
      <xdr:colOff>2190750</xdr:colOff>
      <xdr:row>30</xdr:row>
      <xdr:rowOff>9525</xdr:rowOff>
    </xdr:to>
    <xdr:pic>
      <xdr:nvPicPr>
        <xdr:cNvPr id="4" name="Picture 3"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7038975"/>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33</xdr:row>
      <xdr:rowOff>0</xdr:rowOff>
    </xdr:from>
    <xdr:to>
      <xdr:col>7</xdr:col>
      <xdr:colOff>257175</xdr:colOff>
      <xdr:row>54</xdr:row>
      <xdr:rowOff>150719</xdr:rowOff>
    </xdr:to>
    <xdr:graphicFrame macro="">
      <xdr:nvGraphicFramePr>
        <xdr:cNvPr id="2" name="Chart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285750</xdr:colOff>
      <xdr:row>0</xdr:row>
      <xdr:rowOff>0</xdr:rowOff>
    </xdr:from>
    <xdr:to>
      <xdr:col>2</xdr:col>
      <xdr:colOff>981075</xdr:colOff>
      <xdr:row>0</xdr:row>
      <xdr:rowOff>152400</xdr:rowOff>
    </xdr:to>
    <xdr:pic>
      <xdr:nvPicPr>
        <xdr:cNvPr id="3" name="Picture 2" descr="MCC horizontal"/>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5750" y="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19050</xdr:rowOff>
    </xdr:from>
    <xdr:to>
      <xdr:col>1</xdr:col>
      <xdr:colOff>885825</xdr:colOff>
      <xdr:row>1</xdr:row>
      <xdr:rowOff>9525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905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0</xdr:col>
      <xdr:colOff>2171700</xdr:colOff>
      <xdr:row>1</xdr:row>
      <xdr:rowOff>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525"/>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2162175</xdr:colOff>
      <xdr:row>0</xdr:row>
      <xdr:rowOff>152400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66675</xdr:colOff>
      <xdr:row>0</xdr:row>
      <xdr:rowOff>19050</xdr:rowOff>
    </xdr:from>
    <xdr:to>
      <xdr:col>1</xdr:col>
      <xdr:colOff>142875</xdr:colOff>
      <xdr:row>1</xdr:row>
      <xdr:rowOff>9525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1905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xdr:colOff>
      <xdr:row>0</xdr:row>
      <xdr:rowOff>19050</xdr:rowOff>
    </xdr:from>
    <xdr:to>
      <xdr:col>0</xdr:col>
      <xdr:colOff>2209800</xdr:colOff>
      <xdr:row>1</xdr:row>
      <xdr:rowOff>9525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1905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28575</xdr:colOff>
      <xdr:row>2</xdr:row>
      <xdr:rowOff>47625</xdr:rowOff>
    </xdr:from>
    <xdr:to>
      <xdr:col>0</xdr:col>
      <xdr:colOff>2190750</xdr:colOff>
      <xdr:row>3</xdr:row>
      <xdr:rowOff>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43815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0.xml"/><Relationship Id="rId1" Type="http://schemas.openxmlformats.org/officeDocument/2006/relationships/printerSettings" Target="../printerSettings/printerSettings9.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heetViews>
  <sheetFormatPr defaultRowHeight="12.75" x14ac:dyDescent="0.2"/>
  <cols>
    <col min="1" max="2" width="36.7109375" customWidth="1"/>
  </cols>
  <sheetData>
    <row r="1" spans="1:16" x14ac:dyDescent="0.2">
      <c r="A1" s="1" t="s">
        <v>100</v>
      </c>
    </row>
    <row r="2" spans="1:16" x14ac:dyDescent="0.2">
      <c r="P2" t="e">
        <f ca="1">_xll.CB.RecalcCounterFN()</f>
        <v>#NAME?</v>
      </c>
    </row>
    <row r="3" spans="1:16" x14ac:dyDescent="0.2">
      <c r="A3" t="s">
        <v>101</v>
      </c>
      <c r="B3" t="s">
        <v>102</v>
      </c>
      <c r="C3">
        <v>0</v>
      </c>
    </row>
    <row r="4" spans="1:16" x14ac:dyDescent="0.2">
      <c r="A4" t="s">
        <v>103</v>
      </c>
    </row>
    <row r="5" spans="1:16" x14ac:dyDescent="0.2">
      <c r="A5" t="s">
        <v>104</v>
      </c>
    </row>
    <row r="7" spans="1:16" x14ac:dyDescent="0.2">
      <c r="A7" s="1" t="s">
        <v>105</v>
      </c>
      <c r="B7" t="s">
        <v>106</v>
      </c>
    </row>
    <row r="8" spans="1:16" x14ac:dyDescent="0.2">
      <c r="B8">
        <v>2</v>
      </c>
    </row>
    <row r="10" spans="1:16" x14ac:dyDescent="0.2">
      <c r="A10" t="s">
        <v>107</v>
      </c>
    </row>
    <row r="11" spans="1:16" x14ac:dyDescent="0.2">
      <c r="A11" t="e">
        <f>CB_DATA_!#REF!</f>
        <v>#REF!</v>
      </c>
      <c r="B11" t="e">
        <f>'Crystal Ball Sensitivity'!#REF!</f>
        <v>#REF!</v>
      </c>
    </row>
    <row r="13" spans="1:16" x14ac:dyDescent="0.2">
      <c r="A13" t="s">
        <v>108</v>
      </c>
    </row>
    <row r="14" spans="1:16" x14ac:dyDescent="0.2">
      <c r="A14" t="s">
        <v>112</v>
      </c>
      <c r="B14" t="s">
        <v>116</v>
      </c>
    </row>
    <row r="16" spans="1:16" x14ac:dyDescent="0.2">
      <c r="A16" t="s">
        <v>109</v>
      </c>
    </row>
    <row r="19" spans="1:2" x14ac:dyDescent="0.2">
      <c r="A19" t="s">
        <v>110</v>
      </c>
    </row>
    <row r="20" spans="1:2" x14ac:dyDescent="0.2">
      <c r="A20">
        <v>31</v>
      </c>
      <c r="B20">
        <v>31</v>
      </c>
    </row>
    <row r="25" spans="1:2" x14ac:dyDescent="0.2">
      <c r="A25" s="1" t="s">
        <v>111</v>
      </c>
    </row>
    <row r="26" spans="1:2" x14ac:dyDescent="0.2">
      <c r="A26" s="85" t="s">
        <v>113</v>
      </c>
      <c r="B26" s="85" t="s">
        <v>117</v>
      </c>
    </row>
    <row r="27" spans="1:2" x14ac:dyDescent="0.2">
      <c r="A27" t="s">
        <v>114</v>
      </c>
      <c r="B27" t="s">
        <v>369</v>
      </c>
    </row>
    <row r="28" spans="1:2" x14ac:dyDescent="0.2">
      <c r="A28" s="85" t="s">
        <v>115</v>
      </c>
      <c r="B28" s="85" t="s">
        <v>115</v>
      </c>
    </row>
    <row r="29" spans="1:2" x14ac:dyDescent="0.2">
      <c r="A29" s="85" t="s">
        <v>117</v>
      </c>
      <c r="B29" s="85" t="s">
        <v>113</v>
      </c>
    </row>
    <row r="30" spans="1:2" x14ac:dyDescent="0.2">
      <c r="A30" t="s">
        <v>367</v>
      </c>
      <c r="B30" t="s">
        <v>118</v>
      </c>
    </row>
    <row r="31" spans="1:2" x14ac:dyDescent="0.2">
      <c r="A31" s="85" t="s">
        <v>115</v>
      </c>
      <c r="B31" s="85" t="s">
        <v>115</v>
      </c>
    </row>
  </sheetData>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Y68"/>
  <sheetViews>
    <sheetView topLeftCell="A3" workbookViewId="0">
      <pane xSplit="1" ySplit="6" topLeftCell="B45" activePane="bottomRight" state="frozen"/>
      <selection activeCell="A3" sqref="A3"/>
      <selection pane="topRight" activeCell="B3" sqref="B3"/>
      <selection pane="bottomLeft" activeCell="A10" sqref="A10"/>
      <selection pane="bottomRight" activeCell="A4" sqref="A4"/>
    </sheetView>
  </sheetViews>
  <sheetFormatPr defaultRowHeight="15" x14ac:dyDescent="0.25"/>
  <cols>
    <col min="1" max="1" width="63.140625" style="139" bestFit="1" customWidth="1"/>
    <col min="2" max="2" width="11.5703125" style="771" customWidth="1"/>
    <col min="3" max="10" width="15" style="139" bestFit="1" customWidth="1"/>
    <col min="11" max="11" width="14.42578125" style="139" customWidth="1"/>
    <col min="12" max="16" width="15" style="139" bestFit="1" customWidth="1"/>
    <col min="17" max="23" width="14.5703125" style="139" bestFit="1" customWidth="1"/>
    <col min="24" max="16384" width="9.140625" style="139"/>
  </cols>
  <sheetData>
    <row r="2" spans="1:23" ht="15.75" customHeight="1" x14ac:dyDescent="0.25"/>
    <row r="3" spans="1:23" ht="15.75" customHeight="1" x14ac:dyDescent="0.25">
      <c r="G3" s="1035" t="s">
        <v>370</v>
      </c>
    </row>
    <row r="4" spans="1:23" ht="15.75" customHeight="1" x14ac:dyDescent="0.35">
      <c r="A4" s="1125" t="s">
        <v>80</v>
      </c>
      <c r="G4" s="1035"/>
    </row>
    <row r="5" spans="1:23" s="168" customFormat="1" x14ac:dyDescent="0.25">
      <c r="A5" s="168" t="s">
        <v>366</v>
      </c>
      <c r="B5" s="772"/>
      <c r="C5" s="168">
        <f>'Epidemic Assumptions'!B32</f>
        <v>3.7499999999999999E-2</v>
      </c>
      <c r="D5" s="168">
        <f>C5</f>
        <v>3.7499999999999999E-2</v>
      </c>
      <c r="E5" s="168">
        <f t="shared" ref="E5:W5" si="0">D5</f>
        <v>3.7499999999999999E-2</v>
      </c>
      <c r="F5" s="168">
        <f t="shared" si="0"/>
        <v>3.7499999999999999E-2</v>
      </c>
      <c r="G5" s="168">
        <f t="shared" si="0"/>
        <v>3.7499999999999999E-2</v>
      </c>
      <c r="H5" s="168">
        <f>'Epidemic Assumptions'!B33</f>
        <v>3.7499999999999999E-2</v>
      </c>
      <c r="I5" s="168">
        <f t="shared" si="0"/>
        <v>3.7499999999999999E-2</v>
      </c>
      <c r="J5" s="168">
        <f t="shared" si="0"/>
        <v>3.7499999999999999E-2</v>
      </c>
      <c r="L5" s="168">
        <f>J5</f>
        <v>3.7499999999999999E-2</v>
      </c>
      <c r="M5" s="168">
        <f t="shared" si="0"/>
        <v>3.7499999999999999E-2</v>
      </c>
      <c r="N5" s="168">
        <f t="shared" si="0"/>
        <v>3.7499999999999999E-2</v>
      </c>
      <c r="O5" s="168">
        <f t="shared" si="0"/>
        <v>3.7499999999999999E-2</v>
      </c>
      <c r="P5" s="168">
        <f t="shared" si="0"/>
        <v>3.7499999999999999E-2</v>
      </c>
      <c r="Q5" s="168">
        <f t="shared" si="0"/>
        <v>3.7499999999999999E-2</v>
      </c>
      <c r="R5" s="168">
        <f t="shared" si="0"/>
        <v>3.7499999999999999E-2</v>
      </c>
      <c r="S5" s="168">
        <f t="shared" si="0"/>
        <v>3.7499999999999999E-2</v>
      </c>
      <c r="T5" s="168">
        <f t="shared" si="0"/>
        <v>3.7499999999999999E-2</v>
      </c>
      <c r="U5" s="168">
        <f t="shared" si="0"/>
        <v>3.7499999999999999E-2</v>
      </c>
      <c r="V5" s="168">
        <f t="shared" si="0"/>
        <v>3.7499999999999999E-2</v>
      </c>
      <c r="W5" s="168">
        <f t="shared" si="0"/>
        <v>3.7499999999999999E-2</v>
      </c>
    </row>
    <row r="6" spans="1:23" x14ac:dyDescent="0.25">
      <c r="C6" s="921" t="s">
        <v>370</v>
      </c>
      <c r="D6" s="141"/>
    </row>
    <row r="7" spans="1:23" s="718" customFormat="1" x14ac:dyDescent="0.25">
      <c r="A7" s="718" t="s">
        <v>126</v>
      </c>
      <c r="B7" s="773"/>
      <c r="C7" s="718">
        <v>1</v>
      </c>
      <c r="D7" s="718">
        <v>2</v>
      </c>
      <c r="E7" s="718">
        <v>3</v>
      </c>
      <c r="F7" s="718">
        <v>4</v>
      </c>
      <c r="G7" s="718">
        <v>5</v>
      </c>
      <c r="H7" s="718">
        <v>6</v>
      </c>
      <c r="I7" s="718">
        <v>7</v>
      </c>
      <c r="J7" s="718">
        <v>8</v>
      </c>
      <c r="L7" s="718">
        <v>9</v>
      </c>
      <c r="M7" s="718">
        <v>10</v>
      </c>
      <c r="N7" s="718">
        <v>11</v>
      </c>
      <c r="O7" s="718">
        <v>12</v>
      </c>
      <c r="P7" s="718">
        <v>13</v>
      </c>
      <c r="Q7" s="718">
        <v>14</v>
      </c>
      <c r="R7" s="718">
        <v>15</v>
      </c>
      <c r="S7" s="718">
        <v>16</v>
      </c>
      <c r="T7" s="718">
        <v>17</v>
      </c>
      <c r="U7" s="718">
        <v>18</v>
      </c>
      <c r="V7" s="718">
        <v>19</v>
      </c>
      <c r="W7" s="718">
        <v>20</v>
      </c>
    </row>
    <row r="8" spans="1:23" s="718" customFormat="1" x14ac:dyDescent="0.25">
      <c r="A8" s="719" t="s">
        <v>4</v>
      </c>
      <c r="B8" s="774"/>
      <c r="C8" s="719">
        <v>2009</v>
      </c>
      <c r="D8" s="719">
        <v>2010</v>
      </c>
      <c r="E8" s="719">
        <v>2011</v>
      </c>
      <c r="F8" s="719">
        <v>2012</v>
      </c>
      <c r="G8" s="719">
        <v>2013</v>
      </c>
      <c r="H8" s="719">
        <v>2014</v>
      </c>
      <c r="I8" s="719">
        <v>2015</v>
      </c>
      <c r="J8" s="719">
        <v>2016</v>
      </c>
      <c r="K8" s="719" t="s">
        <v>331</v>
      </c>
      <c r="L8" s="719">
        <v>2017</v>
      </c>
      <c r="M8" s="719">
        <v>2018</v>
      </c>
      <c r="N8" s="719">
        <v>2019</v>
      </c>
      <c r="O8" s="719">
        <v>2020</v>
      </c>
      <c r="P8" s="719">
        <v>2021</v>
      </c>
      <c r="Q8" s="719">
        <v>2022</v>
      </c>
      <c r="R8" s="719">
        <v>2023</v>
      </c>
      <c r="S8" s="719">
        <v>2024</v>
      </c>
      <c r="T8" s="719">
        <v>2025</v>
      </c>
      <c r="U8" s="719">
        <v>2026</v>
      </c>
      <c r="V8" s="719">
        <v>2027</v>
      </c>
      <c r="W8" s="719">
        <v>2028</v>
      </c>
    </row>
    <row r="9" spans="1:23" customFormat="1" ht="18" x14ac:dyDescent="0.25">
      <c r="A9" s="73" t="s">
        <v>69</v>
      </c>
      <c r="B9" s="775"/>
      <c r="C9" s="31" t="s">
        <v>46</v>
      </c>
      <c r="D9" s="31" t="s">
        <v>46</v>
      </c>
    </row>
    <row r="10" spans="1:23" x14ac:dyDescent="0.25">
      <c r="A10" s="139" t="s">
        <v>127</v>
      </c>
      <c r="C10" s="142">
        <f>'Epidemic Assumptions'!B37</f>
        <v>3.3000000000000002E-2</v>
      </c>
      <c r="D10" s="143">
        <f t="shared" ref="D10:W10" si="1">C19</f>
        <v>5.0801554421332544E-2</v>
      </c>
      <c r="E10" s="143">
        <f t="shared" si="1"/>
        <v>7.7437002123959014E-2</v>
      </c>
      <c r="F10" s="143">
        <f t="shared" si="1"/>
        <v>0.11632607072830443</v>
      </c>
      <c r="G10" s="143">
        <f t="shared" si="1"/>
        <v>0.17112275070671304</v>
      </c>
      <c r="H10" s="143">
        <f t="shared" si="1"/>
        <v>0.24458748255359958</v>
      </c>
      <c r="I10" s="143">
        <f t="shared" si="1"/>
        <v>0.33677685689898024</v>
      </c>
      <c r="J10" s="143">
        <f t="shared" si="1"/>
        <v>0.44332191942851634</v>
      </c>
      <c r="K10" s="143"/>
      <c r="L10" s="143">
        <f>J19</f>
        <v>0.55534950026138963</v>
      </c>
      <c r="M10" s="143">
        <f t="shared" si="1"/>
        <v>0.66202000474054745</v>
      </c>
      <c r="N10" s="143">
        <f t="shared" si="1"/>
        <v>0.75441677324917422</v>
      </c>
      <c r="O10" s="143">
        <f t="shared" si="1"/>
        <v>0.82811253478005886</v>
      </c>
      <c r="P10" s="143">
        <f t="shared" si="1"/>
        <v>0.88311956046623585</v>
      </c>
      <c r="Q10" s="143">
        <f t="shared" si="1"/>
        <v>0.92217763902345984</v>
      </c>
      <c r="R10" s="143">
        <f t="shared" si="1"/>
        <v>0.94893829955159403</v>
      </c>
      <c r="S10" s="143">
        <f t="shared" si="1"/>
        <v>0.96682782689844415</v>
      </c>
      <c r="T10" s="143">
        <f t="shared" si="1"/>
        <v>0.97859113991591951</v>
      </c>
      <c r="U10" s="143">
        <f t="shared" si="1"/>
        <v>0.98624237691384398</v>
      </c>
      <c r="V10" s="143">
        <f t="shared" si="1"/>
        <v>0.99118380015586072</v>
      </c>
      <c r="W10" s="143">
        <f t="shared" si="1"/>
        <v>0.99436052612142456</v>
      </c>
    </row>
    <row r="11" spans="1:23" s="147" customFormat="1" x14ac:dyDescent="0.25">
      <c r="A11" s="147" t="s">
        <v>128</v>
      </c>
      <c r="B11" s="776" t="s">
        <v>58</v>
      </c>
      <c r="C11" s="147">
        <f t="shared" ref="C11:C15" si="2">C32</f>
        <v>4547226.184615328</v>
      </c>
      <c r="D11" s="147">
        <f t="shared" ref="D11:W11" si="3">C17</f>
        <v>4316220.0261314837</v>
      </c>
      <c r="E11" s="147">
        <f t="shared" si="3"/>
        <v>4195102.6208991483</v>
      </c>
      <c r="F11" s="147">
        <f t="shared" si="3"/>
        <v>4018265.2298461669</v>
      </c>
      <c r="G11" s="147">
        <f t="shared" si="3"/>
        <v>3769092.3318183608</v>
      </c>
      <c r="H11" s="147">
        <f t="shared" si="3"/>
        <v>3435031.5795184551</v>
      </c>
      <c r="I11" s="147">
        <f t="shared" si="3"/>
        <v>3015825.6425518356</v>
      </c>
      <c r="J11" s="147">
        <f t="shared" si="3"/>
        <v>2531341.1443760516</v>
      </c>
      <c r="L11" s="147">
        <f>J17</f>
        <v>2021926.3954137</v>
      </c>
      <c r="M11" s="147">
        <f t="shared" si="3"/>
        <v>1536871.4843199472</v>
      </c>
      <c r="N11" s="147">
        <f t="shared" si="3"/>
        <v>1116722.4791836785</v>
      </c>
      <c r="O11" s="147">
        <f t="shared" si="3"/>
        <v>781611.18265527301</v>
      </c>
      <c r="P11" s="147">
        <f t="shared" si="3"/>
        <v>531481.79511728138</v>
      </c>
      <c r="Q11" s="147">
        <f t="shared" si="3"/>
        <v>353875.87758110976</v>
      </c>
      <c r="R11" s="147">
        <f t="shared" si="3"/>
        <v>232189.10130997607</v>
      </c>
      <c r="S11" s="147">
        <f t="shared" si="3"/>
        <v>150841.37412798731</v>
      </c>
      <c r="T11" s="147">
        <f t="shared" si="3"/>
        <v>97350.929157097358</v>
      </c>
      <c r="U11" s="147">
        <f t="shared" si="3"/>
        <v>62559.023935437668</v>
      </c>
      <c r="V11" s="147">
        <f t="shared" si="3"/>
        <v>40089.254780072253</v>
      </c>
      <c r="W11" s="147">
        <f t="shared" si="3"/>
        <v>25643.963288113009</v>
      </c>
    </row>
    <row r="12" spans="1:23" s="147" customFormat="1" x14ac:dyDescent="0.25">
      <c r="A12" s="147" t="s">
        <v>129</v>
      </c>
      <c r="B12" s="776" t="s">
        <v>58</v>
      </c>
      <c r="C12" s="147">
        <f t="shared" si="2"/>
        <v>150058.46409230583</v>
      </c>
      <c r="D12" s="147">
        <f t="shared" ref="D12:W12" si="4">C16</f>
        <v>231006.15848384393</v>
      </c>
      <c r="E12" s="147">
        <f t="shared" si="4"/>
        <v>352123.56371617911</v>
      </c>
      <c r="F12" s="147">
        <f t="shared" si="4"/>
        <v>528960.95476916048</v>
      </c>
      <c r="G12" s="147">
        <f t="shared" si="4"/>
        <v>778133.85279696644</v>
      </c>
      <c r="H12" s="147">
        <f t="shared" si="4"/>
        <v>1112194.6050968724</v>
      </c>
      <c r="I12" s="147">
        <f t="shared" si="4"/>
        <v>1531400.5420634919</v>
      </c>
      <c r="J12" s="147">
        <f t="shared" si="4"/>
        <v>2015885.0402392759</v>
      </c>
      <c r="L12" s="147">
        <f>J16</f>
        <v>2525299.7892016275</v>
      </c>
      <c r="M12" s="147">
        <f t="shared" si="4"/>
        <v>3010354.7002953803</v>
      </c>
      <c r="N12" s="147">
        <f t="shared" si="4"/>
        <v>3430503.705431649</v>
      </c>
      <c r="O12" s="147">
        <f t="shared" si="4"/>
        <v>3765615.0019600545</v>
      </c>
      <c r="P12" s="147">
        <f t="shared" si="4"/>
        <v>4015744.3894980461</v>
      </c>
      <c r="Q12" s="147">
        <f t="shared" si="4"/>
        <v>4193350.3070342178</v>
      </c>
      <c r="R12" s="147">
        <f t="shared" si="4"/>
        <v>4315037.0833053514</v>
      </c>
      <c r="S12" s="147">
        <f t="shared" si="4"/>
        <v>4396384.8104873402</v>
      </c>
      <c r="T12" s="147">
        <f t="shared" si="4"/>
        <v>4449875.2554582302</v>
      </c>
      <c r="U12" s="147">
        <f t="shared" si="4"/>
        <v>4484667.1606798898</v>
      </c>
      <c r="V12" s="147">
        <f t="shared" si="4"/>
        <v>4507136.9298352553</v>
      </c>
      <c r="W12" s="147">
        <f t="shared" si="4"/>
        <v>4521582.2213272145</v>
      </c>
    </row>
    <row r="13" spans="1:23" s="147" customFormat="1" x14ac:dyDescent="0.25">
      <c r="A13" s="147" t="s">
        <v>130</v>
      </c>
      <c r="B13" s="776" t="s">
        <v>58</v>
      </c>
      <c r="C13" s="147">
        <f t="shared" si="2"/>
        <v>80947.694391538098</v>
      </c>
      <c r="D13" s="147">
        <f t="shared" ref="D13:W13" si="5">1/(1+EXP(-(LN(D10/(1-D10))+D$5*12)))*C18-D12</f>
        <v>121117.40523233518</v>
      </c>
      <c r="E13" s="147">
        <f t="shared" si="5"/>
        <v>176837.39105298137</v>
      </c>
      <c r="F13" s="147">
        <f t="shared" si="5"/>
        <v>249172.89802780596</v>
      </c>
      <c r="G13" s="147">
        <f t="shared" si="5"/>
        <v>334060.75229990599</v>
      </c>
      <c r="H13" s="147">
        <f t="shared" si="5"/>
        <v>419205.93696661945</v>
      </c>
      <c r="I13" s="147">
        <f t="shared" si="5"/>
        <v>484484.49817578401</v>
      </c>
      <c r="J13" s="147">
        <f t="shared" si="5"/>
        <v>509414.74896235159</v>
      </c>
      <c r="L13" s="147">
        <f>1/(1+EXP(-(LN(L10/(1-L10))+L$5*12)))*J18-L12</f>
        <v>485054.91109375283</v>
      </c>
      <c r="M13" s="147">
        <f t="shared" si="5"/>
        <v>420149.00513626868</v>
      </c>
      <c r="N13" s="147">
        <f t="shared" si="5"/>
        <v>335111.29652840551</v>
      </c>
      <c r="O13" s="147">
        <f t="shared" si="5"/>
        <v>250129.38753799163</v>
      </c>
      <c r="P13" s="147">
        <f t="shared" si="5"/>
        <v>177605.91753617162</v>
      </c>
      <c r="Q13" s="147">
        <f t="shared" si="5"/>
        <v>121686.77627113368</v>
      </c>
      <c r="R13" s="147">
        <f t="shared" si="5"/>
        <v>81347.727181988768</v>
      </c>
      <c r="S13" s="147">
        <f t="shared" si="5"/>
        <v>53490.444970889948</v>
      </c>
      <c r="T13" s="147">
        <f t="shared" si="5"/>
        <v>34791.90522165969</v>
      </c>
      <c r="U13" s="147">
        <f t="shared" si="5"/>
        <v>22469.769155365415</v>
      </c>
      <c r="V13" s="147">
        <f t="shared" si="5"/>
        <v>14445.291491959244</v>
      </c>
      <c r="W13" s="147">
        <f t="shared" si="5"/>
        <v>9259.166625992395</v>
      </c>
    </row>
    <row r="14" spans="1:23" s="147" customFormat="1" x14ac:dyDescent="0.25">
      <c r="A14" s="147" t="s">
        <v>131</v>
      </c>
      <c r="B14" s="776" t="s">
        <v>58</v>
      </c>
      <c r="C14" s="147">
        <f t="shared" si="2"/>
        <v>231006.15848384393</v>
      </c>
      <c r="D14" s="147">
        <f t="shared" ref="D14:W14" si="6">D12+D13</f>
        <v>352123.56371617911</v>
      </c>
      <c r="E14" s="147">
        <f t="shared" si="6"/>
        <v>528960.95476916048</v>
      </c>
      <c r="F14" s="147">
        <f t="shared" si="6"/>
        <v>778133.85279696644</v>
      </c>
      <c r="G14" s="147">
        <f t="shared" si="6"/>
        <v>1112194.6050968724</v>
      </c>
      <c r="H14" s="147">
        <f t="shared" si="6"/>
        <v>1531400.5420634919</v>
      </c>
      <c r="I14" s="147">
        <f t="shared" si="6"/>
        <v>2015885.0402392759</v>
      </c>
      <c r="J14" s="147">
        <f t="shared" si="6"/>
        <v>2525299.7892016275</v>
      </c>
      <c r="L14" s="147">
        <f t="shared" si="6"/>
        <v>3010354.7002953803</v>
      </c>
      <c r="M14" s="147">
        <f t="shared" si="6"/>
        <v>3430503.705431649</v>
      </c>
      <c r="N14" s="147">
        <f t="shared" si="6"/>
        <v>3765615.0019600545</v>
      </c>
      <c r="O14" s="147">
        <f t="shared" si="6"/>
        <v>4015744.3894980461</v>
      </c>
      <c r="P14" s="147">
        <f t="shared" si="6"/>
        <v>4193350.3070342178</v>
      </c>
      <c r="Q14" s="147">
        <f t="shared" si="6"/>
        <v>4315037.0833053514</v>
      </c>
      <c r="R14" s="147">
        <f t="shared" si="6"/>
        <v>4396384.8104873402</v>
      </c>
      <c r="S14" s="147">
        <f t="shared" si="6"/>
        <v>4449875.2554582302</v>
      </c>
      <c r="T14" s="147">
        <f t="shared" si="6"/>
        <v>4484667.1606798898</v>
      </c>
      <c r="U14" s="147">
        <f t="shared" si="6"/>
        <v>4507136.9298352553</v>
      </c>
      <c r="V14" s="147">
        <f t="shared" si="6"/>
        <v>4521582.2213272145</v>
      </c>
      <c r="W14" s="147">
        <f t="shared" si="6"/>
        <v>4530841.3879532069</v>
      </c>
    </row>
    <row r="15" spans="1:23" s="147" customFormat="1" x14ac:dyDescent="0.25">
      <c r="A15" s="147" t="s">
        <v>132</v>
      </c>
      <c r="B15" s="776" t="s">
        <v>65</v>
      </c>
      <c r="C15" s="148">
        <f t="shared" si="2"/>
        <v>0</v>
      </c>
      <c r="D15" s="148">
        <v>0</v>
      </c>
      <c r="E15" s="148">
        <v>0</v>
      </c>
      <c r="F15" s="148">
        <v>0</v>
      </c>
      <c r="G15" s="148">
        <v>0</v>
      </c>
      <c r="H15" s="148">
        <v>0</v>
      </c>
      <c r="I15" s="148">
        <v>0</v>
      </c>
      <c r="J15" s="148">
        <v>0</v>
      </c>
      <c r="K15" s="148"/>
      <c r="L15" s="148">
        <v>0</v>
      </c>
      <c r="M15" s="148">
        <v>0</v>
      </c>
      <c r="N15" s="148">
        <v>0</v>
      </c>
      <c r="O15" s="148">
        <v>0</v>
      </c>
      <c r="P15" s="148">
        <v>0</v>
      </c>
      <c r="Q15" s="148">
        <v>0</v>
      </c>
      <c r="R15" s="148">
        <v>0</v>
      </c>
      <c r="S15" s="148">
        <v>0</v>
      </c>
      <c r="T15" s="148">
        <v>0</v>
      </c>
      <c r="U15" s="148">
        <v>0</v>
      </c>
      <c r="V15" s="148">
        <v>0</v>
      </c>
      <c r="W15" s="148">
        <v>0</v>
      </c>
    </row>
    <row r="16" spans="1:23" s="147" customFormat="1" x14ac:dyDescent="0.25">
      <c r="A16" s="147" t="s">
        <v>133</v>
      </c>
      <c r="B16" s="776" t="s">
        <v>58</v>
      </c>
      <c r="C16" s="147">
        <f>C37</f>
        <v>231006.15848384393</v>
      </c>
      <c r="D16" s="147">
        <f t="shared" ref="D16:W16" si="7">D14*(1-D15)</f>
        <v>352123.56371617911</v>
      </c>
      <c r="E16" s="147">
        <f t="shared" si="7"/>
        <v>528960.95476916048</v>
      </c>
      <c r="F16" s="147">
        <f t="shared" si="7"/>
        <v>778133.85279696644</v>
      </c>
      <c r="G16" s="147">
        <f t="shared" si="7"/>
        <v>1112194.6050968724</v>
      </c>
      <c r="H16" s="147">
        <f t="shared" si="7"/>
        <v>1531400.5420634919</v>
      </c>
      <c r="I16" s="147">
        <f t="shared" si="7"/>
        <v>2015885.0402392759</v>
      </c>
      <c r="J16" s="147">
        <f t="shared" si="7"/>
        <v>2525299.7892016275</v>
      </c>
      <c r="L16" s="147">
        <f t="shared" si="7"/>
        <v>3010354.7002953803</v>
      </c>
      <c r="M16" s="147">
        <f t="shared" si="7"/>
        <v>3430503.705431649</v>
      </c>
      <c r="N16" s="147">
        <f t="shared" si="7"/>
        <v>3765615.0019600545</v>
      </c>
      <c r="O16" s="147">
        <f t="shared" si="7"/>
        <v>4015744.3894980461</v>
      </c>
      <c r="P16" s="147">
        <f t="shared" si="7"/>
        <v>4193350.3070342178</v>
      </c>
      <c r="Q16" s="147">
        <f t="shared" si="7"/>
        <v>4315037.0833053514</v>
      </c>
      <c r="R16" s="147">
        <f t="shared" si="7"/>
        <v>4396384.8104873402</v>
      </c>
      <c r="S16" s="147">
        <f t="shared" si="7"/>
        <v>4449875.2554582302</v>
      </c>
      <c r="T16" s="147">
        <f t="shared" si="7"/>
        <v>4484667.1606798898</v>
      </c>
      <c r="U16" s="147">
        <f t="shared" si="7"/>
        <v>4507136.9298352553</v>
      </c>
      <c r="V16" s="147">
        <f t="shared" si="7"/>
        <v>4521582.2213272145</v>
      </c>
      <c r="W16" s="147">
        <f t="shared" si="7"/>
        <v>4530841.3879532069</v>
      </c>
    </row>
    <row r="17" spans="1:24" s="147" customFormat="1" x14ac:dyDescent="0.25">
      <c r="A17" s="149" t="s">
        <v>134</v>
      </c>
      <c r="B17" s="777" t="s">
        <v>58</v>
      </c>
      <c r="C17" s="149">
        <f>C38</f>
        <v>4316220.0261314837</v>
      </c>
      <c r="D17" s="149">
        <f t="shared" ref="D17:W17" si="8">C17-D13</f>
        <v>4195102.6208991483</v>
      </c>
      <c r="E17" s="149">
        <f t="shared" si="8"/>
        <v>4018265.2298461669</v>
      </c>
      <c r="F17" s="149">
        <f t="shared" si="8"/>
        <v>3769092.3318183608</v>
      </c>
      <c r="G17" s="149">
        <f t="shared" si="8"/>
        <v>3435031.5795184551</v>
      </c>
      <c r="H17" s="149">
        <f t="shared" si="8"/>
        <v>3015825.6425518356</v>
      </c>
      <c r="I17" s="149">
        <f t="shared" si="8"/>
        <v>2531341.1443760516</v>
      </c>
      <c r="J17" s="149">
        <f t="shared" si="8"/>
        <v>2021926.3954137</v>
      </c>
      <c r="K17" s="149"/>
      <c r="L17" s="149">
        <f>J17-L13</f>
        <v>1536871.4843199472</v>
      </c>
      <c r="M17" s="149">
        <f t="shared" si="8"/>
        <v>1116722.4791836785</v>
      </c>
      <c r="N17" s="149">
        <f t="shared" si="8"/>
        <v>781611.18265527301</v>
      </c>
      <c r="O17" s="149">
        <f t="shared" si="8"/>
        <v>531481.79511728138</v>
      </c>
      <c r="P17" s="149">
        <f t="shared" si="8"/>
        <v>353875.87758110976</v>
      </c>
      <c r="Q17" s="149">
        <f t="shared" si="8"/>
        <v>232189.10130997607</v>
      </c>
      <c r="R17" s="149">
        <f t="shared" si="8"/>
        <v>150841.37412798731</v>
      </c>
      <c r="S17" s="149">
        <f t="shared" si="8"/>
        <v>97350.929157097358</v>
      </c>
      <c r="T17" s="149">
        <f t="shared" si="8"/>
        <v>62559.023935437668</v>
      </c>
      <c r="U17" s="149">
        <f t="shared" si="8"/>
        <v>40089.254780072253</v>
      </c>
      <c r="V17" s="149">
        <f t="shared" si="8"/>
        <v>25643.963288113009</v>
      </c>
      <c r="W17" s="149">
        <f t="shared" si="8"/>
        <v>16384.796662120614</v>
      </c>
    </row>
    <row r="18" spans="1:24" s="147" customFormat="1" x14ac:dyDescent="0.25">
      <c r="A18" s="147" t="s">
        <v>135</v>
      </c>
      <c r="B18" s="776" t="s">
        <v>58</v>
      </c>
      <c r="C18" s="147">
        <f>C39</f>
        <v>4547226.184615328</v>
      </c>
      <c r="D18" s="147">
        <f t="shared" ref="D18:W18" si="9">D16+D17</f>
        <v>4547226.184615327</v>
      </c>
      <c r="E18" s="147">
        <f t="shared" si="9"/>
        <v>4547226.184615327</v>
      </c>
      <c r="F18" s="147">
        <f t="shared" si="9"/>
        <v>4547226.184615327</v>
      </c>
      <c r="G18" s="147">
        <f t="shared" si="9"/>
        <v>4547226.184615327</v>
      </c>
      <c r="H18" s="147">
        <f t="shared" si="9"/>
        <v>4547226.184615327</v>
      </c>
      <c r="I18" s="147">
        <f t="shared" si="9"/>
        <v>4547226.184615327</v>
      </c>
      <c r="J18" s="147">
        <f t="shared" si="9"/>
        <v>4547226.184615327</v>
      </c>
      <c r="L18" s="147">
        <f t="shared" si="9"/>
        <v>4547226.184615327</v>
      </c>
      <c r="M18" s="147">
        <f t="shared" si="9"/>
        <v>4547226.184615327</v>
      </c>
      <c r="N18" s="147">
        <f t="shared" si="9"/>
        <v>4547226.184615327</v>
      </c>
      <c r="O18" s="147">
        <f t="shared" si="9"/>
        <v>4547226.184615327</v>
      </c>
      <c r="P18" s="147">
        <f t="shared" si="9"/>
        <v>4547226.184615327</v>
      </c>
      <c r="Q18" s="147">
        <f t="shared" si="9"/>
        <v>4547226.184615327</v>
      </c>
      <c r="R18" s="147">
        <f t="shared" si="9"/>
        <v>4547226.184615327</v>
      </c>
      <c r="S18" s="147">
        <f t="shared" si="9"/>
        <v>4547226.184615327</v>
      </c>
      <c r="T18" s="147">
        <f t="shared" si="9"/>
        <v>4547226.184615327</v>
      </c>
      <c r="U18" s="147">
        <f t="shared" si="9"/>
        <v>4547226.184615327</v>
      </c>
      <c r="V18" s="147">
        <f t="shared" si="9"/>
        <v>4547226.184615327</v>
      </c>
      <c r="W18" s="147">
        <f t="shared" si="9"/>
        <v>4547226.184615327</v>
      </c>
    </row>
    <row r="19" spans="1:24" s="635" customFormat="1" x14ac:dyDescent="0.25">
      <c r="A19" s="635" t="s">
        <v>136</v>
      </c>
      <c r="B19" s="778" t="s">
        <v>65</v>
      </c>
      <c r="C19" s="175">
        <f>C40</f>
        <v>5.0801554421332544E-2</v>
      </c>
      <c r="D19" s="175">
        <f t="shared" ref="D19:W19" si="10">D16/D18</f>
        <v>7.7437002123959014E-2</v>
      </c>
      <c r="E19" s="175">
        <f t="shared" si="10"/>
        <v>0.11632607072830443</v>
      </c>
      <c r="F19" s="175">
        <f t="shared" si="10"/>
        <v>0.17112275070671304</v>
      </c>
      <c r="G19" s="175">
        <f t="shared" si="10"/>
        <v>0.24458748255359958</v>
      </c>
      <c r="H19" s="175">
        <f t="shared" si="10"/>
        <v>0.33677685689898024</v>
      </c>
      <c r="I19" s="175">
        <f t="shared" si="10"/>
        <v>0.44332191942851634</v>
      </c>
      <c r="J19" s="175">
        <f t="shared" si="10"/>
        <v>0.55534950026138963</v>
      </c>
      <c r="K19" s="175"/>
      <c r="L19" s="175">
        <f t="shared" si="10"/>
        <v>0.66202000474054745</v>
      </c>
      <c r="M19" s="175">
        <f t="shared" si="10"/>
        <v>0.75441677324917422</v>
      </c>
      <c r="N19" s="175">
        <f t="shared" si="10"/>
        <v>0.82811253478005886</v>
      </c>
      <c r="O19" s="175">
        <f t="shared" si="10"/>
        <v>0.88311956046623585</v>
      </c>
      <c r="P19" s="175">
        <f t="shared" si="10"/>
        <v>0.92217763902345984</v>
      </c>
      <c r="Q19" s="175">
        <f t="shared" si="10"/>
        <v>0.94893829955159403</v>
      </c>
      <c r="R19" s="175">
        <f t="shared" si="10"/>
        <v>0.96682782689844415</v>
      </c>
      <c r="S19" s="175">
        <f t="shared" si="10"/>
        <v>0.97859113991591951</v>
      </c>
      <c r="T19" s="175">
        <f t="shared" si="10"/>
        <v>0.98624237691384398</v>
      </c>
      <c r="U19" s="175">
        <f t="shared" si="10"/>
        <v>0.99118380015586072</v>
      </c>
      <c r="V19" s="175">
        <f t="shared" si="10"/>
        <v>0.99436052612142456</v>
      </c>
      <c r="W19" s="175">
        <f t="shared" si="10"/>
        <v>0.9963967491396063</v>
      </c>
    </row>
    <row r="20" spans="1:24" s="147" customFormat="1" x14ac:dyDescent="0.25">
      <c r="B20" s="779"/>
    </row>
    <row r="21" spans="1:24" x14ac:dyDescent="0.25">
      <c r="A21" s="139" t="s">
        <v>137</v>
      </c>
      <c r="B21" s="780" t="s">
        <v>65</v>
      </c>
      <c r="C21" s="146">
        <f>C14/'Epidemic Assumptions'!$B36</f>
        <v>5.0801554421332544E-2</v>
      </c>
      <c r="D21" s="145">
        <f>($C14+SUM($D13:D13))/'Epidemic Assumptions'!$B36</f>
        <v>7.7437002123959001E-2</v>
      </c>
      <c r="E21" s="145">
        <f>($C14+SUM($D13:E13))/'Epidemic Assumptions'!$B36</f>
        <v>0.11632607072830442</v>
      </c>
      <c r="F21" s="145">
        <f>($C14+SUM($D13:F13))/'Epidemic Assumptions'!$B36</f>
        <v>0.17112275070671298</v>
      </c>
      <c r="G21" s="145">
        <f>($C14+SUM($D13:G13))/'Epidemic Assumptions'!$B36</f>
        <v>0.24458748255359952</v>
      </c>
      <c r="H21" s="145">
        <f>($C14+SUM($D13:H13))/'Epidemic Assumptions'!$B36</f>
        <v>0.33677685689898024</v>
      </c>
      <c r="I21" s="145">
        <f>($C14+SUM($D13:I13))/'Epidemic Assumptions'!$B36</f>
        <v>0.44332191942851634</v>
      </c>
      <c r="J21" s="145">
        <f>($C14+SUM($D13:J13))/'Epidemic Assumptions'!$B36</f>
        <v>0.55534950026138952</v>
      </c>
      <c r="K21" s="145"/>
      <c r="L21" s="145">
        <f>($C14+SUM($D13:L13))/'Epidemic Assumptions'!$B36</f>
        <v>0.66202000474054734</v>
      </c>
      <c r="M21" s="145">
        <f>($C14+SUM($D13:M13))/'Epidemic Assumptions'!$B36</f>
        <v>0.75441677324917411</v>
      </c>
      <c r="N21" s="145">
        <f>($C14+SUM($D13:N13))/'Epidemic Assumptions'!$B36</f>
        <v>0.82811253478005875</v>
      </c>
      <c r="O21" s="145">
        <f>($C14+SUM($D13:O13))/'Epidemic Assumptions'!$B36</f>
        <v>0.88311956046623563</v>
      </c>
      <c r="P21" s="145">
        <f>($C14+SUM($D13:P13))/'Epidemic Assumptions'!$B36</f>
        <v>0.92217763902345973</v>
      </c>
      <c r="Q21" s="145">
        <f>($C14+SUM($D13:Q13))/'Epidemic Assumptions'!$B36</f>
        <v>0.94893829955159392</v>
      </c>
      <c r="R21" s="145">
        <f>($C14+SUM($D13:R13))/'Epidemic Assumptions'!$B36</f>
        <v>0.96682782689844393</v>
      </c>
      <c r="S21" s="145">
        <f>($C14+SUM($D13:S13))/'Epidemic Assumptions'!$B36</f>
        <v>0.97859113991591928</v>
      </c>
      <c r="T21" s="145">
        <f>($C14+SUM($D13:T13))/'Epidemic Assumptions'!$B36</f>
        <v>0.98624237691384375</v>
      </c>
      <c r="U21" s="145">
        <f>($C14+SUM($D13:U13))/'Epidemic Assumptions'!$B36</f>
        <v>0.99118380015586049</v>
      </c>
      <c r="V21" s="145">
        <f>($C14+SUM($D13:V13))/'Epidemic Assumptions'!$B36</f>
        <v>0.99436052612142434</v>
      </c>
      <c r="W21" s="145">
        <f>($C14+SUM($D13:W13))/'Epidemic Assumptions'!$B36</f>
        <v>0.99639674913960607</v>
      </c>
    </row>
    <row r="22" spans="1:24" s="10" customFormat="1" ht="12.75" x14ac:dyDescent="0.2">
      <c r="A22" s="34" t="s">
        <v>70</v>
      </c>
      <c r="B22" s="781" t="s">
        <v>58</v>
      </c>
      <c r="C22" s="75">
        <f>C17*'Epidemic Assumptions'!$B$8</f>
        <v>215811001.3065742</v>
      </c>
      <c r="D22" s="75">
        <f>D17*'Epidemic Assumptions'!$B$8</f>
        <v>209755131.0449574</v>
      </c>
      <c r="E22" s="75">
        <f>E17*'Epidemic Assumptions'!$B$8</f>
        <v>200913261.49230835</v>
      </c>
      <c r="F22" s="75">
        <f>F17*'Epidemic Assumptions'!$B$8</f>
        <v>188454616.59091803</v>
      </c>
      <c r="G22" s="75">
        <f>G17*'Epidemic Assumptions'!$B$8</f>
        <v>171751578.97592276</v>
      </c>
      <c r="H22" s="75">
        <f>H17*'Epidemic Assumptions'!$B$8</f>
        <v>150791282.12759179</v>
      </c>
      <c r="I22" s="75">
        <f>I17*'Epidemic Assumptions'!$B$8</f>
        <v>126567057.21880259</v>
      </c>
      <c r="J22" s="75">
        <f>J17*'Epidemic Assumptions'!$B$8</f>
        <v>101096319.770685</v>
      </c>
      <c r="K22" s="75"/>
      <c r="L22" s="75">
        <f>L17*'Epidemic Assumptions'!$B$8</f>
        <v>76843574.215997353</v>
      </c>
      <c r="M22" s="75">
        <f>M17*'Epidemic Assumptions'!$B$8</f>
        <v>55836123.959183924</v>
      </c>
      <c r="N22" s="75">
        <f>N17*'Epidemic Assumptions'!$B$8</f>
        <v>39080559.132763654</v>
      </c>
      <c r="O22" s="75">
        <f>O17*'Epidemic Assumptions'!$B$8</f>
        <v>26574089.755864069</v>
      </c>
      <c r="P22" s="75">
        <f>P17*'Epidemic Assumptions'!$B$8</f>
        <v>17693793.879055489</v>
      </c>
      <c r="Q22" s="75">
        <f>Q17*'Epidemic Assumptions'!$B$8</f>
        <v>11609455.065498803</v>
      </c>
      <c r="R22" s="75">
        <f>R17*'Epidemic Assumptions'!$B$8</f>
        <v>7542068.7063993653</v>
      </c>
      <c r="S22" s="75">
        <f>S17*'Epidemic Assumptions'!$B$8</f>
        <v>4867546.4578548679</v>
      </c>
      <c r="T22" s="75">
        <f>T17*'Epidemic Assumptions'!$B$8</f>
        <v>3127951.1967718834</v>
      </c>
      <c r="U22" s="75">
        <f>U17*'Epidemic Assumptions'!$B$8</f>
        <v>2004462.7390036127</v>
      </c>
      <c r="V22" s="75">
        <f>V17*'Epidemic Assumptions'!$B$8</f>
        <v>1282198.1644056505</v>
      </c>
      <c r="W22" s="75">
        <f>W17*'Epidemic Assumptions'!$B$8</f>
        <v>819239.83310603071</v>
      </c>
      <c r="X22" s="75"/>
    </row>
    <row r="23" spans="1:24" s="10" customFormat="1" ht="12.75" x14ac:dyDescent="0.2">
      <c r="A23" s="34"/>
      <c r="B23" s="781"/>
      <c r="C23" s="75"/>
      <c r="D23" s="75"/>
      <c r="E23" s="75"/>
      <c r="F23" s="75"/>
      <c r="G23" s="75"/>
      <c r="H23" s="75"/>
      <c r="I23" s="75"/>
      <c r="J23" s="75"/>
      <c r="K23" s="75"/>
      <c r="L23" s="75"/>
      <c r="M23" s="75"/>
      <c r="N23" s="75"/>
      <c r="O23" s="75"/>
      <c r="P23" s="75"/>
      <c r="Q23" s="75"/>
      <c r="R23" s="75"/>
      <c r="S23" s="75"/>
      <c r="T23" s="75"/>
      <c r="U23" s="75"/>
      <c r="V23" s="75"/>
      <c r="W23" s="75"/>
      <c r="X23" s="75"/>
    </row>
    <row r="24" spans="1:24" s="35" customFormat="1" ht="15.75" customHeight="1" x14ac:dyDescent="0.2">
      <c r="A24" s="871" t="s">
        <v>71</v>
      </c>
      <c r="B24" s="872" t="s">
        <v>330</v>
      </c>
      <c r="C24" s="35">
        <f>((C22*'Epidemic Assumptions'!$B$30)*'Epidemic Assumptions'!$B$17)</f>
        <v>388459802.35183358</v>
      </c>
      <c r="D24" s="35">
        <f>((D22*'Epidemic Assumptions'!$B$30)*'Epidemic Assumptions'!$B$17)</f>
        <v>377559235.88092333</v>
      </c>
      <c r="E24" s="35">
        <f>((E22*'Epidemic Assumptions'!$B$30)*'Epidemic Assumptions'!$B$17)</f>
        <v>361643870.68615502</v>
      </c>
      <c r="F24" s="35">
        <f>((F22*'Epidemic Assumptions'!$B$30)*'Epidemic Assumptions'!$B$17)</f>
        <v>339218309.86365247</v>
      </c>
      <c r="G24" s="35">
        <f>((G22*'Epidemic Assumptions'!$B$30)*'Epidemic Assumptions'!$B$17)</f>
        <v>309152842.15666097</v>
      </c>
      <c r="H24" s="35">
        <f>((H22*'Epidemic Assumptions'!$B$30)*'Epidemic Assumptions'!$B$17)</f>
        <v>271424307.82966524</v>
      </c>
      <c r="I24" s="35">
        <f>((I22*'Epidemic Assumptions'!$B$30)*'Epidemic Assumptions'!$B$17)</f>
        <v>227820702.99384466</v>
      </c>
      <c r="J24" s="35">
        <f>((J22*'Epidemic Assumptions'!$B$30)*'Epidemic Assumptions'!$B$17)</f>
        <v>181973375.58723301</v>
      </c>
      <c r="L24" s="35">
        <f>((L22*'Epidemic Assumptions'!$B$30)*'Epidemic Assumptions'!$B$17)</f>
        <v>138318433.58879524</v>
      </c>
      <c r="M24" s="35">
        <f>((M22*'Epidemic Assumptions'!$B$30)*'Epidemic Assumptions'!$B$17)</f>
        <v>100505023.12653106</v>
      </c>
      <c r="N24" s="35">
        <f>((N22*'Epidemic Assumptions'!$B$30)*'Epidemic Assumptions'!$B$17)</f>
        <v>70345006.438974574</v>
      </c>
      <c r="O24" s="35">
        <f>((O22*'Epidemic Assumptions'!$B$30)*'Epidemic Assumptions'!$B$17)</f>
        <v>47833361.560555324</v>
      </c>
      <c r="P24" s="35">
        <f>((P22*'Epidemic Assumptions'!$B$30)*'Epidemic Assumptions'!$B$17)</f>
        <v>31848828.982299879</v>
      </c>
      <c r="Q24" s="35">
        <f>((Q22*'Epidemic Assumptions'!$B$30)*'Epidemic Assumptions'!$B$17)</f>
        <v>20897019.117897846</v>
      </c>
      <c r="R24" s="35">
        <f>((R22*'Epidemic Assumptions'!$B$30)*'Epidemic Assumptions'!$B$17)</f>
        <v>13575723.671518859</v>
      </c>
      <c r="S24" s="35">
        <f>((S22*'Epidemic Assumptions'!$B$30)*'Epidemic Assumptions'!$B$17)</f>
        <v>8761583.6241387632</v>
      </c>
      <c r="T24" s="35">
        <f>((T22*'Epidemic Assumptions'!$B$30)*'Epidemic Assumptions'!$B$17)</f>
        <v>5630312.1541893901</v>
      </c>
      <c r="U24" s="35">
        <f>((U22*'Epidemic Assumptions'!$B$30)*'Epidemic Assumptions'!$B$17)</f>
        <v>3608032.9302065028</v>
      </c>
      <c r="V24" s="35">
        <f>((V22*'Epidemic Assumptions'!$B$30)*'Epidemic Assumptions'!$B$17)</f>
        <v>2307956.6959301708</v>
      </c>
      <c r="W24" s="35">
        <f>((W22*'Epidemic Assumptions'!$B$30)*'Epidemic Assumptions'!$B$17)</f>
        <v>1474631.6995908553</v>
      </c>
    </row>
    <row r="25" spans="1:24" s="35" customFormat="1" ht="12.75" x14ac:dyDescent="0.2">
      <c r="A25" s="871" t="s">
        <v>12</v>
      </c>
      <c r="B25" s="872" t="s">
        <v>330</v>
      </c>
      <c r="C25" s="35">
        <f>(((C22*'Epidemic Assumptions'!$B$28)/'Epidemic Assumptions'!$B$18)*'Epidemic Assumptions'!$B$19)</f>
        <v>77075357.609490782</v>
      </c>
      <c r="D25" s="35">
        <f>(((D22*'Epidemic Assumptions'!$B$28)/'Epidemic Assumptions'!$B$18)*'Epidemic Assumptions'!$B$19)</f>
        <v>74912546.801770493</v>
      </c>
      <c r="E25" s="35">
        <f>(((E22*'Epidemic Assumptions'!$B$28)/'Epidemic Assumptions'!$B$18)*'Epidemic Assumptions'!$B$19)</f>
        <v>71754736.247252986</v>
      </c>
      <c r="F25" s="35">
        <f>(((F22*'Epidemic Assumptions'!$B$28)/'Epidemic Assumptions'!$B$18)*'Epidemic Assumptions'!$B$19)</f>
        <v>67305220.211042151</v>
      </c>
      <c r="G25" s="35">
        <f>(((G22*'Epidemic Assumptions'!$B$28)/'Epidemic Assumptions'!$B$18)*'Epidemic Assumptions'!$B$19)</f>
        <v>61339849.634258136</v>
      </c>
      <c r="H25" s="35">
        <f>(((H22*'Epidemic Assumptions'!$B$28)/'Epidemic Assumptions'!$B$18)*'Epidemic Assumptions'!$B$19)</f>
        <v>53854029.33128278</v>
      </c>
      <c r="I25" s="35">
        <f>(((I22*'Epidemic Assumptions'!$B$28)/'Epidemic Assumptions'!$B$18)*'Epidemic Assumptions'!$B$19)</f>
        <v>45202520.435286641</v>
      </c>
      <c r="J25" s="35">
        <f>(((J22*'Epidemic Assumptions'!$B$28)/'Epidemic Assumptions'!$B$18)*'Epidemic Assumptions'!$B$19)</f>
        <v>36105828.489530355</v>
      </c>
      <c r="L25" s="35">
        <f>(((L22*'Epidemic Assumptions'!$B$28)/'Epidemic Assumptions'!$B$18)*'Epidemic Assumptions'!$B$19)</f>
        <v>27444133.648570482</v>
      </c>
      <c r="M25" s="35">
        <f>(((M22*'Epidemic Assumptions'!$B$28)/'Epidemic Assumptions'!$B$18)*'Epidemic Assumptions'!$B$19)</f>
        <v>19941472.842565686</v>
      </c>
      <c r="N25" s="35">
        <f>(((N22*'Epidemic Assumptions'!$B$28)/'Epidemic Assumptions'!$B$18)*'Epidemic Assumptions'!$B$19)</f>
        <v>13957342.54741559</v>
      </c>
      <c r="O25" s="35">
        <f>(((O22*'Epidemic Assumptions'!$B$28)/'Epidemic Assumptions'!$B$18)*'Epidemic Assumptions'!$B$19)</f>
        <v>9490746.3413800243</v>
      </c>
      <c r="P25" s="35">
        <f>(((P22*'Epidemic Assumptions'!$B$28)/'Epidemic Assumptions'!$B$18)*'Epidemic Assumptions'!$B$19)</f>
        <v>6319212.0996626746</v>
      </c>
      <c r="Q25" s="35">
        <f>(((Q22*'Epidemic Assumptions'!$B$28)/'Epidemic Assumptions'!$B$18)*'Epidemic Assumptions'!$B$19)</f>
        <v>4146233.9519638577</v>
      </c>
      <c r="R25" s="35">
        <f>(((R22*'Epidemic Assumptions'!$B$28)/'Epidemic Assumptions'!$B$18)*'Epidemic Assumptions'!$B$19)</f>
        <v>2693595.966571202</v>
      </c>
      <c r="S25" s="35">
        <f>(((S22*'Epidemic Assumptions'!$B$28)/'Epidemic Assumptions'!$B$18)*'Epidemic Assumptions'!$B$19)</f>
        <v>1738409.4492338812</v>
      </c>
      <c r="T25" s="35">
        <f>(((T22*'Epidemic Assumptions'!$B$28)/'Epidemic Assumptions'!$B$18)*'Epidemic Assumptions'!$B$19)</f>
        <v>1117125.4274185298</v>
      </c>
      <c r="U25" s="35">
        <f>(((U22*'Epidemic Assumptions'!$B$28)/'Epidemic Assumptions'!$B$18)*'Epidemic Assumptions'!$B$19)</f>
        <v>715879.54964414728</v>
      </c>
      <c r="V25" s="35">
        <f>(((V22*'Epidemic Assumptions'!$B$28)/'Epidemic Assumptions'!$B$18)*'Epidemic Assumptions'!$B$19)</f>
        <v>457927.91585916083</v>
      </c>
      <c r="W25" s="35">
        <f>(((W22*'Epidemic Assumptions'!$B$28)/'Epidemic Assumptions'!$B$18)*'Epidemic Assumptions'!$B$19)</f>
        <v>292585.65468072525</v>
      </c>
    </row>
    <row r="26" spans="1:24" s="35" customFormat="1" ht="12.75" x14ac:dyDescent="0.2">
      <c r="A26" s="873" t="s">
        <v>11</v>
      </c>
      <c r="B26" s="874" t="s">
        <v>46</v>
      </c>
    </row>
    <row r="27" spans="1:24" s="35" customFormat="1" ht="12.75" x14ac:dyDescent="0.2">
      <c r="A27" s="843" t="s">
        <v>72</v>
      </c>
      <c r="B27" s="872" t="s">
        <v>330</v>
      </c>
      <c r="C27" s="35">
        <f>(C17*(('Epidemic Assumptions'!$B$21/'Epidemic Assumptions'!$B$22)*'Epidemic Assumptions'!$B$23))</f>
        <v>112221720.67941858</v>
      </c>
      <c r="D27" s="35">
        <f>(D17*(('Epidemic Assumptions'!$B$21/'Epidemic Assumptions'!$B$22)*'Epidemic Assumptions'!$B$23))</f>
        <v>109072668.14337786</v>
      </c>
      <c r="E27" s="35">
        <f>(E17*(('Epidemic Assumptions'!$B$21/'Epidemic Assumptions'!$B$22)*'Epidemic Assumptions'!$B$23))</f>
        <v>104474895.97600034</v>
      </c>
      <c r="F27" s="35">
        <f>(F17*(('Epidemic Assumptions'!$B$21/'Epidemic Assumptions'!$B$22)*'Epidemic Assumptions'!$B$23))</f>
        <v>97996400.627277374</v>
      </c>
      <c r="G27" s="35">
        <f>(G17*(('Epidemic Assumptions'!$B$21/'Epidemic Assumptions'!$B$22)*'Epidemic Assumptions'!$B$23))</f>
        <v>89310821.067479834</v>
      </c>
      <c r="H27" s="35">
        <f>(H17*(('Epidemic Assumptions'!$B$21/'Epidemic Assumptions'!$B$22)*'Epidemic Assumptions'!$B$23))</f>
        <v>78411466.706347734</v>
      </c>
      <c r="I27" s="35">
        <f>(I17*(('Epidemic Assumptions'!$B$21/'Epidemic Assumptions'!$B$22)*'Epidemic Assumptions'!$B$23))</f>
        <v>65814869.75377734</v>
      </c>
      <c r="J27" s="35">
        <f>(J17*(('Epidemic Assumptions'!$B$21/'Epidemic Assumptions'!$B$22)*'Epidemic Assumptions'!$B$23))</f>
        <v>52570086.280756198</v>
      </c>
      <c r="L27" s="35">
        <f>(L17*(('Epidemic Assumptions'!$B$21/'Epidemic Assumptions'!$B$22)*'Epidemic Assumptions'!$B$23))</f>
        <v>39958658.592318624</v>
      </c>
      <c r="M27" s="35">
        <f>(M17*(('Epidemic Assumptions'!$B$21/'Epidemic Assumptions'!$B$22)*'Epidemic Assumptions'!$B$23))</f>
        <v>29034784.45877564</v>
      </c>
      <c r="N27" s="35">
        <f>(N17*(('Epidemic Assumptions'!$B$21/'Epidemic Assumptions'!$B$22)*'Epidemic Assumptions'!$B$23))</f>
        <v>20321890.749037098</v>
      </c>
      <c r="O27" s="35">
        <f>(O17*(('Epidemic Assumptions'!$B$21/'Epidemic Assumptions'!$B$22)*'Epidemic Assumptions'!$B$23))</f>
        <v>13818526.673049316</v>
      </c>
      <c r="P27" s="35">
        <f>(P17*(('Epidemic Assumptions'!$B$21/'Epidemic Assumptions'!$B$22)*'Epidemic Assumptions'!$B$23))</f>
        <v>9200772.8171088547</v>
      </c>
      <c r="Q27" s="35">
        <f>(Q17*(('Epidemic Assumptions'!$B$21/'Epidemic Assumptions'!$B$22)*'Epidemic Assumptions'!$B$23))</f>
        <v>6036916.6340593779</v>
      </c>
      <c r="R27" s="35">
        <f>(R17*(('Epidemic Assumptions'!$B$21/'Epidemic Assumptions'!$B$22)*'Epidemic Assumptions'!$B$23))</f>
        <v>3921875.72732767</v>
      </c>
      <c r="S27" s="35">
        <f>(S17*(('Epidemic Assumptions'!$B$21/'Epidemic Assumptions'!$B$22)*'Epidemic Assumptions'!$B$23))</f>
        <v>2531124.1580845313</v>
      </c>
      <c r="T27" s="35">
        <f>(T17*(('Epidemic Assumptions'!$B$21/'Epidemic Assumptions'!$B$22)*'Epidemic Assumptions'!$B$23))</f>
        <v>1626534.6223213794</v>
      </c>
      <c r="U27" s="35">
        <f>(U17*(('Epidemic Assumptions'!$B$21/'Epidemic Assumptions'!$B$22)*'Epidemic Assumptions'!$B$23))</f>
        <v>1042320.6242818786</v>
      </c>
      <c r="V27" s="35">
        <f>(V17*(('Epidemic Assumptions'!$B$21/'Epidemic Assumptions'!$B$22)*'Epidemic Assumptions'!$B$23))</f>
        <v>666743.04549093824</v>
      </c>
      <c r="W27" s="35">
        <f>(W17*(('Epidemic Assumptions'!$B$21/'Epidemic Assumptions'!$B$22)*'Epidemic Assumptions'!$B$23))</f>
        <v>426004.71321513597</v>
      </c>
    </row>
    <row r="28" spans="1:24" s="877" customFormat="1" ht="12.75" x14ac:dyDescent="0.2">
      <c r="A28" s="875" t="s">
        <v>73</v>
      </c>
      <c r="B28" s="876" t="s">
        <v>330</v>
      </c>
      <c r="C28" s="877">
        <f>SUM(C24:C27)</f>
        <v>577756880.6407429</v>
      </c>
      <c r="D28" s="877">
        <f>SUM(D24:D27)</f>
        <v>561544450.82607174</v>
      </c>
      <c r="E28" s="877">
        <f t="shared" ref="E28:W28" si="11">SUM(E24:E27)</f>
        <v>537873502.90940833</v>
      </c>
      <c r="F28" s="877">
        <f t="shared" si="11"/>
        <v>504519930.70197201</v>
      </c>
      <c r="G28" s="877">
        <f t="shared" si="11"/>
        <v>459803512.85839897</v>
      </c>
      <c r="H28" s="877">
        <f t="shared" si="11"/>
        <v>403689803.86729574</v>
      </c>
      <c r="I28" s="877">
        <f t="shared" si="11"/>
        <v>338838093.18290859</v>
      </c>
      <c r="J28" s="877">
        <f t="shared" si="11"/>
        <v>270649290.35751957</v>
      </c>
      <c r="L28" s="877">
        <f t="shared" si="11"/>
        <v>205721225.82968435</v>
      </c>
      <c r="M28" s="877">
        <f t="shared" si="11"/>
        <v>149481280.42787239</v>
      </c>
      <c r="N28" s="877">
        <f t="shared" si="11"/>
        <v>104624239.73542726</v>
      </c>
      <c r="O28" s="877">
        <f t="shared" si="11"/>
        <v>71142634.57498467</v>
      </c>
      <c r="P28" s="877">
        <f t="shared" si="11"/>
        <v>47368813.89907141</v>
      </c>
      <c r="Q28" s="877">
        <f t="shared" si="11"/>
        <v>31080169.70392108</v>
      </c>
      <c r="R28" s="877">
        <f t="shared" si="11"/>
        <v>20191195.36541773</v>
      </c>
      <c r="S28" s="877">
        <f t="shared" si="11"/>
        <v>13031117.231457174</v>
      </c>
      <c r="T28" s="877">
        <f t="shared" si="11"/>
        <v>8373972.2039292995</v>
      </c>
      <c r="U28" s="877">
        <f t="shared" si="11"/>
        <v>5366233.1041325284</v>
      </c>
      <c r="V28" s="877">
        <f t="shared" si="11"/>
        <v>3432627.65728027</v>
      </c>
      <c r="W28" s="877">
        <f t="shared" si="11"/>
        <v>2193222.0674867164</v>
      </c>
    </row>
    <row r="29" spans="1:24" x14ac:dyDescent="0.25">
      <c r="F29" s="770" t="s">
        <v>46</v>
      </c>
    </row>
    <row r="30" spans="1:24" s="16" customFormat="1" ht="18" x14ac:dyDescent="0.25">
      <c r="A30" s="23" t="s">
        <v>31</v>
      </c>
      <c r="B30" s="782"/>
      <c r="C30" s="4" t="s">
        <v>83</v>
      </c>
      <c r="D30" s="4"/>
      <c r="E30" s="4"/>
      <c r="F30" s="4"/>
      <c r="G30" s="76" t="s">
        <v>46</v>
      </c>
      <c r="H30" s="4"/>
      <c r="I30" s="4"/>
      <c r="J30" s="4"/>
      <c r="K30" s="4"/>
      <c r="L30" s="4"/>
      <c r="M30" s="4"/>
      <c r="N30" s="4"/>
      <c r="O30" s="4"/>
      <c r="P30" s="4"/>
      <c r="Q30" s="4"/>
      <c r="R30" s="4"/>
      <c r="S30" s="4"/>
      <c r="T30" s="4"/>
      <c r="U30" s="4"/>
      <c r="V30" s="4"/>
      <c r="W30" s="4"/>
      <c r="X30" s="4"/>
    </row>
    <row r="31" spans="1:24" x14ac:dyDescent="0.25">
      <c r="A31" s="139" t="s">
        <v>127</v>
      </c>
      <c r="B31" s="780" t="s">
        <v>65</v>
      </c>
      <c r="C31" s="142">
        <f>'Epidemic Assumptions'!B37</f>
        <v>3.3000000000000002E-2</v>
      </c>
      <c r="D31" s="143">
        <f t="shared" ref="D31:W31" si="12">C40</f>
        <v>5.0801554421332544E-2</v>
      </c>
      <c r="E31" s="143">
        <f t="shared" si="12"/>
        <v>5.1736256594706855E-2</v>
      </c>
      <c r="F31" s="143">
        <f t="shared" si="12"/>
        <v>1.6825157028327667E-2</v>
      </c>
      <c r="G31" s="143">
        <f t="shared" si="12"/>
        <v>1.1933275656786641E-2</v>
      </c>
      <c r="H31" s="143">
        <f t="shared" si="12"/>
        <v>5.6502328692528509E-3</v>
      </c>
      <c r="I31" s="143">
        <f t="shared" si="12"/>
        <v>8.8329655576537356E-3</v>
      </c>
      <c r="J31" s="143">
        <f t="shared" si="12"/>
        <v>1.378365519601606E-2</v>
      </c>
      <c r="K31" s="143"/>
      <c r="L31" s="143">
        <f>J40</f>
        <v>2.144905496533742E-2</v>
      </c>
      <c r="M31" s="143">
        <f t="shared" si="12"/>
        <v>3.3233703423867979E-2</v>
      </c>
      <c r="N31" s="143">
        <f t="shared" si="12"/>
        <v>5.1154657955602485E-2</v>
      </c>
      <c r="O31" s="143">
        <f t="shared" si="12"/>
        <v>7.7960033703219134E-2</v>
      </c>
      <c r="P31" s="143">
        <f t="shared" si="12"/>
        <v>0.11707843613048018</v>
      </c>
      <c r="Q31" s="143">
        <f t="shared" si="12"/>
        <v>0.1721604787236668</v>
      </c>
      <c r="R31" s="143">
        <f t="shared" si="12"/>
        <v>0.24593853003114877</v>
      </c>
      <c r="S31" s="143">
        <f t="shared" si="12"/>
        <v>0.33840901210140256</v>
      </c>
      <c r="T31" s="143">
        <f t="shared" si="12"/>
        <v>0.44512387830074041</v>
      </c>
      <c r="U31" s="143">
        <f t="shared" si="12"/>
        <v>0.55715107223249083</v>
      </c>
      <c r="V31" s="143">
        <f t="shared" si="12"/>
        <v>0.66365114273186676</v>
      </c>
      <c r="W31" s="143">
        <f t="shared" si="12"/>
        <v>0.7557665010724649</v>
      </c>
    </row>
    <row r="32" spans="1:24" s="147" customFormat="1" x14ac:dyDescent="0.25">
      <c r="A32" s="147" t="s">
        <v>128</v>
      </c>
      <c r="B32" s="780" t="s">
        <v>58</v>
      </c>
      <c r="C32" s="147">
        <f>C43</f>
        <v>4547226.184615328</v>
      </c>
      <c r="D32" s="147">
        <f t="shared" ref="D32:T32" si="13">C38</f>
        <v>4316220.0261314837</v>
      </c>
      <c r="E32" s="147">
        <f t="shared" si="13"/>
        <v>4195102.6208991483</v>
      </c>
      <c r="F32" s="147">
        <f t="shared" si="13"/>
        <v>4075279.8369401228</v>
      </c>
      <c r="G32" s="147">
        <f t="shared" si="13"/>
        <v>4036681.3251969009</v>
      </c>
      <c r="H32" s="147">
        <f t="shared" si="13"/>
        <v>4009489.6640724014</v>
      </c>
      <c r="I32" s="147">
        <f t="shared" si="13"/>
        <v>3996656.0171611421</v>
      </c>
      <c r="J32" s="147">
        <f t="shared" si="13"/>
        <v>3976693.485272266</v>
      </c>
      <c r="L32" s="147">
        <f>J38</f>
        <v>3945784.5011682492</v>
      </c>
      <c r="M32" s="147">
        <f t="shared" si="13"/>
        <v>3898265.5820201621</v>
      </c>
      <c r="N32" s="147">
        <f t="shared" si="13"/>
        <v>3826003.4019095968</v>
      </c>
      <c r="O32" s="147">
        <f t="shared" si="13"/>
        <v>3717916.8104964225</v>
      </c>
      <c r="P32" s="147">
        <f t="shared" si="13"/>
        <v>3560180.7347293282</v>
      </c>
      <c r="Q32" s="147">
        <f t="shared" si="13"/>
        <v>3338074.9046141813</v>
      </c>
      <c r="R32" s="147">
        <f t="shared" si="13"/>
        <v>3040581.6643770607</v>
      </c>
      <c r="S32" s="147">
        <f t="shared" si="13"/>
        <v>2667715.4412950939</v>
      </c>
      <c r="T32" s="147">
        <f t="shared" si="13"/>
        <v>2237411.9734683111</v>
      </c>
      <c r="U32" s="147">
        <f>T38</f>
        <v>1785687.7502500582</v>
      </c>
      <c r="V32" s="147">
        <f>U38</f>
        <v>1356250.3973129783</v>
      </c>
      <c r="W32" s="147">
        <f>V38</f>
        <v>984816.13003830239</v>
      </c>
    </row>
    <row r="33" spans="1:23" s="169" customFormat="1" x14ac:dyDescent="0.25">
      <c r="A33" s="169" t="s">
        <v>129</v>
      </c>
      <c r="B33" s="780" t="s">
        <v>58</v>
      </c>
      <c r="C33" s="169">
        <f>C32*C31</f>
        <v>150058.46409230583</v>
      </c>
      <c r="D33" s="169">
        <f t="shared" ref="D33:T33" si="14">C37</f>
        <v>231006.15848384393</v>
      </c>
      <c r="E33" s="169">
        <f t="shared" si="14"/>
        <v>228880.31641551643</v>
      </c>
      <c r="F33" s="169">
        <f t="shared" si="14"/>
        <v>69740.620074908409</v>
      </c>
      <c r="G33" s="169">
        <f t="shared" si="14"/>
        <v>48752.609318158626</v>
      </c>
      <c r="H33" s="169">
        <f t="shared" si="14"/>
        <v>22783.281132797412</v>
      </c>
      <c r="I33" s="169">
        <f t="shared" si="14"/>
        <v>35616.928044056505</v>
      </c>
      <c r="J33" s="169">
        <f t="shared" si="14"/>
        <v>55579.459932932616</v>
      </c>
      <c r="L33" s="169">
        <f>J37</f>
        <v>86488.44403694931</v>
      </c>
      <c r="M33" s="169">
        <f t="shared" si="14"/>
        <v>134007.3631850362</v>
      </c>
      <c r="N33" s="169">
        <f t="shared" si="14"/>
        <v>206269.54329560179</v>
      </c>
      <c r="O33" s="169">
        <f t="shared" si="14"/>
        <v>314356.13470877596</v>
      </c>
      <c r="P33" s="169">
        <f t="shared" si="14"/>
        <v>472092.21047587</v>
      </c>
      <c r="Q33" s="169">
        <f t="shared" si="14"/>
        <v>694198.04059101676</v>
      </c>
      <c r="R33" s="169">
        <f t="shared" si="14"/>
        <v>991691.28082813718</v>
      </c>
      <c r="S33" s="169">
        <f t="shared" si="14"/>
        <v>1364557.5039101038</v>
      </c>
      <c r="T33" s="169">
        <f t="shared" si="14"/>
        <v>1794860.9717368865</v>
      </c>
      <c r="U33" s="169">
        <f>T37</f>
        <v>2246585.1949551394</v>
      </c>
      <c r="V33" s="169">
        <f>U37</f>
        <v>2676022.5478922194</v>
      </c>
      <c r="W33" s="169">
        <f>V37</f>
        <v>3047456.8151668953</v>
      </c>
    </row>
    <row r="34" spans="1:23" s="147" customFormat="1" x14ac:dyDescent="0.25">
      <c r="A34" s="147" t="s">
        <v>130</v>
      </c>
      <c r="B34" s="780" t="s">
        <v>58</v>
      </c>
      <c r="C34" s="147">
        <f>1/(1+EXP(-(LN(C31/(1-C31))+C5*12)))*'Epidemic Assumptions'!B36-C33</f>
        <v>80947.694391538098</v>
      </c>
      <c r="D34" s="147">
        <f>1/(1+EXP(-(LN(D31/(1-D31))+D$5*12)))*C39-D33</f>
        <v>121117.40523233518</v>
      </c>
      <c r="E34" s="147">
        <f t="shared" ref="E34:W34" si="15">1/(1+EXP(-(LN(E31/(1-E31))+E5*12)))*D39-E33</f>
        <v>119822.78395902569</v>
      </c>
      <c r="F34" s="147">
        <f t="shared" si="15"/>
        <v>38598.511743221883</v>
      </c>
      <c r="G34" s="147">
        <f t="shared" si="15"/>
        <v>27191.661124499406</v>
      </c>
      <c r="H34" s="147">
        <f t="shared" si="15"/>
        <v>12833.646911259093</v>
      </c>
      <c r="I34" s="147">
        <f t="shared" si="15"/>
        <v>19962.53188887611</v>
      </c>
      <c r="J34" s="147">
        <f t="shared" si="15"/>
        <v>30908.984104016694</v>
      </c>
      <c r="L34" s="147">
        <f>1/(1+EXP(-(LN(L31/(1-L31))+L5*12)))*J39-L33</f>
        <v>47518.91914808689</v>
      </c>
      <c r="M34" s="147">
        <f t="shared" si="15"/>
        <v>72262.18011056559</v>
      </c>
      <c r="N34" s="147">
        <f t="shared" si="15"/>
        <v>108086.59141317417</v>
      </c>
      <c r="O34" s="147">
        <f t="shared" si="15"/>
        <v>157736.07576709404</v>
      </c>
      <c r="P34" s="147">
        <f t="shared" si="15"/>
        <v>222105.83011514676</v>
      </c>
      <c r="Q34" s="147">
        <f t="shared" si="15"/>
        <v>297493.24023712042</v>
      </c>
      <c r="R34" s="147">
        <f t="shared" si="15"/>
        <v>372866.22308196663</v>
      </c>
      <c r="S34" s="147">
        <f t="shared" si="15"/>
        <v>430303.46782678273</v>
      </c>
      <c r="T34" s="147">
        <f t="shared" si="15"/>
        <v>451724.22321825288</v>
      </c>
      <c r="U34" s="147">
        <f t="shared" si="15"/>
        <v>429437.35293707997</v>
      </c>
      <c r="V34" s="147">
        <f t="shared" si="15"/>
        <v>371434.26727467589</v>
      </c>
      <c r="W34" s="147">
        <f t="shared" si="15"/>
        <v>295898.09083892778</v>
      </c>
    </row>
    <row r="35" spans="1:23" s="147" customFormat="1" x14ac:dyDescent="0.25">
      <c r="A35" s="147" t="s">
        <v>131</v>
      </c>
      <c r="B35" s="780" t="s">
        <v>58</v>
      </c>
      <c r="C35" s="147">
        <f t="shared" ref="C35:W35" si="16">C33+C34</f>
        <v>231006.15848384393</v>
      </c>
      <c r="D35" s="147">
        <f t="shared" si="16"/>
        <v>352123.56371617911</v>
      </c>
      <c r="E35" s="147">
        <f t="shared" si="16"/>
        <v>348703.10037454212</v>
      </c>
      <c r="F35" s="147">
        <f t="shared" si="16"/>
        <v>108339.13181813029</v>
      </c>
      <c r="G35" s="147">
        <f t="shared" si="16"/>
        <v>75944.270442658031</v>
      </c>
      <c r="H35" s="147">
        <f t="shared" si="16"/>
        <v>35616.928044056505</v>
      </c>
      <c r="I35" s="147">
        <f t="shared" si="16"/>
        <v>55579.459932932616</v>
      </c>
      <c r="J35" s="147">
        <f t="shared" si="16"/>
        <v>86488.44403694931</v>
      </c>
      <c r="L35" s="147">
        <f t="shared" si="16"/>
        <v>134007.3631850362</v>
      </c>
      <c r="M35" s="147">
        <f t="shared" si="16"/>
        <v>206269.54329560179</v>
      </c>
      <c r="N35" s="147">
        <f t="shared" si="16"/>
        <v>314356.13470877596</v>
      </c>
      <c r="O35" s="147">
        <f t="shared" si="16"/>
        <v>472092.21047587</v>
      </c>
      <c r="P35" s="147">
        <f t="shared" si="16"/>
        <v>694198.04059101676</v>
      </c>
      <c r="Q35" s="147">
        <f t="shared" si="16"/>
        <v>991691.28082813718</v>
      </c>
      <c r="R35" s="147">
        <f t="shared" si="16"/>
        <v>1364557.5039101038</v>
      </c>
      <c r="S35" s="147">
        <f t="shared" si="16"/>
        <v>1794860.9717368865</v>
      </c>
      <c r="T35" s="147">
        <f t="shared" si="16"/>
        <v>2246585.1949551394</v>
      </c>
      <c r="U35" s="147">
        <f t="shared" si="16"/>
        <v>2676022.5478922194</v>
      </c>
      <c r="V35" s="147">
        <f t="shared" si="16"/>
        <v>3047456.8151668953</v>
      </c>
      <c r="W35" s="147">
        <f t="shared" si="16"/>
        <v>3343354.9060058231</v>
      </c>
    </row>
    <row r="36" spans="1:23" s="157" customFormat="1" x14ac:dyDescent="0.25">
      <c r="A36" s="157" t="s">
        <v>132</v>
      </c>
      <c r="B36" s="814" t="s">
        <v>65</v>
      </c>
      <c r="C36" s="813">
        <v>0</v>
      </c>
      <c r="D36" s="816">
        <v>0.35</v>
      </c>
      <c r="E36" s="816">
        <v>0.8</v>
      </c>
      <c r="F36" s="816">
        <v>0.55000000000000004</v>
      </c>
      <c r="G36" s="816">
        <v>0.7</v>
      </c>
      <c r="H36" s="813">
        <v>0</v>
      </c>
      <c r="I36" s="813">
        <v>0</v>
      </c>
      <c r="J36" s="813">
        <v>0</v>
      </c>
      <c r="K36" s="813"/>
      <c r="L36" s="813">
        <v>0</v>
      </c>
      <c r="M36" s="813">
        <v>0</v>
      </c>
      <c r="N36" s="813">
        <v>0</v>
      </c>
      <c r="O36" s="813">
        <v>0</v>
      </c>
      <c r="P36" s="813">
        <v>0</v>
      </c>
      <c r="Q36" s="813">
        <v>0</v>
      </c>
      <c r="R36" s="813">
        <v>0</v>
      </c>
      <c r="S36" s="813">
        <v>0</v>
      </c>
      <c r="T36" s="813">
        <v>0</v>
      </c>
      <c r="U36" s="813">
        <v>0</v>
      </c>
      <c r="V36" s="813">
        <v>0</v>
      </c>
      <c r="W36" s="813">
        <v>0</v>
      </c>
    </row>
    <row r="37" spans="1:23" s="153" customFormat="1" x14ac:dyDescent="0.25">
      <c r="A37" s="153" t="s">
        <v>133</v>
      </c>
      <c r="B37" s="783" t="s">
        <v>58</v>
      </c>
      <c r="C37" s="153">
        <f t="shared" ref="C37:W37" si="17">C35*(1-C36)</f>
        <v>231006.15848384393</v>
      </c>
      <c r="D37" s="153">
        <f t="shared" si="17"/>
        <v>228880.31641551643</v>
      </c>
      <c r="E37" s="153">
        <f t="shared" si="17"/>
        <v>69740.620074908409</v>
      </c>
      <c r="F37" s="153">
        <f t="shared" si="17"/>
        <v>48752.609318158626</v>
      </c>
      <c r="G37" s="153">
        <f t="shared" si="17"/>
        <v>22783.281132797412</v>
      </c>
      <c r="H37" s="153">
        <f t="shared" si="17"/>
        <v>35616.928044056505</v>
      </c>
      <c r="I37" s="153">
        <f t="shared" si="17"/>
        <v>55579.459932932616</v>
      </c>
      <c r="J37" s="153">
        <f t="shared" si="17"/>
        <v>86488.44403694931</v>
      </c>
      <c r="L37" s="153">
        <f t="shared" si="17"/>
        <v>134007.3631850362</v>
      </c>
      <c r="M37" s="153">
        <f t="shared" si="17"/>
        <v>206269.54329560179</v>
      </c>
      <c r="N37" s="153">
        <f t="shared" si="17"/>
        <v>314356.13470877596</v>
      </c>
      <c r="O37" s="153">
        <f t="shared" si="17"/>
        <v>472092.21047587</v>
      </c>
      <c r="P37" s="153">
        <f t="shared" si="17"/>
        <v>694198.04059101676</v>
      </c>
      <c r="Q37" s="153">
        <f t="shared" si="17"/>
        <v>991691.28082813718</v>
      </c>
      <c r="R37" s="153">
        <f t="shared" si="17"/>
        <v>1364557.5039101038</v>
      </c>
      <c r="S37" s="153">
        <f t="shared" si="17"/>
        <v>1794860.9717368865</v>
      </c>
      <c r="T37" s="153">
        <f t="shared" si="17"/>
        <v>2246585.1949551394</v>
      </c>
      <c r="U37" s="153">
        <f t="shared" si="17"/>
        <v>2676022.5478922194</v>
      </c>
      <c r="V37" s="153">
        <f t="shared" si="17"/>
        <v>3047456.8151668953</v>
      </c>
      <c r="W37" s="153">
        <f t="shared" si="17"/>
        <v>3343354.9060058231</v>
      </c>
    </row>
    <row r="38" spans="1:23" s="157" customFormat="1" x14ac:dyDescent="0.25">
      <c r="A38" s="157" t="s">
        <v>134</v>
      </c>
      <c r="B38" s="784" t="s">
        <v>58</v>
      </c>
      <c r="C38" s="157">
        <f>C39-C37</f>
        <v>4316220.0261314837</v>
      </c>
      <c r="D38" s="157">
        <f t="shared" ref="D38:W38" si="18">C38-D34</f>
        <v>4195102.6208991483</v>
      </c>
      <c r="E38" s="157">
        <f t="shared" si="18"/>
        <v>4075279.8369401228</v>
      </c>
      <c r="F38" s="157">
        <f t="shared" si="18"/>
        <v>4036681.3251969009</v>
      </c>
      <c r="G38" s="157">
        <f t="shared" si="18"/>
        <v>4009489.6640724014</v>
      </c>
      <c r="H38" s="157">
        <f t="shared" si="18"/>
        <v>3996656.0171611421</v>
      </c>
      <c r="I38" s="157">
        <f t="shared" si="18"/>
        <v>3976693.485272266</v>
      </c>
      <c r="J38" s="157">
        <f t="shared" si="18"/>
        <v>3945784.5011682492</v>
      </c>
      <c r="L38" s="157">
        <f>J38-L34</f>
        <v>3898265.5820201621</v>
      </c>
      <c r="M38" s="157">
        <f t="shared" si="18"/>
        <v>3826003.4019095968</v>
      </c>
      <c r="N38" s="157">
        <f t="shared" si="18"/>
        <v>3717916.8104964225</v>
      </c>
      <c r="O38" s="157">
        <f t="shared" si="18"/>
        <v>3560180.7347293282</v>
      </c>
      <c r="P38" s="157">
        <f t="shared" si="18"/>
        <v>3338074.9046141813</v>
      </c>
      <c r="Q38" s="157">
        <f t="shared" si="18"/>
        <v>3040581.6643770607</v>
      </c>
      <c r="R38" s="157">
        <f t="shared" si="18"/>
        <v>2667715.4412950939</v>
      </c>
      <c r="S38" s="157">
        <f t="shared" si="18"/>
        <v>2237411.9734683111</v>
      </c>
      <c r="T38" s="157">
        <f t="shared" si="18"/>
        <v>1785687.7502500582</v>
      </c>
      <c r="U38" s="157">
        <f t="shared" si="18"/>
        <v>1356250.3973129783</v>
      </c>
      <c r="V38" s="157">
        <f t="shared" si="18"/>
        <v>984816.13003830239</v>
      </c>
      <c r="W38" s="157">
        <f t="shared" si="18"/>
        <v>688918.03919937462</v>
      </c>
    </row>
    <row r="39" spans="1:23" s="152" customFormat="1" x14ac:dyDescent="0.25">
      <c r="A39" s="152" t="s">
        <v>135</v>
      </c>
      <c r="B39" s="785" t="s">
        <v>58</v>
      </c>
      <c r="C39" s="152">
        <f>C32</f>
        <v>4547226.184615328</v>
      </c>
      <c r="D39" s="152">
        <f t="shared" ref="D39:W39" si="19">D37+D38</f>
        <v>4423982.9373146649</v>
      </c>
      <c r="E39" s="152">
        <f t="shared" si="19"/>
        <v>4145020.457015031</v>
      </c>
      <c r="F39" s="152">
        <f t="shared" si="19"/>
        <v>4085433.9345150595</v>
      </c>
      <c r="G39" s="152">
        <f t="shared" si="19"/>
        <v>4032272.9452051986</v>
      </c>
      <c r="H39" s="152">
        <f t="shared" si="19"/>
        <v>4032272.9452051986</v>
      </c>
      <c r="I39" s="152">
        <f t="shared" si="19"/>
        <v>4032272.9452051986</v>
      </c>
      <c r="J39" s="152">
        <f t="shared" si="19"/>
        <v>4032272.9452051986</v>
      </c>
      <c r="L39" s="152">
        <f t="shared" si="19"/>
        <v>4032272.9452051981</v>
      </c>
      <c r="M39" s="152">
        <f t="shared" si="19"/>
        <v>4032272.9452051986</v>
      </c>
      <c r="N39" s="152">
        <f t="shared" si="19"/>
        <v>4032272.9452051986</v>
      </c>
      <c r="O39" s="152">
        <f t="shared" si="19"/>
        <v>4032272.9452051981</v>
      </c>
      <c r="P39" s="152">
        <f t="shared" si="19"/>
        <v>4032272.9452051981</v>
      </c>
      <c r="Q39" s="152">
        <f t="shared" si="19"/>
        <v>4032272.9452051977</v>
      </c>
      <c r="R39" s="152">
        <f t="shared" si="19"/>
        <v>4032272.9452051977</v>
      </c>
      <c r="S39" s="152">
        <f t="shared" si="19"/>
        <v>4032272.9452051977</v>
      </c>
      <c r="T39" s="152">
        <f t="shared" si="19"/>
        <v>4032272.9452051977</v>
      </c>
      <c r="U39" s="152">
        <f t="shared" si="19"/>
        <v>4032272.9452051977</v>
      </c>
      <c r="V39" s="152">
        <f t="shared" si="19"/>
        <v>4032272.9452051977</v>
      </c>
      <c r="W39" s="152">
        <f t="shared" si="19"/>
        <v>4032272.9452051977</v>
      </c>
    </row>
    <row r="40" spans="1:23" s="154" customFormat="1" x14ac:dyDescent="0.25">
      <c r="A40" s="154" t="s">
        <v>136</v>
      </c>
      <c r="B40" s="786" t="s">
        <v>65</v>
      </c>
      <c r="C40" s="155">
        <f>C37/C39</f>
        <v>5.0801554421332544E-2</v>
      </c>
      <c r="D40" s="155">
        <f t="shared" ref="D40:W40" si="20">D37/D39</f>
        <v>5.1736256594706855E-2</v>
      </c>
      <c r="E40" s="156">
        <f t="shared" si="20"/>
        <v>1.6825157028327667E-2</v>
      </c>
      <c r="F40" s="156">
        <f t="shared" si="20"/>
        <v>1.1933275656786641E-2</v>
      </c>
      <c r="G40" s="155">
        <f t="shared" si="20"/>
        <v>5.6502328692528509E-3</v>
      </c>
      <c r="H40" s="155">
        <f t="shared" si="20"/>
        <v>8.8329655576537356E-3</v>
      </c>
      <c r="I40" s="155">
        <f t="shared" si="20"/>
        <v>1.378365519601606E-2</v>
      </c>
      <c r="J40" s="155">
        <f t="shared" si="20"/>
        <v>2.144905496533742E-2</v>
      </c>
      <c r="K40" s="155"/>
      <c r="L40" s="155">
        <f t="shared" si="20"/>
        <v>3.3233703423867979E-2</v>
      </c>
      <c r="M40" s="155">
        <f t="shared" si="20"/>
        <v>5.1154657955602485E-2</v>
      </c>
      <c r="N40" s="155">
        <f t="shared" si="20"/>
        <v>7.7960033703219134E-2</v>
      </c>
      <c r="O40" s="155">
        <f t="shared" si="20"/>
        <v>0.11707843613048018</v>
      </c>
      <c r="P40" s="155">
        <f t="shared" si="20"/>
        <v>0.1721604787236668</v>
      </c>
      <c r="Q40" s="155">
        <f t="shared" si="20"/>
        <v>0.24593853003114877</v>
      </c>
      <c r="R40" s="155">
        <f t="shared" si="20"/>
        <v>0.33840901210140256</v>
      </c>
      <c r="S40" s="155">
        <f t="shared" si="20"/>
        <v>0.44512387830074041</v>
      </c>
      <c r="T40" s="155">
        <f t="shared" si="20"/>
        <v>0.55715107223249083</v>
      </c>
      <c r="U40" s="155">
        <f t="shared" si="20"/>
        <v>0.66365114273186676</v>
      </c>
      <c r="V40" s="155">
        <f t="shared" si="20"/>
        <v>0.7557665010724649</v>
      </c>
      <c r="W40" s="155">
        <f t="shared" si="20"/>
        <v>0.82914895678910538</v>
      </c>
    </row>
    <row r="41" spans="1:23" x14ac:dyDescent="0.25">
      <c r="C41" s="144"/>
      <c r="F41" s="140"/>
    </row>
    <row r="42" spans="1:23" x14ac:dyDescent="0.25">
      <c r="A42" s="139" t="s">
        <v>137</v>
      </c>
      <c r="B42" s="780" t="s">
        <v>65</v>
      </c>
      <c r="C42" s="146">
        <f>C35/'Epidemic Assumptions'!$B36</f>
        <v>5.0801554421332544E-2</v>
      </c>
      <c r="D42" s="145">
        <f>($C35+SUM($D34:D34))/'Epidemic Assumptions'!$B36</f>
        <v>7.7437002123959001E-2</v>
      </c>
      <c r="E42" s="145">
        <f>($C35+SUM($D34:E34))/'Epidemic Assumptions'!$B36</f>
        <v>0.10378774411353128</v>
      </c>
      <c r="F42" s="145">
        <f>($C35+SUM($D34:F34))/'Epidemic Assumptions'!$B36</f>
        <v>0.11227610826700413</v>
      </c>
      <c r="G42" s="145">
        <f>($C35+SUM($D34:G34))/'Epidemic Assumptions'!$B36</f>
        <v>0.1182559430103246</v>
      </c>
      <c r="H42" s="145">
        <f>($C35+SUM($D34:H34))/'Epidemic Assumptions'!$B36</f>
        <v>0.12107824530852111</v>
      </c>
      <c r="I42" s="145">
        <f>($C35+SUM($D34:I34))/'Epidemic Assumptions'!$B36</f>
        <v>0.12546829125706344</v>
      </c>
      <c r="J42" s="145">
        <f>($C35+SUM($D34:J34))/'Epidemic Assumptions'!$B36</f>
        <v>0.1322656184295255</v>
      </c>
      <c r="K42" s="145"/>
      <c r="L42" s="145">
        <f>($C35+SUM($D34:L34))/'Epidemic Assumptions'!$B36</f>
        <v>0.14271570760891533</v>
      </c>
      <c r="M42" s="145">
        <f>($C35+SUM($D34:M34))/'Epidemic Assumptions'!$B36</f>
        <v>0.15860719335797505</v>
      </c>
      <c r="N42" s="145">
        <f>($C35+SUM($D34:N34))/'Epidemic Assumptions'!$B36</f>
        <v>0.18237697894261662</v>
      </c>
      <c r="O42" s="145">
        <f>($C35+SUM($D34:O34))/'Epidemic Assumptions'!$B36</f>
        <v>0.2170653954328198</v>
      </c>
      <c r="P42" s="145">
        <f>($C35+SUM($D34:P34))/'Epidemic Assumptions'!$B36</f>
        <v>0.26590964049513927</v>
      </c>
      <c r="Q42" s="145">
        <f>($C35+SUM($D34:Q34))/'Epidemic Assumptions'!$B36</f>
        <v>0.33133265403328965</v>
      </c>
      <c r="R42" s="145">
        <f>($C35+SUM($D34:R34))/'Epidemic Assumptions'!$B36</f>
        <v>0.41333126328292152</v>
      </c>
      <c r="S42" s="145">
        <f>($C35+SUM($D34:S34))/'Epidemic Assumptions'!$B36</f>
        <v>0.50796114320458285</v>
      </c>
      <c r="T42" s="145">
        <f>($C35+SUM($D34:T34))/'Epidemic Assumptions'!$B36</f>
        <v>0.60730175325529367</v>
      </c>
      <c r="U42" s="145">
        <f>($C35+SUM($D34:U34))/'Epidemic Assumptions'!$B36</f>
        <v>0.70174116213932924</v>
      </c>
      <c r="V42" s="145">
        <f>($C35+SUM($D34:V34))/'Epidemic Assumptions'!$B36</f>
        <v>0.78342486384991328</v>
      </c>
      <c r="W42" s="145">
        <f>($C35+SUM($D34:W34))/'Epidemic Assumptions'!$B36</f>
        <v>0.84849708124698109</v>
      </c>
    </row>
    <row r="43" spans="1:23" s="890" customFormat="1" x14ac:dyDescent="0.25">
      <c r="A43" s="888" t="s">
        <v>302</v>
      </c>
      <c r="B43" s="889" t="s">
        <v>58</v>
      </c>
      <c r="C43" s="890">
        <f>'Geral FISP'!J70</f>
        <v>4547226.184615328</v>
      </c>
      <c r="D43" s="890">
        <f>'Geral FISP'!Q70</f>
        <v>4432455.184615328</v>
      </c>
      <c r="E43" s="890">
        <f>'Geral FISP'!AE70</f>
        <v>4157020.184615328</v>
      </c>
      <c r="F43" s="890">
        <f>'Geral FISP'!BA70</f>
        <v>4077020.184615328</v>
      </c>
      <c r="G43" s="891">
        <f>'Geral FISP'!BK70</f>
        <v>4027020.184615328</v>
      </c>
    </row>
    <row r="44" spans="1:23" s="162" customFormat="1" x14ac:dyDescent="0.25">
      <c r="A44" s="161" t="s">
        <v>138</v>
      </c>
      <c r="B44" s="787" t="s">
        <v>58</v>
      </c>
      <c r="C44" s="162">
        <f t="shared" ref="C44:W44" si="21">C38-C17</f>
        <v>0</v>
      </c>
      <c r="D44" s="634" t="s">
        <v>46</v>
      </c>
      <c r="E44" s="162">
        <f t="shared" si="21"/>
        <v>57014.607093955856</v>
      </c>
      <c r="F44" s="162">
        <f t="shared" si="21"/>
        <v>267588.99337854004</v>
      </c>
      <c r="G44" s="162">
        <f>G38-G17</f>
        <v>574458.08455394628</v>
      </c>
      <c r="H44" s="162">
        <f t="shared" si="21"/>
        <v>980830.37460930645</v>
      </c>
      <c r="I44" s="162">
        <f t="shared" si="21"/>
        <v>1445352.3408962144</v>
      </c>
      <c r="J44" s="162">
        <f t="shared" si="21"/>
        <v>1923858.1057545491</v>
      </c>
      <c r="L44" s="162">
        <f t="shared" si="21"/>
        <v>2361394.0977002149</v>
      </c>
      <c r="M44" s="162">
        <f t="shared" si="21"/>
        <v>2709280.9227259182</v>
      </c>
      <c r="N44" s="162">
        <f t="shared" si="21"/>
        <v>2936305.6278411495</v>
      </c>
      <c r="O44" s="162">
        <f t="shared" si="21"/>
        <v>3028698.9396120468</v>
      </c>
      <c r="P44" s="162">
        <f t="shared" si="21"/>
        <v>2984199.0270330715</v>
      </c>
      <c r="Q44" s="162">
        <f t="shared" si="21"/>
        <v>2808392.5630670846</v>
      </c>
      <c r="R44" s="162">
        <f t="shared" si="21"/>
        <v>2516874.0671671066</v>
      </c>
      <c r="S44" s="162">
        <f t="shared" si="21"/>
        <v>2140061.0443112138</v>
      </c>
      <c r="T44" s="162">
        <f t="shared" si="21"/>
        <v>1723128.7263146206</v>
      </c>
      <c r="U44" s="162">
        <f t="shared" si="21"/>
        <v>1316161.142532906</v>
      </c>
      <c r="V44" s="162">
        <f t="shared" si="21"/>
        <v>959172.16675018938</v>
      </c>
      <c r="W44" s="162">
        <f t="shared" si="21"/>
        <v>672533.242537254</v>
      </c>
    </row>
    <row r="45" spans="1:23" s="691" customFormat="1" ht="8.25" customHeight="1" thickBot="1" x14ac:dyDescent="0.3">
      <c r="A45" s="690"/>
      <c r="B45" s="788"/>
      <c r="D45" s="692"/>
    </row>
    <row r="46" spans="1:23" ht="15.75" thickTop="1" x14ac:dyDescent="0.25">
      <c r="A46" s="689" t="s">
        <v>300</v>
      </c>
      <c r="B46" s="789" t="s">
        <v>65</v>
      </c>
      <c r="C46" s="688">
        <f>'Geral FISP'!K69</f>
        <v>5.067045065397191E-2</v>
      </c>
      <c r="D46" s="687" t="s">
        <v>46</v>
      </c>
    </row>
    <row r="47" spans="1:23" s="159" customFormat="1" x14ac:dyDescent="0.25">
      <c r="A47" s="159" t="s">
        <v>301</v>
      </c>
      <c r="B47" s="790" t="s">
        <v>65</v>
      </c>
      <c r="C47" s="160">
        <f>(C43-C39)/C43</f>
        <v>0</v>
      </c>
      <c r="D47" s="160">
        <f>(D43-D39)/D43</f>
        <v>1.9114118356051237E-3</v>
      </c>
      <c r="E47" s="160">
        <f>(E43-E39)/E43</f>
        <v>2.8866175932237771E-3</v>
      </c>
      <c r="F47" s="160">
        <f>(F43-F39)/F43</f>
        <v>-2.0637008203885877E-3</v>
      </c>
    </row>
    <row r="48" spans="1:23" s="170" customFormat="1" x14ac:dyDescent="0.25">
      <c r="A48" s="170" t="s">
        <v>233</v>
      </c>
      <c r="B48" s="791" t="s">
        <v>58</v>
      </c>
      <c r="C48" s="170" t="s">
        <v>46</v>
      </c>
      <c r="D48" s="171">
        <f>D33</f>
        <v>231006.15848384393</v>
      </c>
      <c r="E48" s="171">
        <f>E33</f>
        <v>228880.31641551643</v>
      </c>
      <c r="F48" s="171">
        <f>F33</f>
        <v>69740.620074908409</v>
      </c>
      <c r="G48" s="172">
        <f>G33</f>
        <v>48752.609318158626</v>
      </c>
      <c r="H48" s="170" t="s">
        <v>46</v>
      </c>
    </row>
    <row r="49" spans="1:25" s="674" customFormat="1" x14ac:dyDescent="0.25">
      <c r="A49" s="674" t="s">
        <v>234</v>
      </c>
      <c r="B49" s="792" t="s">
        <v>58</v>
      </c>
      <c r="D49" s="675">
        <f>'Geral FISP'!I70</f>
        <v>230410</v>
      </c>
      <c r="E49" s="675">
        <f>'Geral FISP'!L70</f>
        <v>115639</v>
      </c>
      <c r="F49" s="675">
        <f>'Geral FISP'!AG70</f>
        <v>44648</v>
      </c>
      <c r="G49" s="676">
        <f>'Geral FISP'!BG70</f>
        <v>41304</v>
      </c>
    </row>
    <row r="50" spans="1:25" s="164" customFormat="1" x14ac:dyDescent="0.25">
      <c r="A50" s="163" t="s">
        <v>232</v>
      </c>
      <c r="B50" s="793" t="s">
        <v>58</v>
      </c>
      <c r="C50" s="174" t="s">
        <v>46</v>
      </c>
      <c r="D50" s="165">
        <f>D35*D36</f>
        <v>123243.24730066268</v>
      </c>
      <c r="E50" s="165">
        <f>E35*E36</f>
        <v>278962.48029963369</v>
      </c>
      <c r="F50" s="165">
        <f>F35*F36</f>
        <v>59586.522499971667</v>
      </c>
      <c r="G50" s="165">
        <f>G35*G36</f>
        <v>53160.989309860619</v>
      </c>
      <c r="I50" s="173" t="s">
        <v>46</v>
      </c>
    </row>
    <row r="51" spans="1:25" s="677" customFormat="1" ht="15.75" thickBot="1" x14ac:dyDescent="0.3">
      <c r="A51" s="677" t="s">
        <v>231</v>
      </c>
      <c r="B51" s="794" t="s">
        <v>315</v>
      </c>
      <c r="D51" s="678">
        <f>'Geral FISP'!H70</f>
        <v>114771</v>
      </c>
      <c r="E51" s="678">
        <f>'Geral FISP'!U70+'Geral FISP'!AB70</f>
        <v>275435</v>
      </c>
      <c r="F51" s="678">
        <f>'Geral FISP'!AP70</f>
        <v>80000</v>
      </c>
      <c r="G51" s="678">
        <f>'Geral FISP'!BJ70</f>
        <v>50000</v>
      </c>
    </row>
    <row r="52" spans="1:25" s="892" customFormat="1" x14ac:dyDescent="0.25">
      <c r="A52" s="892" t="s">
        <v>345</v>
      </c>
      <c r="B52" s="893"/>
      <c r="D52" s="894">
        <f>(D50-D51)/D51</f>
        <v>7.3818711178456953E-2</v>
      </c>
      <c r="E52" s="894">
        <f t="shared" ref="E52:G52" si="22">(E50-E51)/E51</f>
        <v>1.2806942834547879E-2</v>
      </c>
      <c r="F52" s="894">
        <f t="shared" si="22"/>
        <v>-0.25516846875035415</v>
      </c>
      <c r="G52" s="894">
        <f t="shared" si="22"/>
        <v>6.3219786197212385E-2</v>
      </c>
    </row>
    <row r="53" spans="1:25" customFormat="1" ht="12.75" customHeight="1" x14ac:dyDescent="0.2">
      <c r="A53" s="77" t="s">
        <v>28</v>
      </c>
      <c r="B53" s="795"/>
      <c r="C53" s="11" t="s">
        <v>46</v>
      </c>
      <c r="D53" s="78" t="s">
        <v>46</v>
      </c>
      <c r="E53" s="78" t="s">
        <v>46</v>
      </c>
      <c r="F53" s="11"/>
      <c r="G53" s="11"/>
      <c r="H53" s="11"/>
      <c r="I53" s="11"/>
      <c r="J53" s="11"/>
      <c r="K53" s="11"/>
      <c r="L53" s="36" t="s">
        <v>74</v>
      </c>
      <c r="M53" s="36" t="s">
        <v>75</v>
      </c>
      <c r="N53" s="36" t="s">
        <v>76</v>
      </c>
      <c r="O53" s="36" t="s">
        <v>77</v>
      </c>
      <c r="P53" s="79"/>
      <c r="Q53" s="79"/>
      <c r="R53" s="79"/>
      <c r="S53" s="79"/>
      <c r="T53" s="79"/>
      <c r="U53" s="79"/>
      <c r="V53" s="79"/>
      <c r="W53" s="79"/>
      <c r="X53" s="79"/>
    </row>
    <row r="54" spans="1:25" s="1" customFormat="1" ht="12.75" x14ac:dyDescent="0.2">
      <c r="A54" s="74" t="s">
        <v>26</v>
      </c>
      <c r="B54" s="796"/>
      <c r="C54" s="11"/>
      <c r="D54" s="11"/>
      <c r="E54" s="11"/>
      <c r="F54" s="11"/>
      <c r="G54" s="11"/>
      <c r="H54" s="11"/>
      <c r="I54" s="11"/>
      <c r="J54" s="11"/>
      <c r="K54" s="78" t="s">
        <v>58</v>
      </c>
      <c r="L54" s="11">
        <f>'Epidemic Assumptions'!Number_seedlings_replaced_yr_2</f>
        <v>0</v>
      </c>
      <c r="M54" s="11">
        <f>'Epidemic Assumptions'!Number_seedlings_replaced_yr_3+L54</f>
        <v>0</v>
      </c>
      <c r="N54" s="80">
        <f>'Epidemic Assumptions'!Number_seedlings_replaced_yr_4+M54</f>
        <v>172000</v>
      </c>
      <c r="O54" s="80">
        <f>'Epidemic Assumptions'!Number_seedlings_replaced_yr_5+N54</f>
        <v>278900</v>
      </c>
      <c r="P54" s="80">
        <f>O54</f>
        <v>278900</v>
      </c>
      <c r="Q54" s="80">
        <f t="shared" ref="Q54:V54" si="23">P54</f>
        <v>278900</v>
      </c>
      <c r="R54" s="80">
        <f t="shared" si="23"/>
        <v>278900</v>
      </c>
      <c r="S54" s="80">
        <f t="shared" si="23"/>
        <v>278900</v>
      </c>
      <c r="T54" s="80">
        <f t="shared" si="23"/>
        <v>278900</v>
      </c>
      <c r="U54" s="80">
        <f t="shared" si="23"/>
        <v>278900</v>
      </c>
      <c r="V54" s="80">
        <f t="shared" si="23"/>
        <v>278900</v>
      </c>
      <c r="W54" s="80">
        <f>V54</f>
        <v>278900</v>
      </c>
      <c r="X54" s="80"/>
    </row>
    <row r="55" spans="1:25" s="82" customFormat="1" ht="12.75" x14ac:dyDescent="0.2">
      <c r="A55" s="81" t="s">
        <v>27</v>
      </c>
      <c r="B55" s="797"/>
      <c r="F55" s="82">
        <f>F54*'Epidemic Assumptions'!Number_of_fertilized_trees_fruits_per_year*'Epidemic Assumptions'!$B$15*(1-F40)</f>
        <v>0</v>
      </c>
      <c r="G55" s="82">
        <f>G54*'Epidemic Assumptions'!Number_of_fertilized_trees_fruits_per_year*'Epidemic Assumptions'!$B$15*(1-G40)</f>
        <v>0</v>
      </c>
      <c r="H55" s="82">
        <f>H54*'Epidemic Assumptions'!Number_of_fertilized_trees_fruits_per_year*'Epidemic Assumptions'!$B$15*(1-H40)</f>
        <v>0</v>
      </c>
      <c r="I55" s="82">
        <f>I54*'Epidemic Assumptions'!Number_of_fertilized_trees_fruits_per_year*'Epidemic Assumptions'!$B$15*(1-I40)</f>
        <v>0</v>
      </c>
      <c r="J55" s="82">
        <f>J54*'Epidemic Assumptions'!Number_of_fertilized_trees_fruits_per_year*'Epidemic Assumptions'!$B$15*(1-J40)</f>
        <v>0</v>
      </c>
      <c r="K55" s="858" t="s">
        <v>58</v>
      </c>
      <c r="L55" s="82">
        <f>L54*'Epidemic Assumptions'!Number_of_fertilized_trees_fruits_per_year*'Epidemic Assumptions'!$B$15*(1-L40)</f>
        <v>0</v>
      </c>
      <c r="M55" s="82">
        <f>M54*'Epidemic Assumptions'!Number_of_fertilized_trees_fruits_per_year*'Epidemic Assumptions'!$B$15*(1-M40)</f>
        <v>0</v>
      </c>
      <c r="N55" s="82">
        <f>N54*'Epidemic Assumptions'!Number_of_fertilized_trees_fruits_per_year*'Epidemic Assumptions'!$B$15*(1-N40)</f>
        <v>5471385.1600050973</v>
      </c>
      <c r="O55" s="82">
        <f>O54*'Epidemic Assumptions'!Number_of_fertilized_trees_fruits_per_year*'Epidemic Assumptions'!$B$15*(1-O40)</f>
        <v>8495515.4336307123</v>
      </c>
      <c r="P55" s="82">
        <f>P54*'Epidemic Assumptions'!Number_of_fertilized_trees_fruits_per_year*'Epidemic Assumptions'!$B$15*(1-P40)</f>
        <v>7965513.2656969419</v>
      </c>
      <c r="Q55" s="82">
        <f>Q54*'Epidemic Assumptions'!Number_of_fertilized_trees_fruits_per_year*'Epidemic Assumptions'!$B$15*(1-Q40)</f>
        <v>7255617.1671137856</v>
      </c>
      <c r="R55" s="82">
        <f>R54*'Epidemic Assumptions'!Number_of_fertilized_trees_fruits_per_year*'Epidemic Assumptions'!$B$15*(1-R40)</f>
        <v>6365861.5651097</v>
      </c>
      <c r="S55" s="82">
        <f>S54*'Epidemic Assumptions'!Number_of_fertilized_trees_fruits_per_year*'Epidemic Assumptions'!$B$15*(1-S40)</f>
        <v>5339045.7867963612</v>
      </c>
      <c r="T55" s="82">
        <f>T54*'Epidemic Assumptions'!Number_of_fertilized_trees_fruits_per_year*'Epidemic Assumptions'!$B$15*(1-T40)</f>
        <v>4261114.5254253615</v>
      </c>
      <c r="U55" s="82">
        <f>U54*'Epidemic Assumptions'!Number_of_fertilized_trees_fruits_per_year*'Epidemic Assumptions'!$B$15*(1-U40)</f>
        <v>3236365.5220768414</v>
      </c>
      <c r="V55" s="82">
        <f>V54*'Epidemic Assumptions'!Number_of_fertilized_trees_fruits_per_year*'Epidemic Assumptions'!$B$15*(1-V40)</f>
        <v>2350026.9383556889</v>
      </c>
      <c r="W55" s="82">
        <f>W54*'Epidemic Assumptions'!Number_of_fertilized_trees_fruits_per_year*'Epidemic Assumptions'!$B$15*(1-W40)</f>
        <v>1643937.2803273886</v>
      </c>
    </row>
    <row r="56" spans="1:25" s="84" customFormat="1" ht="12.75" x14ac:dyDescent="0.2">
      <c r="A56" s="81" t="s">
        <v>70</v>
      </c>
      <c r="B56" s="797" t="s">
        <v>58</v>
      </c>
      <c r="C56" s="83">
        <f>C38*'Epidemic Assumptions'!Number_of_fertilized_trees_fruits_per_year+C55</f>
        <v>215811001.3065742</v>
      </c>
      <c r="D56" s="83">
        <f>D38*'Epidemic Assumptions'!Number_of_fertilized_trees_fruits_per_year+D55</f>
        <v>209755131.0449574</v>
      </c>
      <c r="E56" s="83">
        <f>E38*'Epidemic Assumptions'!Number_of_fertilized_trees_fruits_per_year+E55</f>
        <v>203763991.84700614</v>
      </c>
      <c r="F56" s="83">
        <f>F38*'Epidemic Assumptions'!Number_of_fertilized_trees_fruits_per_year+F55</f>
        <v>201834066.25984505</v>
      </c>
      <c r="G56" s="83">
        <f>G38*'Epidemic Assumptions'!Number_of_fertilized_trees_fruits_per_year+G55</f>
        <v>200474483.20362008</v>
      </c>
      <c r="H56" s="83">
        <f>H38*'Epidemic Assumptions'!Number_of_fertilized_trees_fruits_per_year+H55</f>
        <v>199832800.85805711</v>
      </c>
      <c r="I56" s="83">
        <f>I38*'Epidemic Assumptions'!Number_of_fertilized_trees_fruits_per_year+I55</f>
        <v>198834674.26361328</v>
      </c>
      <c r="J56" s="83">
        <f>J38*'Epidemic Assumptions'!Number_of_fertilized_trees_fruits_per_year+J55</f>
        <v>197289225.05841246</v>
      </c>
      <c r="K56" s="859" t="s">
        <v>58</v>
      </c>
      <c r="L56" s="83">
        <f>L38*'Epidemic Assumptions'!Number_of_fertilized_trees_fruits_per_year+L55</f>
        <v>194913279.10100812</v>
      </c>
      <c r="M56" s="83">
        <f>M38*'Epidemic Assumptions'!Number_of_fertilized_trees_fruits_per_year+M55</f>
        <v>191300170.09547985</v>
      </c>
      <c r="N56" s="83">
        <f>N38*'Epidemic Assumptions'!Number_of_fertilized_trees_fruits_per_year+N55</f>
        <v>191367225.68482623</v>
      </c>
      <c r="O56" s="83">
        <f>O38*'Epidemic Assumptions'!Number_of_fertilized_trees_fruits_per_year+O55</f>
        <v>186504552.17009711</v>
      </c>
      <c r="P56" s="83">
        <f>P38*'Epidemic Assumptions'!Number_of_fertilized_trees_fruits_per_year+P55</f>
        <v>174869258.49640602</v>
      </c>
      <c r="Q56" s="83">
        <f>Q38*'Epidemic Assumptions'!Number_of_fertilized_trees_fruits_per_year+Q55</f>
        <v>159284700.38596681</v>
      </c>
      <c r="R56" s="83">
        <f>R38*'Epidemic Assumptions'!Number_of_fertilized_trees_fruits_per_year+R55</f>
        <v>139751633.62986439</v>
      </c>
      <c r="S56" s="83">
        <f>S38*'Epidemic Assumptions'!Number_of_fertilized_trees_fruits_per_year+S55</f>
        <v>117209644.46021192</v>
      </c>
      <c r="T56" s="83">
        <f>T38*'Epidemic Assumptions'!Number_of_fertilized_trees_fruits_per_year+T55</f>
        <v>93545502.037928268</v>
      </c>
      <c r="U56" s="83">
        <f>U38*'Epidemic Assumptions'!Number_of_fertilized_trees_fruits_per_year+U55</f>
        <v>71048885.387725756</v>
      </c>
      <c r="V56" s="83">
        <f>V38*'Epidemic Assumptions'!Number_of_fertilized_trees_fruits_per_year+V55</f>
        <v>51590833.440270811</v>
      </c>
      <c r="W56" s="83">
        <f>W38*'Epidemic Assumptions'!Number_of_fertilized_trees_fruits_per_year+W55</f>
        <v>36089839.240296118</v>
      </c>
      <c r="X56" s="83"/>
    </row>
    <row r="57" spans="1:25" s="863" customFormat="1" ht="12.75" x14ac:dyDescent="0.2">
      <c r="A57" s="860" t="s">
        <v>10</v>
      </c>
      <c r="B57" s="861" t="s">
        <v>330</v>
      </c>
      <c r="C57" s="860">
        <f>((C56*'Epidemic Assumptions'!Percent_yield_for_justcoconutitself)*'Epidemic Assumptions'!Price_per_coconut__MTn)</f>
        <v>388459802.35183358</v>
      </c>
      <c r="D57" s="860">
        <f>((D56*'Epidemic Assumptions'!Percent_yield_for_justcoconutitself)*'Epidemic Assumptions'!Price_per_coconut__MTn)</f>
        <v>377559235.88092333</v>
      </c>
      <c r="E57" s="860">
        <f>((E56*'Epidemic Assumptions'!Percent_yield_for_justcoconutitself)*'Epidemic Assumptions'!Price_per_coconut__MTn)</f>
        <v>366775185.32461107</v>
      </c>
      <c r="F57" s="860">
        <f>((F56*'Epidemic Assumptions'!Percent_yield_for_justcoconutitself)*'Epidemic Assumptions'!Price_per_coconut__MTn)</f>
        <v>363301319.26772112</v>
      </c>
      <c r="G57" s="860">
        <f>((G56*'Epidemic Assumptions'!Percent_yield_for_justcoconutitself)*'Epidemic Assumptions'!Price_per_coconut__MTn)</f>
        <v>360854069.76651615</v>
      </c>
      <c r="H57" s="860">
        <f>((H56*'Epidemic Assumptions'!Percent_yield_for_justcoconutitself)*'Epidemic Assumptions'!Price_per_coconut__MTn)</f>
        <v>359699041.54450279</v>
      </c>
      <c r="I57" s="860">
        <f>((I56*'Epidemic Assumptions'!Percent_yield_for_justcoconutitself)*'Epidemic Assumptions'!Price_per_coconut__MTn)</f>
        <v>357902413.67450392</v>
      </c>
      <c r="J57" s="860">
        <f>((J56*'Epidemic Assumptions'!Percent_yield_for_justcoconutitself)*'Epidemic Assumptions'!Price_per_coconut__MTn)</f>
        <v>355120605.10514241</v>
      </c>
      <c r="K57" s="862" t="s">
        <v>330</v>
      </c>
      <c r="L57" s="860">
        <f>((L56*'Epidemic Assumptions'!Percent_yield_for_justcoconutitself)*'Epidemic Assumptions'!Price_per_coconut__MTn)</f>
        <v>350843902.3818146</v>
      </c>
      <c r="M57" s="860">
        <f>((M56*'Epidemic Assumptions'!Percent_yield_for_justcoconutitself)*'Epidemic Assumptions'!Price_per_coconut__MTn)</f>
        <v>344340306.17186373</v>
      </c>
      <c r="N57" s="860">
        <f>((N56*'Epidemic Assumptions'!Percent_yield_for_justcoconutitself)*'Epidemic Assumptions'!Price_per_coconut__MTn)</f>
        <v>344461006.23268723</v>
      </c>
      <c r="O57" s="860">
        <f>((O56*'Epidemic Assumptions'!Percent_yield_for_justcoconutitself)*'Epidemic Assumptions'!Price_per_coconut__MTn)</f>
        <v>335708193.90617484</v>
      </c>
      <c r="P57" s="860">
        <f>((P56*'Epidemic Assumptions'!Percent_yield_for_justcoconutitself)*'Epidemic Assumptions'!Price_per_coconut__MTn)</f>
        <v>314764665.29353082</v>
      </c>
      <c r="Q57" s="860">
        <f>((Q56*'Epidemic Assumptions'!Percent_yield_for_justcoconutitself)*'Epidemic Assumptions'!Price_per_coconut__MTn)</f>
        <v>286712460.69474024</v>
      </c>
      <c r="R57" s="860">
        <f>((R56*'Epidemic Assumptions'!Percent_yield_for_justcoconutitself)*'Epidemic Assumptions'!Price_per_coconut__MTn)</f>
        <v>251552940.53375593</v>
      </c>
      <c r="S57" s="860">
        <f>((S56*'Epidemic Assumptions'!Percent_yield_for_justcoconutitself)*'Epidemic Assumptions'!Price_per_coconut__MTn)</f>
        <v>210977360.02838147</v>
      </c>
      <c r="T57" s="860">
        <f>((T56*'Epidemic Assumptions'!Percent_yield_for_justcoconutitself)*'Epidemic Assumptions'!Price_per_coconut__MTn)</f>
        <v>168381903.66827089</v>
      </c>
      <c r="U57" s="860">
        <f>((U56*'Epidemic Assumptions'!Percent_yield_for_justcoconutitself)*'Epidemic Assumptions'!Price_per_coconut__MTn)</f>
        <v>127887993.69790636</v>
      </c>
      <c r="V57" s="860">
        <f>((V56*'Epidemic Assumptions'!Percent_yield_for_justcoconutitself)*'Epidemic Assumptions'!Price_per_coconut__MTn)</f>
        <v>92863500.192487463</v>
      </c>
      <c r="W57" s="860">
        <f>((W56*'Epidemic Assumptions'!Percent_yield_for_justcoconutitself)*'Epidemic Assumptions'!Price_per_coconut__MTn)</f>
        <v>64961710.632533014</v>
      </c>
      <c r="X57" s="860"/>
    </row>
    <row r="58" spans="1:25" s="860" customFormat="1" ht="12.75" x14ac:dyDescent="0.2">
      <c r="A58" s="860" t="s">
        <v>12</v>
      </c>
      <c r="B58" s="861" t="s">
        <v>330</v>
      </c>
      <c r="C58" s="860">
        <f>(((C56*'Epidemic Assumptions'!Percent_yield_for_Copra)/'Epidemic Assumptions'!No_fruits_for_1_kg_copra)*'Epidemic Assumptions'!Price_green_copra_per_kg__MTn)</f>
        <v>77075357.609490782</v>
      </c>
      <c r="D58" s="860">
        <f>(((D56*'Epidemic Assumptions'!Percent_yield_for_Copra)/'Epidemic Assumptions'!No_fruits_for_1_kg_copra)*'Epidemic Assumptions'!Price_green_copra_per_kg__MTn)</f>
        <v>74912546.801770493</v>
      </c>
      <c r="E58" s="860">
        <f>(((E56*'Epidemic Assumptions'!Percent_yield_for_Copra)/'Epidemic Assumptions'!No_fruits_for_1_kg_copra)*'Epidemic Assumptions'!Price_green_copra_per_kg__MTn)</f>
        <v>72772854.231073618</v>
      </c>
      <c r="F58" s="860">
        <f>(((F56*'Epidemic Assumptions'!Percent_yield_for_Copra)/'Epidemic Assumptions'!No_fruits_for_1_kg_copra)*'Epidemic Assumptions'!Price_green_copra_per_kg__MTn)</f>
        <v>72083595.092801809</v>
      </c>
      <c r="G58" s="860">
        <f>(((G56*'Epidemic Assumptions'!Percent_yield_for_Copra)/'Epidemic Assumptions'!No_fruits_for_1_kg_copra)*'Epidemic Assumptions'!Price_green_copra_per_kg__MTn)</f>
        <v>71598029.715578601</v>
      </c>
      <c r="H58" s="860">
        <f>(((H56*'Epidemic Assumptions'!Percent_yield_for_Copra)/'Epidemic Assumptions'!No_fruits_for_1_kg_copra)*'Epidemic Assumptions'!Price_green_copra_per_kg__MTn)</f>
        <v>71368857.449306116</v>
      </c>
      <c r="I58" s="860">
        <f>(((I56*'Epidemic Assumptions'!Percent_yield_for_Copra)/'Epidemic Assumptions'!No_fruits_for_1_kg_copra)*'Epidemic Assumptions'!Price_green_copra_per_kg__MTn)</f>
        <v>71012383.665576175</v>
      </c>
      <c r="J58" s="860">
        <f>(((J56*'Epidemic Assumptions'!Percent_yield_for_Copra)/'Epidemic Assumptions'!No_fruits_for_1_kg_copra)*'Epidemic Assumptions'!Price_green_copra_per_kg__MTn)</f>
        <v>70460437.520861596</v>
      </c>
      <c r="L58" s="860">
        <f>(((L56*'Epidemic Assumptions'!Percent_yield_for_Copra)/'Epidemic Assumptions'!No_fruits_for_1_kg_copra)*'Epidemic Assumptions'!Price_green_copra_per_kg__MTn)</f>
        <v>69611885.393217191</v>
      </c>
      <c r="M58" s="860">
        <f>(((M56*'Epidemic Assumptions'!Percent_yield_for_Copra)/'Epidemic Assumptions'!No_fruits_for_1_kg_copra)*'Epidemic Assumptions'!Price_green_copra_per_kg__MTn)</f>
        <v>68321489.319814235</v>
      </c>
      <c r="N58" s="860">
        <f>(((N56*'Epidemic Assumptions'!Percent_yield_for_Copra)/'Epidemic Assumptions'!No_fruits_for_1_kg_copra)*'Epidemic Assumptions'!Price_green_copra_per_kg__MTn)</f>
        <v>68345437.74458079</v>
      </c>
      <c r="O58" s="860">
        <f>(((O56*'Epidemic Assumptions'!Percent_yield_for_Copra)/'Epidemic Assumptions'!No_fruits_for_1_kg_copra)*'Epidemic Assumptions'!Price_green_copra_per_kg__MTn)</f>
        <v>66608768.632177547</v>
      </c>
      <c r="P58" s="860">
        <f>(((P56*'Epidemic Assumptions'!Percent_yield_for_Copra)/'Epidemic Assumptions'!No_fruits_for_1_kg_copra)*'Epidemic Assumptions'!Price_green_copra_per_kg__MTn)</f>
        <v>62453306.605859295</v>
      </c>
      <c r="Q58" s="860">
        <f>(((Q56*'Epidemic Assumptions'!Percent_yield_for_Copra)/'Epidemic Assumptions'!No_fruits_for_1_kg_copra)*'Epidemic Assumptions'!Price_green_copra_per_kg__MTn)</f>
        <v>56887392.994988143</v>
      </c>
      <c r="R58" s="860">
        <f>(((R56*'Epidemic Assumptions'!Percent_yield_for_Copra)/'Epidemic Assumptions'!No_fruits_for_1_kg_copra)*'Epidemic Assumptions'!Price_green_copra_per_kg__MTn)</f>
        <v>49911297.724951573</v>
      </c>
      <c r="S58" s="860">
        <f>(((S56*'Epidemic Assumptions'!Percent_yield_for_Copra)/'Epidemic Assumptions'!No_fruits_for_1_kg_copra)*'Epidemic Assumptions'!Price_green_copra_per_kg__MTn)</f>
        <v>41860587.307218544</v>
      </c>
      <c r="T58" s="860">
        <f>(((T56*'Epidemic Assumptions'!Percent_yield_for_Copra)/'Epidemic Assumptions'!No_fruits_for_1_kg_copra)*'Epidemic Assumptions'!Price_green_copra_per_kg__MTn)</f>
        <v>33409107.870688666</v>
      </c>
      <c r="U58" s="860">
        <f>(((U56*'Epidemic Assumptions'!Percent_yield_for_Copra)/'Epidemic Assumptions'!No_fruits_for_1_kg_copra)*'Epidemic Assumptions'!Price_green_copra_per_kg__MTn)</f>
        <v>25374601.924187768</v>
      </c>
      <c r="V58" s="860">
        <f>(((V56*'Epidemic Assumptions'!Percent_yield_for_Copra)/'Epidemic Assumptions'!No_fruits_for_1_kg_copra)*'Epidemic Assumptions'!Price_green_copra_per_kg__MTn)</f>
        <v>18425297.657239575</v>
      </c>
      <c r="W58" s="860">
        <f>(((W56*'Epidemic Assumptions'!Percent_yield_for_Copra)/'Epidemic Assumptions'!No_fruits_for_1_kg_copra)*'Epidemic Assumptions'!Price_green_copra_per_kg__MTn)</f>
        <v>12889228.300105758</v>
      </c>
    </row>
    <row r="59" spans="1:25" s="860" customFormat="1" ht="12.75" x14ac:dyDescent="0.2">
      <c r="A59" s="864" t="s">
        <v>11</v>
      </c>
      <c r="B59" s="865"/>
    </row>
    <row r="60" spans="1:25" s="860" customFormat="1" ht="12.75" x14ac:dyDescent="0.2">
      <c r="A60" s="866" t="s">
        <v>72</v>
      </c>
      <c r="B60" s="867" t="s">
        <v>330</v>
      </c>
      <c r="C60" s="860">
        <f>(C38)*(('Epidemic Assumptions'!leaves_dropped_by_tree_per_yr)*'Epidemic Assumptions'!Price_per_mat_MTn)</f>
        <v>112221720.67941858</v>
      </c>
      <c r="D60" s="860">
        <f>(D38)*(('Epidemic Assumptions'!leaves_dropped_by_tree_per_yr)*'Epidemic Assumptions'!Price_per_mat_MTn)</f>
        <v>109072668.14337786</v>
      </c>
      <c r="E60" s="860">
        <f>(E38)*(('Epidemic Assumptions'!leaves_dropped_by_tree_per_yr)*'Epidemic Assumptions'!Price_per_mat_MTn)</f>
        <v>105957275.7604432</v>
      </c>
      <c r="F60" s="860">
        <f>(F38)*(('Epidemic Assumptions'!leaves_dropped_by_tree_per_yr)*'Epidemic Assumptions'!Price_per_mat_MTn)</f>
        <v>104953714.45511942</v>
      </c>
      <c r="G60" s="860">
        <f>(G38)*(('Epidemic Assumptions'!leaves_dropped_by_tree_per_yr)*'Epidemic Assumptions'!Price_per_mat_MTn)</f>
        <v>104246731.26588243</v>
      </c>
      <c r="H60" s="860">
        <f>(H38)*(('Epidemic Assumptions'!leaves_dropped_by_tree_per_yr)*'Epidemic Assumptions'!Price_per_mat_MTn)</f>
        <v>103913056.4461897</v>
      </c>
      <c r="I60" s="860" t="s">
        <v>46</v>
      </c>
      <c r="J60" s="860">
        <f>(J38)*(('Epidemic Assumptions'!leaves_dropped_by_tree_per_yr)*'Epidemic Assumptions'!Price_per_mat_MTn)</f>
        <v>102590397.03037448</v>
      </c>
      <c r="L60" s="860">
        <f>(L38)*(('Epidemic Assumptions'!leaves_dropped_by_tree_per_yr)*'Epidemic Assumptions'!Price_per_mat_MTn)</f>
        <v>101354905.13252422</v>
      </c>
      <c r="M60" s="860">
        <f>(M38)*(('Epidemic Assumptions'!leaves_dropped_by_tree_per_yr)*'Epidemic Assumptions'!Price_per_mat_MTn)</f>
        <v>99476088.449649513</v>
      </c>
      <c r="N60" s="860">
        <f>(N38)*(('Epidemic Assumptions'!leaves_dropped_by_tree_per_yr)*'Epidemic Assumptions'!Price_per_mat_MTn)</f>
        <v>96665837.072906986</v>
      </c>
      <c r="O60" s="860">
        <f>(O38)*(('Epidemic Assumptions'!leaves_dropped_by_tree_per_yr)*'Epidemic Assumptions'!Price_per_mat_MTn)</f>
        <v>92564699.102962539</v>
      </c>
      <c r="P60" s="860">
        <f>(P38)*(('Epidemic Assumptions'!leaves_dropped_by_tree_per_yr)*'Epidemic Assumptions'!Price_per_mat_MTn)</f>
        <v>86789947.519968718</v>
      </c>
      <c r="Q60" s="860">
        <f>(Q38)*(('Epidemic Assumptions'!leaves_dropped_by_tree_per_yr)*'Epidemic Assumptions'!Price_per_mat_MTn)</f>
        <v>79055123.273803577</v>
      </c>
      <c r="R60" s="860">
        <f>(R38)*(('Epidemic Assumptions'!leaves_dropped_by_tree_per_yr)*'Epidemic Assumptions'!Price_per_mat_MTn)</f>
        <v>69360601.473672435</v>
      </c>
      <c r="S60" s="860">
        <f>(S38)*(('Epidemic Assumptions'!leaves_dropped_by_tree_per_yr)*'Epidemic Assumptions'!Price_per_mat_MTn)</f>
        <v>58172711.310176089</v>
      </c>
      <c r="T60" s="860">
        <f>(T38)*(('Epidemic Assumptions'!leaves_dropped_by_tree_per_yr)*'Epidemic Assumptions'!Price_per_mat_MTn)</f>
        <v>46427881.506501511</v>
      </c>
      <c r="U60" s="860">
        <f>(U38)*(('Epidemic Assumptions'!leaves_dropped_by_tree_per_yr)*'Epidemic Assumptions'!Price_per_mat_MTn)</f>
        <v>35262510.330137432</v>
      </c>
      <c r="V60" s="860">
        <f>(V38)*(('Epidemic Assumptions'!leaves_dropped_by_tree_per_yr)*'Epidemic Assumptions'!Price_per_mat_MTn)</f>
        <v>25605219.380995862</v>
      </c>
      <c r="W60" s="860">
        <f>(W38)*(('Epidemic Assumptions'!leaves_dropped_by_tree_per_yr)*'Epidemic Assumptions'!Price_per_mat_MTn)</f>
        <v>17911869.01918374</v>
      </c>
    </row>
    <row r="61" spans="1:25" s="870" customFormat="1" ht="13.5" thickBot="1" x14ac:dyDescent="0.25">
      <c r="A61" s="868" t="s">
        <v>78</v>
      </c>
      <c r="B61" s="869" t="s">
        <v>330</v>
      </c>
      <c r="C61" s="870">
        <f>SUM(C57:C60)</f>
        <v>577756880.6407429</v>
      </c>
      <c r="D61" s="870">
        <f>SUM(D57:D60)</f>
        <v>561544450.82607174</v>
      </c>
      <c r="E61" s="870">
        <f t="shared" ref="E61:W61" si="24">SUM(E57:E60)</f>
        <v>545505315.3161279</v>
      </c>
      <c r="F61" s="870">
        <f t="shared" si="24"/>
        <v>540338628.81564236</v>
      </c>
      <c r="G61" s="870">
        <f t="shared" si="24"/>
        <v>536698830.7479772</v>
      </c>
      <c r="H61" s="870">
        <f t="shared" si="24"/>
        <v>534980955.43999863</v>
      </c>
      <c r="I61" s="870">
        <f t="shared" si="24"/>
        <v>428914797.34008008</v>
      </c>
      <c r="J61" s="870">
        <f t="shared" si="24"/>
        <v>528171439.65637845</v>
      </c>
      <c r="L61" s="870">
        <f t="shared" si="24"/>
        <v>521810692.90755606</v>
      </c>
      <c r="M61" s="870">
        <f t="shared" si="24"/>
        <v>512137883.94132751</v>
      </c>
      <c r="N61" s="870">
        <f t="shared" si="24"/>
        <v>509472281.05017501</v>
      </c>
      <c r="O61" s="870">
        <f t="shared" si="24"/>
        <v>494881661.64131492</v>
      </c>
      <c r="P61" s="870">
        <f t="shared" si="24"/>
        <v>464007919.41935885</v>
      </c>
      <c r="Q61" s="870">
        <f t="shared" si="24"/>
        <v>422654976.96353197</v>
      </c>
      <c r="R61" s="870">
        <f t="shared" si="24"/>
        <v>370824839.73237997</v>
      </c>
      <c r="S61" s="870">
        <f t="shared" si="24"/>
        <v>311010658.64577609</v>
      </c>
      <c r="T61" s="870">
        <f t="shared" si="24"/>
        <v>248218893.04546106</v>
      </c>
      <c r="U61" s="870">
        <f t="shared" si="24"/>
        <v>188525105.95223156</v>
      </c>
      <c r="V61" s="870">
        <f t="shared" si="24"/>
        <v>136894017.2307229</v>
      </c>
      <c r="W61" s="870">
        <f t="shared" si="24"/>
        <v>95762807.951822504</v>
      </c>
    </row>
    <row r="62" spans="1:25" s="10" customFormat="1" ht="13.5" thickTop="1" x14ac:dyDescent="0.2">
      <c r="A62" s="20"/>
      <c r="B62" s="798"/>
      <c r="C62" s="22"/>
      <c r="D62" s="22"/>
      <c r="E62" s="22"/>
      <c r="F62" s="22"/>
      <c r="G62" s="22"/>
      <c r="H62" s="22"/>
      <c r="I62" s="22"/>
      <c r="J62" s="22"/>
      <c r="K62" s="22"/>
      <c r="L62" s="22"/>
      <c r="M62" s="22"/>
      <c r="N62" s="22"/>
      <c r="O62" s="22"/>
      <c r="P62" s="22"/>
      <c r="Q62" s="22"/>
      <c r="R62" s="22"/>
      <c r="S62" s="22"/>
      <c r="T62" s="22"/>
      <c r="U62" s="22"/>
      <c r="V62" s="22"/>
      <c r="W62" s="22"/>
      <c r="X62" s="22"/>
      <c r="Y62" s="16"/>
    </row>
    <row r="63" spans="1:25" s="10" customFormat="1" ht="12.75" x14ac:dyDescent="0.2">
      <c r="A63"/>
      <c r="B63" s="38"/>
      <c r="C63" s="5"/>
      <c r="D63" s="5"/>
      <c r="E63" s="5"/>
      <c r="F63" s="5"/>
      <c r="G63" s="5"/>
      <c r="H63" s="5"/>
      <c r="I63" s="5"/>
      <c r="J63" s="5"/>
      <c r="K63" s="5"/>
      <c r="L63" s="5"/>
      <c r="M63" s="5"/>
      <c r="N63" s="5"/>
      <c r="O63" s="5"/>
      <c r="P63" s="5"/>
      <c r="Q63" s="5"/>
      <c r="R63" s="5"/>
      <c r="S63" s="5"/>
      <c r="T63" s="5"/>
      <c r="U63" s="5"/>
      <c r="V63" s="5"/>
      <c r="W63" s="5"/>
      <c r="X63" s="5"/>
      <c r="Y63" s="19"/>
    </row>
    <row r="64" spans="1:25" s="877" customFormat="1" ht="12.75" x14ac:dyDescent="0.2">
      <c r="A64" s="880" t="s">
        <v>79</v>
      </c>
      <c r="B64" s="881" t="s">
        <v>330</v>
      </c>
      <c r="C64" s="701">
        <f t="shared" ref="C64:W64" si="25">C61-C28</f>
        <v>0</v>
      </c>
      <c r="D64" s="701">
        <f t="shared" si="25"/>
        <v>0</v>
      </c>
      <c r="E64" s="701">
        <f t="shared" si="25"/>
        <v>7631812.4067195654</v>
      </c>
      <c r="F64" s="701">
        <f t="shared" si="25"/>
        <v>35818698.113670349</v>
      </c>
      <c r="G64" s="701">
        <f t="shared" si="25"/>
        <v>76895317.889578223</v>
      </c>
      <c r="H64" s="701">
        <f t="shared" si="25"/>
        <v>131291151.57270288</v>
      </c>
      <c r="I64" s="701">
        <f t="shared" si="25"/>
        <v>90076704.157171488</v>
      </c>
      <c r="J64" s="701">
        <f t="shared" si="25"/>
        <v>257522149.29885888</v>
      </c>
      <c r="K64" s="701"/>
      <c r="L64" s="701">
        <f t="shared" si="25"/>
        <v>316089467.07787168</v>
      </c>
      <c r="M64" s="701">
        <f t="shared" si="25"/>
        <v>362656603.51345515</v>
      </c>
      <c r="N64" s="701">
        <f t="shared" si="25"/>
        <v>404848041.31474775</v>
      </c>
      <c r="O64" s="701">
        <f t="shared" si="25"/>
        <v>423739027.06633025</v>
      </c>
      <c r="P64" s="701">
        <f t="shared" si="25"/>
        <v>416639105.52028745</v>
      </c>
      <c r="Q64" s="701">
        <f t="shared" si="25"/>
        <v>391574807.25961089</v>
      </c>
      <c r="R64" s="701">
        <f t="shared" si="25"/>
        <v>350633644.36696225</v>
      </c>
      <c r="S64" s="701">
        <f t="shared" si="25"/>
        <v>297979541.41431892</v>
      </c>
      <c r="T64" s="701">
        <f t="shared" si="25"/>
        <v>239844920.84153175</v>
      </c>
      <c r="U64" s="701">
        <f t="shared" si="25"/>
        <v>183158872.84809902</v>
      </c>
      <c r="V64" s="701">
        <f t="shared" si="25"/>
        <v>133461389.57344264</v>
      </c>
      <c r="W64" s="701">
        <f t="shared" si="25"/>
        <v>93569585.884335786</v>
      </c>
      <c r="X64" s="701"/>
      <c r="Y64" s="882"/>
    </row>
    <row r="67" spans="3:19" x14ac:dyDescent="0.25">
      <c r="C67" s="158" t="s">
        <v>46</v>
      </c>
      <c r="S67" s="817" t="s">
        <v>46</v>
      </c>
    </row>
    <row r="68" spans="3:19" x14ac:dyDescent="0.25">
      <c r="D68" s="158" t="s">
        <v>46</v>
      </c>
    </row>
  </sheetData>
  <pageMargins left="0.7" right="0.7" top="0.75" bottom="0.75" header="0.3" footer="0.3"/>
  <pageSetup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BS326"/>
  <sheetViews>
    <sheetView zoomScale="85" zoomScaleNormal="85" workbookViewId="0">
      <pane xSplit="2" ySplit="3" topLeftCell="C4" activePane="bottomRight" state="frozen"/>
      <selection pane="topRight" activeCell="C1" sqref="C1"/>
      <selection pane="bottomLeft" activeCell="A2" sqref="A2"/>
      <selection pane="bottomRight"/>
    </sheetView>
  </sheetViews>
  <sheetFormatPr defaultRowHeight="12.75" x14ac:dyDescent="0.25"/>
  <cols>
    <col min="1" max="1" width="6.7109375" style="214" customWidth="1"/>
    <col min="2" max="2" width="5.7109375" style="214" customWidth="1"/>
    <col min="3" max="3" width="9" style="214" customWidth="1"/>
    <col min="4" max="5" width="9.5703125" style="214" customWidth="1"/>
    <col min="6" max="7" width="10.28515625" style="214" customWidth="1"/>
    <col min="8" max="8" width="8.85546875" style="214" customWidth="1"/>
    <col min="9" max="10" width="10.28515625" style="214" customWidth="1"/>
    <col min="11" max="11" width="10.42578125" style="214" customWidth="1"/>
    <col min="12" max="12" width="9.7109375" style="214" customWidth="1"/>
    <col min="13" max="13" width="11.140625" style="214" customWidth="1"/>
    <col min="14" max="14" width="9.7109375" style="214" customWidth="1"/>
    <col min="15" max="16" width="11.28515625" style="214" customWidth="1"/>
    <col min="17" max="17" width="11.140625" style="657" customWidth="1"/>
    <col min="18" max="19" width="9.7109375" style="214" customWidth="1"/>
    <col min="20" max="20" width="13" style="214" customWidth="1"/>
    <col min="21" max="22" width="9.7109375" style="214" customWidth="1"/>
    <col min="23" max="24" width="9.5703125" style="214" customWidth="1"/>
    <col min="25" max="25" width="8.5703125" style="214" customWidth="1"/>
    <col min="26" max="32" width="9.7109375" style="214" customWidth="1"/>
    <col min="33" max="33" width="8.5703125" style="657" customWidth="1"/>
    <col min="34" max="34" width="10" style="214" customWidth="1"/>
    <col min="35" max="35" width="8.5703125" style="214" customWidth="1"/>
    <col min="36" max="36" width="9.85546875" style="214" customWidth="1"/>
    <col min="37" max="37" width="9.140625" style="214" customWidth="1"/>
    <col min="38" max="38" width="8.28515625" style="214" customWidth="1"/>
    <col min="39" max="39" width="7.28515625" style="214" customWidth="1"/>
    <col min="40" max="40" width="10.7109375" style="214" customWidth="1"/>
    <col min="41" max="41" width="10.85546875" style="214" customWidth="1"/>
    <col min="42" max="42" width="8.42578125" style="214" customWidth="1"/>
    <col min="43" max="43" width="10.7109375" style="214" customWidth="1"/>
    <col min="44" max="44" width="8.7109375" style="214" customWidth="1"/>
    <col min="45" max="45" width="10.85546875" style="214" customWidth="1"/>
    <col min="46" max="46" width="1.85546875" style="214" customWidth="1"/>
    <col min="47" max="47" width="11.85546875" style="214" customWidth="1"/>
    <col min="48" max="48" width="1.42578125" style="214" customWidth="1"/>
    <col min="49" max="49" width="12.85546875" style="214" customWidth="1"/>
    <col min="50" max="50" width="2.140625" style="214" customWidth="1"/>
    <col min="51" max="51" width="11.7109375" style="214" customWidth="1"/>
    <col min="52" max="52" width="2.7109375" style="628" customWidth="1"/>
    <col min="53" max="53" width="9.5703125" style="214" customWidth="1"/>
    <col min="54" max="54" width="12.140625" style="214" customWidth="1"/>
    <col min="55" max="55" width="9.28515625" style="214" customWidth="1"/>
    <col min="56" max="56" width="9.5703125" style="214" bestFit="1" customWidth="1"/>
    <col min="57" max="57" width="9.140625" style="214"/>
    <col min="58" max="58" width="9.7109375" style="214" customWidth="1"/>
    <col min="59" max="59" width="9.28515625" style="658" customWidth="1"/>
    <col min="60" max="60" width="8.7109375" style="633" customWidth="1"/>
    <col min="61" max="61" width="13.42578125" style="630" customWidth="1"/>
    <col min="62" max="62" width="9.140625" style="214"/>
    <col min="63" max="63" width="9.5703125" style="214" bestFit="1" customWidth="1"/>
    <col min="64" max="65" width="9.140625" style="214"/>
    <col min="66" max="66" width="9.140625" style="214" customWidth="1"/>
    <col min="67" max="67" width="10.28515625" style="214" customWidth="1"/>
    <col min="68" max="68" width="11.7109375" style="214" customWidth="1"/>
    <col min="69" max="69" width="1.140625" style="214" customWidth="1"/>
    <col min="70" max="70" width="50.140625" style="214" hidden="1" customWidth="1"/>
    <col min="71" max="264" width="9.140625" style="214"/>
    <col min="265" max="286" width="9.7109375" style="214" customWidth="1"/>
    <col min="287" max="520" width="9.140625" style="214"/>
    <col min="521" max="542" width="9.7109375" style="214" customWidth="1"/>
    <col min="543" max="776" width="9.140625" style="214"/>
    <col min="777" max="798" width="9.7109375" style="214" customWidth="1"/>
    <col min="799" max="1032" width="9.140625" style="214"/>
    <col min="1033" max="1054" width="9.7109375" style="214" customWidth="1"/>
    <col min="1055" max="1288" width="9.140625" style="214"/>
    <col min="1289" max="1310" width="9.7109375" style="214" customWidth="1"/>
    <col min="1311" max="1544" width="9.140625" style="214"/>
    <col min="1545" max="1566" width="9.7109375" style="214" customWidth="1"/>
    <col min="1567" max="1800" width="9.140625" style="214"/>
    <col min="1801" max="1822" width="9.7109375" style="214" customWidth="1"/>
    <col min="1823" max="2056" width="9.140625" style="214"/>
    <col min="2057" max="2078" width="9.7109375" style="214" customWidth="1"/>
    <col min="2079" max="2312" width="9.140625" style="214"/>
    <col min="2313" max="2334" width="9.7109375" style="214" customWidth="1"/>
    <col min="2335" max="2568" width="9.140625" style="214"/>
    <col min="2569" max="2590" width="9.7109375" style="214" customWidth="1"/>
    <col min="2591" max="2824" width="9.140625" style="214"/>
    <col min="2825" max="2846" width="9.7109375" style="214" customWidth="1"/>
    <col min="2847" max="3080" width="9.140625" style="214"/>
    <col min="3081" max="3102" width="9.7109375" style="214" customWidth="1"/>
    <col min="3103" max="3336" width="9.140625" style="214"/>
    <col min="3337" max="3358" width="9.7109375" style="214" customWidth="1"/>
    <col min="3359" max="3592" width="9.140625" style="214"/>
    <col min="3593" max="3614" width="9.7109375" style="214" customWidth="1"/>
    <col min="3615" max="3848" width="9.140625" style="214"/>
    <col min="3849" max="3870" width="9.7109375" style="214" customWidth="1"/>
    <col min="3871" max="4104" width="9.140625" style="214"/>
    <col min="4105" max="4126" width="9.7109375" style="214" customWidth="1"/>
    <col min="4127" max="4360" width="9.140625" style="214"/>
    <col min="4361" max="4382" width="9.7109375" style="214" customWidth="1"/>
    <col min="4383" max="4616" width="9.140625" style="214"/>
    <col min="4617" max="4638" width="9.7109375" style="214" customWidth="1"/>
    <col min="4639" max="4872" width="9.140625" style="214"/>
    <col min="4873" max="4894" width="9.7109375" style="214" customWidth="1"/>
    <col min="4895" max="5128" width="9.140625" style="214"/>
    <col min="5129" max="5150" width="9.7109375" style="214" customWidth="1"/>
    <col min="5151" max="5384" width="9.140625" style="214"/>
    <col min="5385" max="5406" width="9.7109375" style="214" customWidth="1"/>
    <col min="5407" max="5640" width="9.140625" style="214"/>
    <col min="5641" max="5662" width="9.7109375" style="214" customWidth="1"/>
    <col min="5663" max="5896" width="9.140625" style="214"/>
    <col min="5897" max="5918" width="9.7109375" style="214" customWidth="1"/>
    <col min="5919" max="6152" width="9.140625" style="214"/>
    <col min="6153" max="6174" width="9.7109375" style="214" customWidth="1"/>
    <col min="6175" max="6408" width="9.140625" style="214"/>
    <col min="6409" max="6430" width="9.7109375" style="214" customWidth="1"/>
    <col min="6431" max="6664" width="9.140625" style="214"/>
    <col min="6665" max="6686" width="9.7109375" style="214" customWidth="1"/>
    <col min="6687" max="6920" width="9.140625" style="214"/>
    <col min="6921" max="6942" width="9.7109375" style="214" customWidth="1"/>
    <col min="6943" max="7176" width="9.140625" style="214"/>
    <col min="7177" max="7198" width="9.7109375" style="214" customWidth="1"/>
    <col min="7199" max="7432" width="9.140625" style="214"/>
    <col min="7433" max="7454" width="9.7109375" style="214" customWidth="1"/>
    <col min="7455" max="7688" width="9.140625" style="214"/>
    <col min="7689" max="7710" width="9.7109375" style="214" customWidth="1"/>
    <col min="7711" max="7944" width="9.140625" style="214"/>
    <col min="7945" max="7966" width="9.7109375" style="214" customWidth="1"/>
    <col min="7967" max="8200" width="9.140625" style="214"/>
    <col min="8201" max="8222" width="9.7109375" style="214" customWidth="1"/>
    <col min="8223" max="8456" width="9.140625" style="214"/>
    <col min="8457" max="8478" width="9.7109375" style="214" customWidth="1"/>
    <col min="8479" max="8712" width="9.140625" style="214"/>
    <col min="8713" max="8734" width="9.7109375" style="214" customWidth="1"/>
    <col min="8735" max="8968" width="9.140625" style="214"/>
    <col min="8969" max="8990" width="9.7109375" style="214" customWidth="1"/>
    <col min="8991" max="9224" width="9.140625" style="214"/>
    <col min="9225" max="9246" width="9.7109375" style="214" customWidth="1"/>
    <col min="9247" max="9480" width="9.140625" style="214"/>
    <col min="9481" max="9502" width="9.7109375" style="214" customWidth="1"/>
    <col min="9503" max="9736" width="9.140625" style="214"/>
    <col min="9737" max="9758" width="9.7109375" style="214" customWidth="1"/>
    <col min="9759" max="9992" width="9.140625" style="214"/>
    <col min="9993" max="10014" width="9.7109375" style="214" customWidth="1"/>
    <col min="10015" max="10248" width="9.140625" style="214"/>
    <col min="10249" max="10270" width="9.7109375" style="214" customWidth="1"/>
    <col min="10271" max="10504" width="9.140625" style="214"/>
    <col min="10505" max="10526" width="9.7109375" style="214" customWidth="1"/>
    <col min="10527" max="10760" width="9.140625" style="214"/>
    <col min="10761" max="10782" width="9.7109375" style="214" customWidth="1"/>
    <col min="10783" max="11016" width="9.140625" style="214"/>
    <col min="11017" max="11038" width="9.7109375" style="214" customWidth="1"/>
    <col min="11039" max="11272" width="9.140625" style="214"/>
    <col min="11273" max="11294" width="9.7109375" style="214" customWidth="1"/>
    <col min="11295" max="11528" width="9.140625" style="214"/>
    <col min="11529" max="11550" width="9.7109375" style="214" customWidth="1"/>
    <col min="11551" max="11784" width="9.140625" style="214"/>
    <col min="11785" max="11806" width="9.7109375" style="214" customWidth="1"/>
    <col min="11807" max="12040" width="9.140625" style="214"/>
    <col min="12041" max="12062" width="9.7109375" style="214" customWidth="1"/>
    <col min="12063" max="12296" width="9.140625" style="214"/>
    <col min="12297" max="12318" width="9.7109375" style="214" customWidth="1"/>
    <col min="12319" max="12552" width="9.140625" style="214"/>
    <col min="12553" max="12574" width="9.7109375" style="214" customWidth="1"/>
    <col min="12575" max="12808" width="9.140625" style="214"/>
    <col min="12809" max="12830" width="9.7109375" style="214" customWidth="1"/>
    <col min="12831" max="13064" width="9.140625" style="214"/>
    <col min="13065" max="13086" width="9.7109375" style="214" customWidth="1"/>
    <col min="13087" max="13320" width="9.140625" style="214"/>
    <col min="13321" max="13342" width="9.7109375" style="214" customWidth="1"/>
    <col min="13343" max="13576" width="9.140625" style="214"/>
    <col min="13577" max="13598" width="9.7109375" style="214" customWidth="1"/>
    <col min="13599" max="13832" width="9.140625" style="214"/>
    <col min="13833" max="13854" width="9.7109375" style="214" customWidth="1"/>
    <col min="13855" max="14088" width="9.140625" style="214"/>
    <col min="14089" max="14110" width="9.7109375" style="214" customWidth="1"/>
    <col min="14111" max="14344" width="9.140625" style="214"/>
    <col min="14345" max="14366" width="9.7109375" style="214" customWidth="1"/>
    <col min="14367" max="14600" width="9.140625" style="214"/>
    <col min="14601" max="14622" width="9.7109375" style="214" customWidth="1"/>
    <col min="14623" max="14856" width="9.140625" style="214"/>
    <col min="14857" max="14878" width="9.7109375" style="214" customWidth="1"/>
    <col min="14879" max="15112" width="9.140625" style="214"/>
    <col min="15113" max="15134" width="9.7109375" style="214" customWidth="1"/>
    <col min="15135" max="15368" width="9.140625" style="214"/>
    <col min="15369" max="15390" width="9.7109375" style="214" customWidth="1"/>
    <col min="15391" max="15624" width="9.140625" style="214"/>
    <col min="15625" max="15646" width="9.7109375" style="214" customWidth="1"/>
    <col min="15647" max="15880" width="9.140625" style="214"/>
    <col min="15881" max="15902" width="9.7109375" style="214" customWidth="1"/>
    <col min="15903" max="16136" width="9.140625" style="214"/>
    <col min="16137" max="16158" width="9.7109375" style="214" customWidth="1"/>
    <col min="16159" max="16384" width="9.140625" style="214"/>
  </cols>
  <sheetData>
    <row r="2" spans="1:71" ht="21.75" thickBot="1" x14ac:dyDescent="0.4">
      <c r="A2" s="1126" t="s">
        <v>440</v>
      </c>
    </row>
    <row r="3" spans="1:71" ht="67.900000000000006" customHeight="1" thickTop="1" thickBot="1" x14ac:dyDescent="0.3">
      <c r="A3" s="1283" t="s">
        <v>139</v>
      </c>
      <c r="B3" s="1284"/>
      <c r="C3" s="176" t="s">
        <v>235</v>
      </c>
      <c r="D3" s="176" t="s">
        <v>236</v>
      </c>
      <c r="E3" s="177" t="s">
        <v>237</v>
      </c>
      <c r="F3" s="176" t="s">
        <v>238</v>
      </c>
      <c r="G3" s="178" t="s">
        <v>239</v>
      </c>
      <c r="H3" s="177" t="s">
        <v>240</v>
      </c>
      <c r="I3" s="179" t="s">
        <v>241</v>
      </c>
      <c r="J3" s="177" t="s">
        <v>237</v>
      </c>
      <c r="K3" s="177" t="s">
        <v>242</v>
      </c>
      <c r="L3" s="176" t="s">
        <v>243</v>
      </c>
      <c r="M3" s="176" t="s">
        <v>140</v>
      </c>
      <c r="N3" s="176" t="s">
        <v>141</v>
      </c>
      <c r="O3" s="176" t="s">
        <v>214</v>
      </c>
      <c r="P3" s="178" t="s">
        <v>244</v>
      </c>
      <c r="Q3" s="180" t="s">
        <v>142</v>
      </c>
      <c r="R3" s="659" t="s">
        <v>245</v>
      </c>
      <c r="S3" s="176" t="s">
        <v>143</v>
      </c>
      <c r="T3" s="182" t="s">
        <v>144</v>
      </c>
      <c r="U3" s="176" t="s">
        <v>217</v>
      </c>
      <c r="V3" s="176" t="s">
        <v>218</v>
      </c>
      <c r="W3" s="183" t="s">
        <v>219</v>
      </c>
      <c r="X3" s="184" t="s">
        <v>246</v>
      </c>
      <c r="Y3" s="185" t="s">
        <v>247</v>
      </c>
      <c r="Z3" s="181" t="s">
        <v>248</v>
      </c>
      <c r="AA3" s="176" t="s">
        <v>145</v>
      </c>
      <c r="AB3" s="176" t="s">
        <v>222</v>
      </c>
      <c r="AC3" s="182" t="s">
        <v>146</v>
      </c>
      <c r="AD3" s="176" t="s">
        <v>147</v>
      </c>
      <c r="AE3" s="183" t="s">
        <v>148</v>
      </c>
      <c r="AF3" s="184" t="s">
        <v>249</v>
      </c>
      <c r="AG3" s="185" t="s">
        <v>250</v>
      </c>
      <c r="AH3" s="659" t="s">
        <v>223</v>
      </c>
      <c r="AI3" s="176" t="s">
        <v>149</v>
      </c>
      <c r="AJ3" s="186" t="s">
        <v>150</v>
      </c>
      <c r="AK3" s="187" t="s">
        <v>151</v>
      </c>
      <c r="AL3" s="188" t="s">
        <v>251</v>
      </c>
      <c r="AM3" s="189" t="s">
        <v>152</v>
      </c>
      <c r="AN3" s="190" t="s">
        <v>252</v>
      </c>
      <c r="AO3" s="191" t="s">
        <v>153</v>
      </c>
      <c r="AP3" s="192" t="s">
        <v>154</v>
      </c>
      <c r="AQ3" s="193" t="s">
        <v>155</v>
      </c>
      <c r="AR3" s="184" t="s">
        <v>253</v>
      </c>
      <c r="AS3" s="194" t="s">
        <v>254</v>
      </c>
      <c r="AT3" s="195"/>
      <c r="AU3" s="196" t="s">
        <v>156</v>
      </c>
      <c r="AV3" s="195"/>
      <c r="AW3" s="197" t="s">
        <v>157</v>
      </c>
      <c r="AX3" s="198"/>
      <c r="AY3" s="197" t="s">
        <v>158</v>
      </c>
      <c r="AZ3" s="199"/>
      <c r="BA3" s="200" t="s">
        <v>155</v>
      </c>
      <c r="BB3" s="201" t="s">
        <v>255</v>
      </c>
      <c r="BC3" s="202" t="s">
        <v>256</v>
      </c>
      <c r="BD3" s="203" t="s">
        <v>257</v>
      </c>
      <c r="BE3" s="204" t="s">
        <v>258</v>
      </c>
      <c r="BF3" s="205" t="s">
        <v>259</v>
      </c>
      <c r="BG3" s="644" t="s">
        <v>260</v>
      </c>
      <c r="BH3" s="206" t="s">
        <v>261</v>
      </c>
      <c r="BI3" s="207" t="s">
        <v>262</v>
      </c>
      <c r="BJ3" s="208" t="s">
        <v>263</v>
      </c>
      <c r="BK3" s="209" t="s">
        <v>264</v>
      </c>
      <c r="BL3" s="210" t="s">
        <v>265</v>
      </c>
      <c r="BM3" s="210" t="s">
        <v>265</v>
      </c>
      <c r="BN3" s="211" t="s">
        <v>266</v>
      </c>
      <c r="BO3" s="212" t="s">
        <v>267</v>
      </c>
      <c r="BP3" s="213" t="s">
        <v>268</v>
      </c>
      <c r="BR3" s="215" t="s">
        <v>269</v>
      </c>
      <c r="BS3" s="921" t="s">
        <v>370</v>
      </c>
    </row>
    <row r="4" spans="1:71" x14ac:dyDescent="0.25">
      <c r="A4" s="1270" t="s">
        <v>159</v>
      </c>
      <c r="B4" s="1271"/>
      <c r="C4" s="216">
        <v>2320</v>
      </c>
      <c r="D4" s="1285">
        <f>SUM(C4:C8)</f>
        <v>3950</v>
      </c>
      <c r="E4" s="216">
        <v>154031</v>
      </c>
      <c r="F4" s="217">
        <f>E4/C4</f>
        <v>66.392672413793107</v>
      </c>
      <c r="G4" s="218">
        <f>I4/J4*100</f>
        <v>5.173633878894508</v>
      </c>
      <c r="H4" s="219">
        <v>4043</v>
      </c>
      <c r="I4" s="220">
        <v>7969</v>
      </c>
      <c r="J4" s="216">
        <v>154031</v>
      </c>
      <c r="K4" s="221">
        <f>I4/J4</f>
        <v>5.1736338788945083E-2</v>
      </c>
      <c r="L4" s="216">
        <v>3926</v>
      </c>
      <c r="M4" s="216">
        <v>2320</v>
      </c>
      <c r="N4" s="1285">
        <f>SUM(M4:M8)</f>
        <v>3950</v>
      </c>
      <c r="O4" s="222">
        <v>64.650000000000006</v>
      </c>
      <c r="P4" s="223">
        <f>L4/Q4*100</f>
        <v>2.6175427367522737</v>
      </c>
      <c r="Q4" s="219">
        <f>M4*O4</f>
        <v>149988</v>
      </c>
      <c r="R4" s="660">
        <f t="shared" ref="R4:R54" si="0">L4/Q4*100</f>
        <v>2.6175427367522737</v>
      </c>
      <c r="S4" s="225">
        <f t="shared" ref="S4:S54" si="1">U4-L4</f>
        <v>-1422</v>
      </c>
      <c r="T4" s="225">
        <f t="shared" ref="T4:T54" si="2">Y4+S4</f>
        <v>-1028</v>
      </c>
      <c r="U4" s="225">
        <v>2504</v>
      </c>
      <c r="V4" s="222">
        <f>W4/M4</f>
        <v>63.570689655172416</v>
      </c>
      <c r="W4" s="226">
        <f>Q4-U4</f>
        <v>147484</v>
      </c>
      <c r="X4" s="227">
        <f t="shared" ref="X4:X55" si="3">(Y4+S4)/W4*100</f>
        <v>-0.69702476200808228</v>
      </c>
      <c r="Y4" s="228">
        <v>394</v>
      </c>
      <c r="Z4" s="224">
        <f>Y4/W4*100</f>
        <v>0.26714762279298093</v>
      </c>
      <c r="AA4" s="225">
        <f>AB4-Y4</f>
        <v>47</v>
      </c>
      <c r="AB4" s="225">
        <v>441</v>
      </c>
      <c r="AC4" s="225">
        <f>AG4+AA4</f>
        <v>689</v>
      </c>
      <c r="AD4" s="222">
        <f t="shared" ref="AD4:AD54" si="4">AE4/M4</f>
        <v>63.380603448275863</v>
      </c>
      <c r="AE4" s="226">
        <f>W4-AB4</f>
        <v>147043</v>
      </c>
      <c r="AF4" s="227">
        <f>(AG4+AA4)/AE4*100</f>
        <v>0.4685704181769958</v>
      </c>
      <c r="AG4" s="228">
        <v>642</v>
      </c>
      <c r="AH4" s="660">
        <f>AG4/AE4*100</f>
        <v>0.43660697891093087</v>
      </c>
      <c r="AI4" s="222">
        <f>-(Z4-AH4)</f>
        <v>0.16945935611794993</v>
      </c>
      <c r="AJ4" s="229">
        <f t="shared" ref="AJ4:AJ55" si="5">-(R4-AH4)</f>
        <v>-2.1809357578413429</v>
      </c>
      <c r="AK4" s="230"/>
      <c r="AL4" s="226"/>
      <c r="AM4" s="231">
        <f t="shared" ref="AM4:AM35" si="6">SUM(AK4:AL4)</f>
        <v>0</v>
      </c>
      <c r="AN4" s="232">
        <v>642</v>
      </c>
      <c r="AO4" s="225">
        <v>508</v>
      </c>
      <c r="AP4" s="231">
        <f>AN4+AO4</f>
        <v>1150</v>
      </c>
      <c r="AQ4" s="230">
        <f t="shared" ref="AQ4:AQ55" si="7">AE4+AM4-AP4</f>
        <v>145893</v>
      </c>
      <c r="AR4" s="227">
        <f>(AS4+AO4)/AQ4*100</f>
        <v>0.39618076261369639</v>
      </c>
      <c r="AS4" s="233">
        <v>70</v>
      </c>
      <c r="AT4" s="195"/>
      <c r="AU4" s="234">
        <f>AS4/AQ4*100</f>
        <v>4.7980369174669107E-2</v>
      </c>
      <c r="AV4" s="195"/>
      <c r="AW4" s="235">
        <f t="shared" ref="AW4:AW55" si="8">-(AH4-AU4)</f>
        <v>-0.38862660973626173</v>
      </c>
      <c r="AX4" s="236"/>
      <c r="AY4" s="235">
        <f t="shared" ref="AY4:AY55" si="9">-(R4-AU4)</f>
        <v>-2.5695623675776047</v>
      </c>
      <c r="AZ4" s="237"/>
      <c r="BA4" s="238">
        <f>AQ4</f>
        <v>145893</v>
      </c>
      <c r="BB4" s="239"/>
      <c r="BC4" s="240">
        <v>0</v>
      </c>
      <c r="BD4" s="239">
        <f>BA4+BB4-BC4</f>
        <v>145893</v>
      </c>
      <c r="BE4" s="241">
        <v>41</v>
      </c>
      <c r="BF4" s="242">
        <f>(BE4+BG4)*100/BD4</f>
        <v>0.14462654136935973</v>
      </c>
      <c r="BG4" s="645">
        <v>170</v>
      </c>
      <c r="BH4" s="243">
        <f>BG4/BD4*100</f>
        <v>0.11652375370991069</v>
      </c>
      <c r="BI4" s="244">
        <v>1000</v>
      </c>
      <c r="BJ4" s="245">
        <v>476</v>
      </c>
      <c r="BK4" s="246">
        <f>BD4+BI4-BJ4</f>
        <v>146417</v>
      </c>
      <c r="BL4" s="247">
        <f>BJ4-BG4</f>
        <v>306</v>
      </c>
      <c r="BM4" s="247">
        <f>IF(BL4&gt;0,BL4,0)</f>
        <v>306</v>
      </c>
      <c r="BN4" s="247">
        <f>(BO4+BM4)*100/BK4</f>
        <v>0.20899212523135974</v>
      </c>
      <c r="BO4" s="247"/>
      <c r="BP4" s="247">
        <f>BO4/BK4*100</f>
        <v>0</v>
      </c>
      <c r="BR4" s="247"/>
    </row>
    <row r="5" spans="1:71" x14ac:dyDescent="0.25">
      <c r="A5" s="1270" t="s">
        <v>160</v>
      </c>
      <c r="B5" s="1271"/>
      <c r="C5" s="216">
        <v>850</v>
      </c>
      <c r="D5" s="1269"/>
      <c r="E5" s="216">
        <v>80193</v>
      </c>
      <c r="F5" s="217">
        <f t="shared" ref="F5:F55" si="10">E5/C5</f>
        <v>94.34470588235294</v>
      </c>
      <c r="G5" s="218">
        <f t="shared" ref="G5:G55" si="11">I5/J5*100</f>
        <v>6.9432494107964535</v>
      </c>
      <c r="H5" s="219">
        <v>2993</v>
      </c>
      <c r="I5" s="220">
        <v>5568</v>
      </c>
      <c r="J5" s="216">
        <v>80193</v>
      </c>
      <c r="K5" s="221">
        <f t="shared" ref="K5:K55" si="12">I5/J5</f>
        <v>6.9432494107964537E-2</v>
      </c>
      <c r="L5" s="216">
        <v>2575</v>
      </c>
      <c r="M5" s="216">
        <v>850</v>
      </c>
      <c r="N5" s="1269"/>
      <c r="O5" s="222">
        <v>90.82352941176471</v>
      </c>
      <c r="P5" s="223">
        <f t="shared" ref="P5:P55" si="13">L5/Q5*100</f>
        <v>3.3354922279792745</v>
      </c>
      <c r="Q5" s="219">
        <f t="shared" ref="Q5:Q54" si="14">M5*O5</f>
        <v>77200</v>
      </c>
      <c r="R5" s="660">
        <f t="shared" si="0"/>
        <v>3.3354922279792745</v>
      </c>
      <c r="S5" s="225">
        <f t="shared" si="1"/>
        <v>7660</v>
      </c>
      <c r="T5" s="225">
        <f t="shared" si="2"/>
        <v>11213</v>
      </c>
      <c r="U5" s="225">
        <v>10235</v>
      </c>
      <c r="V5" s="222">
        <f t="shared" ref="V5:V54" si="15">W5/M5</f>
        <v>78.78235294117647</v>
      </c>
      <c r="W5" s="226">
        <f t="shared" ref="W5:W54" si="16">Q5-U5</f>
        <v>66965</v>
      </c>
      <c r="X5" s="227">
        <f t="shared" si="3"/>
        <v>16.744568057940715</v>
      </c>
      <c r="Y5" s="228">
        <v>3553</v>
      </c>
      <c r="Z5" s="224">
        <f t="shared" ref="Z5:Z54" si="17">Y5/W5*100</f>
        <v>5.3057567385947886</v>
      </c>
      <c r="AA5" s="225">
        <f t="shared" ref="AA5:AA54" si="18">AB5-Y5</f>
        <v>419</v>
      </c>
      <c r="AB5" s="225">
        <v>3972</v>
      </c>
      <c r="AC5" s="225">
        <f t="shared" ref="AC5:AC54" si="19">AG5+AA5</f>
        <v>1477</v>
      </c>
      <c r="AD5" s="222">
        <f t="shared" si="4"/>
        <v>74.109411764705882</v>
      </c>
      <c r="AE5" s="226">
        <f t="shared" ref="AE5:AE54" si="20">W5-AB5</f>
        <v>62993</v>
      </c>
      <c r="AF5" s="227">
        <f t="shared" ref="AF5:AF68" si="21">(AG5+AA5)/AE5*100</f>
        <v>2.3447049672185796</v>
      </c>
      <c r="AG5" s="228">
        <v>1058</v>
      </c>
      <c r="AH5" s="660">
        <f t="shared" ref="AH5:AH54" si="22">AG5/AE5*100</f>
        <v>1.6795516962202148</v>
      </c>
      <c r="AI5" s="222">
        <f t="shared" ref="AI5:AI54" si="23">-(Z5-AH5)</f>
        <v>-3.6262050423745738</v>
      </c>
      <c r="AJ5" s="229">
        <f t="shared" si="5"/>
        <v>-1.6559405317590596</v>
      </c>
      <c r="AK5" s="230"/>
      <c r="AL5" s="226"/>
      <c r="AM5" s="231">
        <f t="shared" si="6"/>
        <v>0</v>
      </c>
      <c r="AN5" s="232">
        <v>1058</v>
      </c>
      <c r="AO5" s="225">
        <v>838</v>
      </c>
      <c r="AP5" s="231">
        <f t="shared" ref="AP5:AP55" si="24">AN5+AO5</f>
        <v>1896</v>
      </c>
      <c r="AQ5" s="230">
        <f t="shared" si="7"/>
        <v>61097</v>
      </c>
      <c r="AR5" s="227">
        <f t="shared" ref="AR5:AR68" si="25">(AS5+AO5)/AQ5*100</f>
        <v>2.1539519125325302</v>
      </c>
      <c r="AS5" s="248">
        <v>478</v>
      </c>
      <c r="AT5" s="195"/>
      <c r="AU5" s="249">
        <f t="shared" ref="AU5:AU55" si="26">AS5/AQ5*100</f>
        <v>0.78236247278917137</v>
      </c>
      <c r="AV5" s="195"/>
      <c r="AW5" s="235">
        <f t="shared" si="8"/>
        <v>-0.89718922343104346</v>
      </c>
      <c r="AX5" s="236"/>
      <c r="AY5" s="235">
        <f t="shared" si="9"/>
        <v>-2.5531297551901031</v>
      </c>
      <c r="AZ5" s="237"/>
      <c r="BA5" s="250">
        <f t="shared" ref="BA5:BA55" si="27">AQ5</f>
        <v>61097</v>
      </c>
      <c r="BB5" s="251"/>
      <c r="BC5" s="252">
        <v>0</v>
      </c>
      <c r="BD5" s="253">
        <f t="shared" ref="BD5:BD55" si="28">BA5+BB5-BC5</f>
        <v>61097</v>
      </c>
      <c r="BE5" s="254">
        <v>349</v>
      </c>
      <c r="BF5" s="255">
        <f t="shared" ref="BF5:BF55" si="29">(BE5+BG5)*100/BD5</f>
        <v>2.7562728120856996</v>
      </c>
      <c r="BG5" s="645">
        <v>1335</v>
      </c>
      <c r="BH5" s="256">
        <f t="shared" ref="BH5:BH55" si="30">BG5/BD5*100</f>
        <v>2.1850500024551125</v>
      </c>
      <c r="BI5" s="244">
        <v>1000</v>
      </c>
      <c r="BJ5" s="257">
        <v>1156</v>
      </c>
      <c r="BK5" s="258">
        <f t="shared" ref="BK5:BK55" si="31">BD5+BI5-BJ5</f>
        <v>60941</v>
      </c>
      <c r="BL5" s="259">
        <f t="shared" ref="BL5:BL55" si="32">BJ5-BG5</f>
        <v>-179</v>
      </c>
      <c r="BM5" s="259">
        <f>IF(BL5&gt;0,BL5,0)</f>
        <v>0</v>
      </c>
      <c r="BN5" s="259">
        <f t="shared" ref="BN5:BN55" si="33">(BO5+BM5)*100/BK5</f>
        <v>0</v>
      </c>
      <c r="BO5" s="259"/>
      <c r="BP5" s="259">
        <f t="shared" ref="BP5:BP55" si="34">BO5/BK5*100</f>
        <v>0</v>
      </c>
      <c r="BR5" s="259"/>
    </row>
    <row r="6" spans="1:71" x14ac:dyDescent="0.25">
      <c r="A6" s="1270" t="s">
        <v>161</v>
      </c>
      <c r="B6" s="1271"/>
      <c r="C6" s="216">
        <v>130</v>
      </c>
      <c r="D6" s="1269"/>
      <c r="E6" s="216">
        <v>11259</v>
      </c>
      <c r="F6" s="217">
        <f t="shared" si="10"/>
        <v>86.607692307692304</v>
      </c>
      <c r="G6" s="218">
        <f t="shared" si="11"/>
        <v>26.370015099031885</v>
      </c>
      <c r="H6" s="219">
        <v>360</v>
      </c>
      <c r="I6" s="220">
        <v>2969</v>
      </c>
      <c r="J6" s="216">
        <v>11259</v>
      </c>
      <c r="K6" s="221">
        <f t="shared" si="12"/>
        <v>0.26370015099031885</v>
      </c>
      <c r="L6" s="216">
        <v>2609</v>
      </c>
      <c r="M6" s="216">
        <v>130</v>
      </c>
      <c r="N6" s="1269"/>
      <c r="O6" s="222">
        <v>83.838461538461544</v>
      </c>
      <c r="P6" s="223">
        <f t="shared" si="13"/>
        <v>23.937975961097351</v>
      </c>
      <c r="Q6" s="219">
        <f t="shared" si="14"/>
        <v>10899</v>
      </c>
      <c r="R6" s="660">
        <f t="shared" si="0"/>
        <v>23.937975961097351</v>
      </c>
      <c r="S6" s="225">
        <f t="shared" si="1"/>
        <v>-204</v>
      </c>
      <c r="T6" s="225">
        <f t="shared" si="2"/>
        <v>-84</v>
      </c>
      <c r="U6" s="225">
        <v>2405</v>
      </c>
      <c r="V6" s="222">
        <f t="shared" si="15"/>
        <v>65.338461538461544</v>
      </c>
      <c r="W6" s="226">
        <f t="shared" si="16"/>
        <v>8494</v>
      </c>
      <c r="X6" s="227">
        <f t="shared" si="3"/>
        <v>-0.98893336472804327</v>
      </c>
      <c r="Y6" s="228">
        <v>120</v>
      </c>
      <c r="Z6" s="224">
        <f t="shared" si="17"/>
        <v>1.4127619496114905</v>
      </c>
      <c r="AA6" s="225">
        <f t="shared" si="18"/>
        <v>14</v>
      </c>
      <c r="AB6" s="225">
        <v>134</v>
      </c>
      <c r="AC6" s="225">
        <f t="shared" si="19"/>
        <v>381</v>
      </c>
      <c r="AD6" s="222">
        <f t="shared" si="4"/>
        <v>64.307692307692307</v>
      </c>
      <c r="AE6" s="226">
        <f t="shared" si="20"/>
        <v>8360</v>
      </c>
      <c r="AF6" s="227">
        <f t="shared" si="21"/>
        <v>4.5574162679425836</v>
      </c>
      <c r="AG6" s="228">
        <v>367</v>
      </c>
      <c r="AH6" s="660">
        <f t="shared" si="22"/>
        <v>4.3899521531100483</v>
      </c>
      <c r="AI6" s="222">
        <f t="shared" si="23"/>
        <v>2.9771902034985578</v>
      </c>
      <c r="AJ6" s="229">
        <f t="shared" si="5"/>
        <v>-19.548023807987303</v>
      </c>
      <c r="AK6" s="230"/>
      <c r="AL6" s="226"/>
      <c r="AM6" s="231">
        <f t="shared" si="6"/>
        <v>0</v>
      </c>
      <c r="AN6" s="232">
        <v>367</v>
      </c>
      <c r="AO6" s="225">
        <v>291</v>
      </c>
      <c r="AP6" s="231">
        <f t="shared" si="24"/>
        <v>658</v>
      </c>
      <c r="AQ6" s="230">
        <f t="shared" si="7"/>
        <v>7702</v>
      </c>
      <c r="AR6" s="227">
        <f t="shared" si="25"/>
        <v>4.2846014022331858</v>
      </c>
      <c r="AS6" s="248">
        <v>39</v>
      </c>
      <c r="AT6" s="195"/>
      <c r="AU6" s="249">
        <f t="shared" si="26"/>
        <v>0.50636198390028564</v>
      </c>
      <c r="AV6" s="195"/>
      <c r="AW6" s="235">
        <f t="shared" si="8"/>
        <v>-3.8835901692097625</v>
      </c>
      <c r="AX6" s="236"/>
      <c r="AY6" s="235">
        <f t="shared" si="9"/>
        <v>-23.431613977197067</v>
      </c>
      <c r="AZ6" s="237"/>
      <c r="BA6" s="250">
        <f t="shared" si="27"/>
        <v>7702</v>
      </c>
      <c r="BB6" s="251"/>
      <c r="BC6" s="252">
        <v>0</v>
      </c>
      <c r="BD6" s="253">
        <f t="shared" si="28"/>
        <v>7702</v>
      </c>
      <c r="BE6" s="254">
        <v>23</v>
      </c>
      <c r="BF6" s="255">
        <f t="shared" si="29"/>
        <v>1.0257076084133991</v>
      </c>
      <c r="BG6" s="645">
        <v>56</v>
      </c>
      <c r="BH6" s="256">
        <f t="shared" si="30"/>
        <v>0.72708387431835886</v>
      </c>
      <c r="BI6" s="244">
        <v>1500</v>
      </c>
      <c r="BJ6" s="257">
        <v>187</v>
      </c>
      <c r="BK6" s="258">
        <f t="shared" si="31"/>
        <v>9015</v>
      </c>
      <c r="BL6" s="259">
        <f t="shared" si="32"/>
        <v>131</v>
      </c>
      <c r="BM6" s="259">
        <f t="shared" ref="BM6:BM55" si="35">IF(BL6&gt;0,BL6,0)</f>
        <v>131</v>
      </c>
      <c r="BN6" s="260">
        <f t="shared" si="33"/>
        <v>1.4531336661120355</v>
      </c>
      <c r="BO6" s="259"/>
      <c r="BP6" s="259">
        <f t="shared" si="34"/>
        <v>0</v>
      </c>
      <c r="BR6" s="259"/>
    </row>
    <row r="7" spans="1:71" x14ac:dyDescent="0.25">
      <c r="A7" s="1270" t="s">
        <v>162</v>
      </c>
      <c r="B7" s="1271"/>
      <c r="C7" s="216">
        <v>370</v>
      </c>
      <c r="D7" s="1269"/>
      <c r="E7" s="216">
        <v>19644</v>
      </c>
      <c r="F7" s="217">
        <f t="shared" si="10"/>
        <v>53.091891891891891</v>
      </c>
      <c r="G7" s="218">
        <f t="shared" si="11"/>
        <v>6.1494603950315616</v>
      </c>
      <c r="H7" s="219">
        <v>885</v>
      </c>
      <c r="I7" s="220">
        <v>1208</v>
      </c>
      <c r="J7" s="216">
        <v>19644</v>
      </c>
      <c r="K7" s="221">
        <f t="shared" si="12"/>
        <v>6.149460395031562E-2</v>
      </c>
      <c r="L7" s="216">
        <v>323</v>
      </c>
      <c r="M7" s="216">
        <v>370</v>
      </c>
      <c r="N7" s="1269"/>
      <c r="O7" s="222">
        <v>50.7</v>
      </c>
      <c r="P7" s="223">
        <f t="shared" si="13"/>
        <v>1.721840183378645</v>
      </c>
      <c r="Q7" s="219">
        <f t="shared" si="14"/>
        <v>18759</v>
      </c>
      <c r="R7" s="660">
        <f t="shared" si="0"/>
        <v>1.721840183378645</v>
      </c>
      <c r="S7" s="225">
        <f t="shared" si="1"/>
        <v>394</v>
      </c>
      <c r="T7" s="225">
        <f t="shared" si="2"/>
        <v>1429</v>
      </c>
      <c r="U7" s="225">
        <v>717</v>
      </c>
      <c r="V7" s="222">
        <f t="shared" si="15"/>
        <v>48.762162162162163</v>
      </c>
      <c r="W7" s="226">
        <f t="shared" si="16"/>
        <v>18042</v>
      </c>
      <c r="X7" s="227">
        <f t="shared" si="3"/>
        <v>7.9204079370358063</v>
      </c>
      <c r="Y7" s="228">
        <v>1035</v>
      </c>
      <c r="Z7" s="224">
        <f t="shared" si="17"/>
        <v>5.7366145660126371</v>
      </c>
      <c r="AA7" s="225">
        <f t="shared" si="18"/>
        <v>122</v>
      </c>
      <c r="AB7" s="225">
        <v>1157</v>
      </c>
      <c r="AC7" s="225">
        <f t="shared" si="19"/>
        <v>919</v>
      </c>
      <c r="AD7" s="222">
        <f t="shared" si="4"/>
        <v>45.635135135135137</v>
      </c>
      <c r="AE7" s="226">
        <f t="shared" si="20"/>
        <v>16885</v>
      </c>
      <c r="AF7" s="227">
        <f t="shared" si="21"/>
        <v>5.4427006218537164</v>
      </c>
      <c r="AG7" s="228">
        <v>797</v>
      </c>
      <c r="AH7" s="660">
        <f t="shared" si="22"/>
        <v>4.7201658276576843</v>
      </c>
      <c r="AI7" s="222">
        <f t="shared" si="23"/>
        <v>-1.0164487383549528</v>
      </c>
      <c r="AJ7" s="229">
        <f t="shared" si="5"/>
        <v>2.9983256442790394</v>
      </c>
      <c r="AK7" s="230"/>
      <c r="AL7" s="226"/>
      <c r="AM7" s="231">
        <f t="shared" si="6"/>
        <v>0</v>
      </c>
      <c r="AN7" s="232">
        <v>797</v>
      </c>
      <c r="AO7" s="225">
        <v>632</v>
      </c>
      <c r="AP7" s="231">
        <f t="shared" si="24"/>
        <v>1429</v>
      </c>
      <c r="AQ7" s="230">
        <f t="shared" si="7"/>
        <v>15456</v>
      </c>
      <c r="AR7" s="227">
        <f t="shared" si="25"/>
        <v>6.5734989648033118</v>
      </c>
      <c r="AS7" s="248">
        <v>384</v>
      </c>
      <c r="AT7" s="195"/>
      <c r="AU7" s="249">
        <f t="shared" si="26"/>
        <v>2.4844720496894408</v>
      </c>
      <c r="AV7" s="195"/>
      <c r="AW7" s="235">
        <f t="shared" si="8"/>
        <v>-2.2356937779682435</v>
      </c>
      <c r="AX7" s="236"/>
      <c r="AY7" s="235">
        <f t="shared" si="9"/>
        <v>0.76263186631079583</v>
      </c>
      <c r="AZ7" s="237"/>
      <c r="BA7" s="250">
        <f t="shared" si="27"/>
        <v>15456</v>
      </c>
      <c r="BB7" s="251"/>
      <c r="BC7" s="252">
        <v>0</v>
      </c>
      <c r="BD7" s="253">
        <f t="shared" si="28"/>
        <v>15456</v>
      </c>
      <c r="BE7" s="254">
        <v>224</v>
      </c>
      <c r="BF7" s="255">
        <f t="shared" si="29"/>
        <v>2.9697204968944098</v>
      </c>
      <c r="BG7" s="645">
        <v>235</v>
      </c>
      <c r="BH7" s="256">
        <f t="shared" si="30"/>
        <v>1.5204451345755694</v>
      </c>
      <c r="BI7" s="244">
        <v>1500</v>
      </c>
      <c r="BJ7" s="257">
        <v>1131</v>
      </c>
      <c r="BK7" s="258">
        <f t="shared" si="31"/>
        <v>15825</v>
      </c>
      <c r="BL7" s="259">
        <f t="shared" si="32"/>
        <v>896</v>
      </c>
      <c r="BM7" s="259">
        <f t="shared" si="35"/>
        <v>896</v>
      </c>
      <c r="BN7" s="260">
        <f t="shared" si="33"/>
        <v>5.6619273301737758</v>
      </c>
      <c r="BO7" s="259"/>
      <c r="BP7" s="259">
        <f t="shared" si="34"/>
        <v>0</v>
      </c>
      <c r="BR7" s="259"/>
    </row>
    <row r="8" spans="1:71" ht="13.5" thickBot="1" x14ac:dyDescent="0.3">
      <c r="A8" s="1272" t="s">
        <v>163</v>
      </c>
      <c r="B8" s="1273"/>
      <c r="C8" s="261">
        <v>280</v>
      </c>
      <c r="D8" s="1276"/>
      <c r="E8" s="261">
        <v>10683.000000000002</v>
      </c>
      <c r="F8" s="262">
        <f t="shared" si="10"/>
        <v>38.153571428571432</v>
      </c>
      <c r="G8" s="218">
        <f t="shared" si="11"/>
        <v>1.8253299634934006</v>
      </c>
      <c r="H8" s="263">
        <v>0</v>
      </c>
      <c r="I8" s="264">
        <v>195</v>
      </c>
      <c r="J8" s="261">
        <v>10683.000000000002</v>
      </c>
      <c r="K8" s="265">
        <f t="shared" si="12"/>
        <v>1.8253299634934005E-2</v>
      </c>
      <c r="L8" s="261">
        <v>195</v>
      </c>
      <c r="M8" s="261">
        <v>280</v>
      </c>
      <c r="N8" s="1276"/>
      <c r="O8" s="266">
        <v>38.153571428571432</v>
      </c>
      <c r="P8" s="267">
        <f t="shared" si="13"/>
        <v>1.8253299634934006</v>
      </c>
      <c r="Q8" s="263">
        <f t="shared" si="14"/>
        <v>10683.000000000002</v>
      </c>
      <c r="R8" s="661">
        <f t="shared" si="0"/>
        <v>1.8253299634934006</v>
      </c>
      <c r="S8" s="269">
        <f t="shared" si="1"/>
        <v>463</v>
      </c>
      <c r="T8" s="269">
        <f t="shared" si="2"/>
        <v>485</v>
      </c>
      <c r="U8" s="269">
        <v>658</v>
      </c>
      <c r="V8" s="266">
        <f t="shared" si="15"/>
        <v>35.803571428571438</v>
      </c>
      <c r="W8" s="270">
        <f t="shared" si="16"/>
        <v>10025.000000000002</v>
      </c>
      <c r="X8" s="271">
        <f t="shared" si="3"/>
        <v>4.8379052369077291</v>
      </c>
      <c r="Y8" s="272">
        <v>22</v>
      </c>
      <c r="Z8" s="268">
        <f t="shared" si="17"/>
        <v>0.21945137157107228</v>
      </c>
      <c r="AA8" s="269">
        <f t="shared" si="18"/>
        <v>3</v>
      </c>
      <c r="AB8" s="269">
        <v>25</v>
      </c>
      <c r="AC8" s="269">
        <f t="shared" si="19"/>
        <v>43</v>
      </c>
      <c r="AD8" s="266">
        <f t="shared" si="4"/>
        <v>35.714285714285722</v>
      </c>
      <c r="AE8" s="270">
        <f t="shared" si="20"/>
        <v>10000.000000000002</v>
      </c>
      <c r="AF8" s="271">
        <f t="shared" si="21"/>
        <v>0.42999999999999994</v>
      </c>
      <c r="AG8" s="272">
        <v>40</v>
      </c>
      <c r="AH8" s="661">
        <f t="shared" si="22"/>
        <v>0.39999999999999991</v>
      </c>
      <c r="AI8" s="266">
        <f t="shared" si="23"/>
        <v>0.18054862842892763</v>
      </c>
      <c r="AJ8" s="273">
        <f t="shared" si="5"/>
        <v>-1.4253299634934007</v>
      </c>
      <c r="AK8" s="274"/>
      <c r="AL8" s="270"/>
      <c r="AM8" s="275">
        <f t="shared" si="6"/>
        <v>0</v>
      </c>
      <c r="AN8" s="276">
        <v>40</v>
      </c>
      <c r="AO8" s="269">
        <v>32</v>
      </c>
      <c r="AP8" s="275">
        <f t="shared" si="24"/>
        <v>72</v>
      </c>
      <c r="AQ8" s="274">
        <f t="shared" si="7"/>
        <v>9928.0000000000018</v>
      </c>
      <c r="AR8" s="271">
        <f t="shared" si="25"/>
        <v>1.1583400483481061</v>
      </c>
      <c r="AS8" s="277">
        <v>83</v>
      </c>
      <c r="AT8" s="195"/>
      <c r="AU8" s="278">
        <f t="shared" si="26"/>
        <v>0.83601933924254623</v>
      </c>
      <c r="AV8" s="195"/>
      <c r="AW8" s="279">
        <f t="shared" si="8"/>
        <v>0.43601933924254632</v>
      </c>
      <c r="AX8" s="236"/>
      <c r="AY8" s="279">
        <f t="shared" si="9"/>
        <v>-0.98931062425085436</v>
      </c>
      <c r="AZ8" s="237"/>
      <c r="BA8" s="280">
        <f t="shared" si="27"/>
        <v>9928.0000000000018</v>
      </c>
      <c r="BB8" s="281"/>
      <c r="BC8" s="282">
        <v>0</v>
      </c>
      <c r="BD8" s="283">
        <f t="shared" si="28"/>
        <v>9928.0000000000018</v>
      </c>
      <c r="BE8" s="284">
        <v>48</v>
      </c>
      <c r="BF8" s="285">
        <f t="shared" si="29"/>
        <v>2.8404512489927471</v>
      </c>
      <c r="BG8" s="645">
        <v>234</v>
      </c>
      <c r="BH8" s="286">
        <f t="shared" si="30"/>
        <v>2.3569701853344074</v>
      </c>
      <c r="BI8" s="287"/>
      <c r="BJ8" s="288">
        <v>250</v>
      </c>
      <c r="BK8" s="289">
        <f t="shared" si="31"/>
        <v>9678.0000000000018</v>
      </c>
      <c r="BL8" s="290">
        <f t="shared" si="32"/>
        <v>16</v>
      </c>
      <c r="BM8" s="290">
        <f t="shared" si="35"/>
        <v>16</v>
      </c>
      <c r="BN8" s="291">
        <f t="shared" si="33"/>
        <v>0.16532341392849759</v>
      </c>
      <c r="BO8" s="290"/>
      <c r="BP8" s="290">
        <f t="shared" si="34"/>
        <v>0</v>
      </c>
      <c r="BR8" s="290"/>
    </row>
    <row r="9" spans="1:71" x14ac:dyDescent="0.25">
      <c r="A9" s="1286" t="s">
        <v>164</v>
      </c>
      <c r="B9" s="1267"/>
      <c r="C9" s="292">
        <v>230</v>
      </c>
      <c r="D9" s="1268">
        <f>SUM(C9:C10)</f>
        <v>1490</v>
      </c>
      <c r="E9" s="292">
        <v>17910.999993913043</v>
      </c>
      <c r="F9" s="293">
        <f t="shared" si="10"/>
        <v>77.873913017013237</v>
      </c>
      <c r="G9" s="218">
        <f t="shared" si="11"/>
        <v>7.7270950838610073</v>
      </c>
      <c r="H9" s="294">
        <v>1380</v>
      </c>
      <c r="I9" s="295">
        <v>1384</v>
      </c>
      <c r="J9" s="292">
        <v>17910.999993913043</v>
      </c>
      <c r="K9" s="296">
        <f t="shared" si="12"/>
        <v>7.7270950838610075E-2</v>
      </c>
      <c r="L9" s="292">
        <v>4</v>
      </c>
      <c r="M9" s="292">
        <v>230</v>
      </c>
      <c r="N9" s="1268">
        <f>SUM(M9:M10)</f>
        <v>1490</v>
      </c>
      <c r="O9" s="297">
        <v>71.873913017013237</v>
      </c>
      <c r="P9" s="298">
        <f t="shared" si="13"/>
        <v>2.41969632900179E-2</v>
      </c>
      <c r="Q9" s="294">
        <f>M9*O9</f>
        <v>16530.999993913043</v>
      </c>
      <c r="R9" s="662">
        <f t="shared" si="0"/>
        <v>2.41969632900179E-2</v>
      </c>
      <c r="S9" s="297">
        <f t="shared" si="1"/>
        <v>-4</v>
      </c>
      <c r="T9" s="294">
        <f t="shared" si="2"/>
        <v>1025</v>
      </c>
      <c r="U9" s="294">
        <v>0</v>
      </c>
      <c r="V9" s="297">
        <f t="shared" si="15"/>
        <v>71.873913017013237</v>
      </c>
      <c r="W9" s="300">
        <f t="shared" si="16"/>
        <v>16530.999993913043</v>
      </c>
      <c r="X9" s="301">
        <f t="shared" si="3"/>
        <v>6.2004718430670867</v>
      </c>
      <c r="Y9" s="302">
        <v>1029</v>
      </c>
      <c r="Z9" s="299">
        <f t="shared" si="17"/>
        <v>6.224668806357105</v>
      </c>
      <c r="AA9" s="294">
        <f t="shared" si="18"/>
        <v>122</v>
      </c>
      <c r="AB9" s="294">
        <v>1151</v>
      </c>
      <c r="AC9" s="297">
        <f t="shared" si="19"/>
        <v>158</v>
      </c>
      <c r="AD9" s="297">
        <f t="shared" si="4"/>
        <v>66.869565190926281</v>
      </c>
      <c r="AE9" s="300">
        <f t="shared" si="20"/>
        <v>15379.999993913043</v>
      </c>
      <c r="AF9" s="301">
        <f t="shared" si="21"/>
        <v>1.027308192864316</v>
      </c>
      <c r="AG9" s="302">
        <v>36</v>
      </c>
      <c r="AH9" s="662">
        <f t="shared" si="22"/>
        <v>0.23407022115895809</v>
      </c>
      <c r="AI9" s="297">
        <f t="shared" si="23"/>
        <v>-5.9905985851981471</v>
      </c>
      <c r="AJ9" s="303">
        <f t="shared" si="5"/>
        <v>0.20987325786894018</v>
      </c>
      <c r="AK9" s="304"/>
      <c r="AL9" s="300"/>
      <c r="AM9" s="305">
        <f t="shared" si="6"/>
        <v>0</v>
      </c>
      <c r="AN9" s="306">
        <v>36</v>
      </c>
      <c r="AO9" s="294">
        <v>28</v>
      </c>
      <c r="AP9" s="305">
        <f t="shared" si="24"/>
        <v>64</v>
      </c>
      <c r="AQ9" s="307">
        <f t="shared" si="7"/>
        <v>15315.999993913043</v>
      </c>
      <c r="AR9" s="301">
        <f t="shared" si="25"/>
        <v>15.917994260700716</v>
      </c>
      <c r="AS9" s="308">
        <v>2410</v>
      </c>
      <c r="AT9" s="195"/>
      <c r="AU9" s="309">
        <f t="shared" si="26"/>
        <v>15.735178904138113</v>
      </c>
      <c r="AV9" s="195"/>
      <c r="AW9" s="310">
        <f t="shared" si="8"/>
        <v>15.501108682979154</v>
      </c>
      <c r="AX9" s="236"/>
      <c r="AY9" s="310">
        <f t="shared" si="9"/>
        <v>15.710981940848095</v>
      </c>
      <c r="AZ9" s="237"/>
      <c r="BA9" s="311">
        <f t="shared" si="27"/>
        <v>15315.999993913043</v>
      </c>
      <c r="BB9" s="312"/>
      <c r="BC9" s="313">
        <v>0</v>
      </c>
      <c r="BD9" s="314">
        <f t="shared" si="28"/>
        <v>15315.999993913043</v>
      </c>
      <c r="BE9" s="247">
        <v>484</v>
      </c>
      <c r="BF9" s="315">
        <f t="shared" si="29"/>
        <v>4.6095586333284269</v>
      </c>
      <c r="BG9" s="646">
        <v>222</v>
      </c>
      <c r="BH9" s="316">
        <f t="shared" si="30"/>
        <v>1.4494646127463324</v>
      </c>
      <c r="BI9" s="317">
        <v>5000</v>
      </c>
      <c r="BJ9" s="245">
        <v>223</v>
      </c>
      <c r="BK9" s="246">
        <f t="shared" si="31"/>
        <v>20092.999993913043</v>
      </c>
      <c r="BL9" s="318">
        <f t="shared" si="32"/>
        <v>1</v>
      </c>
      <c r="BM9" s="318">
        <f t="shared" si="35"/>
        <v>1</v>
      </c>
      <c r="BN9" s="319">
        <f t="shared" si="33"/>
        <v>4.9768576136114025E-3</v>
      </c>
      <c r="BO9" s="318"/>
      <c r="BP9" s="318">
        <f t="shared" si="34"/>
        <v>0</v>
      </c>
      <c r="BR9" s="318"/>
    </row>
    <row r="10" spans="1:71" ht="13.5" thickBot="1" x14ac:dyDescent="0.3">
      <c r="A10" s="1287" t="s">
        <v>165</v>
      </c>
      <c r="B10" s="1275"/>
      <c r="C10" s="320">
        <v>1260</v>
      </c>
      <c r="D10" s="1276"/>
      <c r="E10" s="320">
        <v>192426.99998849205</v>
      </c>
      <c r="F10" s="321">
        <f t="shared" si="10"/>
        <v>152.71984126070797</v>
      </c>
      <c r="G10" s="218">
        <f t="shared" si="11"/>
        <v>9.1437272321723331</v>
      </c>
      <c r="H10" s="322">
        <v>12242</v>
      </c>
      <c r="I10" s="323">
        <v>17595</v>
      </c>
      <c r="J10" s="320">
        <v>192426.99998849205</v>
      </c>
      <c r="K10" s="324">
        <f t="shared" si="12"/>
        <v>9.1437272321723329E-2</v>
      </c>
      <c r="L10" s="320">
        <v>5353</v>
      </c>
      <c r="M10" s="320">
        <v>1260</v>
      </c>
      <c r="N10" s="1276"/>
      <c r="O10" s="325">
        <v>143.00396824483497</v>
      </c>
      <c r="P10" s="326">
        <f t="shared" si="13"/>
        <v>2.9708355303393081</v>
      </c>
      <c r="Q10" s="322">
        <f t="shared" si="14"/>
        <v>180184.99998849205</v>
      </c>
      <c r="R10" s="663">
        <f t="shared" si="0"/>
        <v>2.9708355303393081</v>
      </c>
      <c r="S10" s="325">
        <f t="shared" si="1"/>
        <v>7773</v>
      </c>
      <c r="T10" s="322">
        <f t="shared" si="2"/>
        <v>16554</v>
      </c>
      <c r="U10" s="322">
        <v>13126</v>
      </c>
      <c r="V10" s="325">
        <f t="shared" si="15"/>
        <v>132.58650792737464</v>
      </c>
      <c r="W10" s="328">
        <f t="shared" si="16"/>
        <v>167058.99998849205</v>
      </c>
      <c r="X10" s="329">
        <f t="shared" si="3"/>
        <v>9.9090740403931132</v>
      </c>
      <c r="Y10" s="330">
        <v>8781</v>
      </c>
      <c r="Z10" s="327">
        <f t="shared" si="17"/>
        <v>5.2562268423759768</v>
      </c>
      <c r="AA10" s="322">
        <f t="shared" si="18"/>
        <v>1036</v>
      </c>
      <c r="AB10" s="322">
        <v>9817</v>
      </c>
      <c r="AC10" s="325">
        <f t="shared" si="19"/>
        <v>5087</v>
      </c>
      <c r="AD10" s="325">
        <f t="shared" si="4"/>
        <v>124.7952380861048</v>
      </c>
      <c r="AE10" s="328">
        <f t="shared" si="20"/>
        <v>157241.99998849205</v>
      </c>
      <c r="AF10" s="329">
        <f t="shared" si="21"/>
        <v>3.2351407387163085</v>
      </c>
      <c r="AG10" s="330">
        <v>4051</v>
      </c>
      <c r="AH10" s="663">
        <f t="shared" si="22"/>
        <v>2.5762836902967892</v>
      </c>
      <c r="AI10" s="325">
        <f t="shared" si="23"/>
        <v>-2.6799431520791877</v>
      </c>
      <c r="AJ10" s="331">
        <f t="shared" si="5"/>
        <v>-0.39455184004251898</v>
      </c>
      <c r="AK10" s="332"/>
      <c r="AL10" s="328"/>
      <c r="AM10" s="333">
        <f t="shared" si="6"/>
        <v>0</v>
      </c>
      <c r="AN10" s="334">
        <v>4051</v>
      </c>
      <c r="AO10" s="322">
        <v>3208</v>
      </c>
      <c r="AP10" s="333">
        <f t="shared" si="24"/>
        <v>7259</v>
      </c>
      <c r="AQ10" s="335">
        <f t="shared" si="7"/>
        <v>149982.99998849205</v>
      </c>
      <c r="AR10" s="329">
        <f t="shared" si="25"/>
        <v>2.1462432410653132</v>
      </c>
      <c r="AS10" s="336">
        <v>11</v>
      </c>
      <c r="AT10" s="195"/>
      <c r="AU10" s="337">
        <f t="shared" si="26"/>
        <v>7.3341645392104521E-3</v>
      </c>
      <c r="AV10" s="195"/>
      <c r="AW10" s="338">
        <f t="shared" si="8"/>
        <v>-2.5689495257575787</v>
      </c>
      <c r="AX10" s="236"/>
      <c r="AY10" s="338">
        <f t="shared" si="9"/>
        <v>-2.9635013658000977</v>
      </c>
      <c r="AZ10" s="237"/>
      <c r="BA10" s="339">
        <f t="shared" si="27"/>
        <v>149982.99998849205</v>
      </c>
      <c r="BB10" s="340">
        <v>12000</v>
      </c>
      <c r="BC10" s="341">
        <v>0</v>
      </c>
      <c r="BD10" s="342">
        <f t="shared" si="28"/>
        <v>161982.99998849205</v>
      </c>
      <c r="BE10" s="343">
        <v>775</v>
      </c>
      <c r="BF10" s="344">
        <f t="shared" si="29"/>
        <v>2.4434662898459671</v>
      </c>
      <c r="BG10" s="647">
        <v>3183</v>
      </c>
      <c r="BH10" s="345">
        <f t="shared" si="30"/>
        <v>1.9650210208640002</v>
      </c>
      <c r="BI10" s="346">
        <v>5000</v>
      </c>
      <c r="BJ10" s="288">
        <v>5677</v>
      </c>
      <c r="BK10" s="289">
        <f t="shared" si="31"/>
        <v>161305.99998849205</v>
      </c>
      <c r="BL10" s="347">
        <f t="shared" si="32"/>
        <v>2494</v>
      </c>
      <c r="BM10" s="347">
        <f t="shared" si="35"/>
        <v>2494</v>
      </c>
      <c r="BN10" s="348">
        <f t="shared" si="33"/>
        <v>1.5461297163018908</v>
      </c>
      <c r="BO10" s="347"/>
      <c r="BP10" s="347">
        <f t="shared" si="34"/>
        <v>0</v>
      </c>
      <c r="BR10" s="347"/>
    </row>
    <row r="11" spans="1:71" x14ac:dyDescent="0.25">
      <c r="A11" s="1277" t="s">
        <v>166</v>
      </c>
      <c r="B11" s="1278"/>
      <c r="C11" s="292">
        <v>410</v>
      </c>
      <c r="D11" s="1268">
        <f>SUM(C11:C19)</f>
        <v>9260</v>
      </c>
      <c r="E11" s="292">
        <v>36751.999991219513</v>
      </c>
      <c r="F11" s="293">
        <f t="shared" si="10"/>
        <v>89.639024368828075</v>
      </c>
      <c r="G11" s="218">
        <f t="shared" si="11"/>
        <v>4.5820635622614487</v>
      </c>
      <c r="H11" s="294">
        <v>294</v>
      </c>
      <c r="I11" s="295">
        <v>1684</v>
      </c>
      <c r="J11" s="292">
        <v>36751.999991219513</v>
      </c>
      <c r="K11" s="296">
        <f t="shared" si="12"/>
        <v>4.5820635622614486E-2</v>
      </c>
      <c r="L11" s="292">
        <v>1390</v>
      </c>
      <c r="M11" s="292">
        <v>410</v>
      </c>
      <c r="N11" s="1268">
        <f>SUM(M11:M19)</f>
        <v>9260</v>
      </c>
      <c r="O11" s="297">
        <v>88.921951198096366</v>
      </c>
      <c r="P11" s="298">
        <f t="shared" si="13"/>
        <v>3.8126062876042721</v>
      </c>
      <c r="Q11" s="294">
        <f t="shared" si="14"/>
        <v>36457.999991219513</v>
      </c>
      <c r="R11" s="662">
        <f t="shared" si="0"/>
        <v>3.8126062876042721</v>
      </c>
      <c r="S11" s="349">
        <f t="shared" si="1"/>
        <v>-1390</v>
      </c>
      <c r="T11" s="349">
        <f t="shared" si="2"/>
        <v>-1243</v>
      </c>
      <c r="U11" s="349">
        <v>0</v>
      </c>
      <c r="V11" s="297">
        <f t="shared" si="15"/>
        <v>88.921951198096366</v>
      </c>
      <c r="W11" s="300">
        <f t="shared" si="16"/>
        <v>36457.999991219513</v>
      </c>
      <c r="X11" s="350">
        <f t="shared" si="3"/>
        <v>-3.4094026010734599</v>
      </c>
      <c r="Y11" s="351">
        <v>147</v>
      </c>
      <c r="Z11" s="299">
        <f t="shared" si="17"/>
        <v>0.40320368653081151</v>
      </c>
      <c r="AA11" s="349">
        <f t="shared" si="18"/>
        <v>17</v>
      </c>
      <c r="AB11" s="349">
        <v>164</v>
      </c>
      <c r="AC11" s="349">
        <f t="shared" si="19"/>
        <v>150</v>
      </c>
      <c r="AD11" s="297">
        <f t="shared" si="4"/>
        <v>88.521951198096374</v>
      </c>
      <c r="AE11" s="300">
        <f t="shared" si="20"/>
        <v>36293.999991219513</v>
      </c>
      <c r="AF11" s="350">
        <f t="shared" si="21"/>
        <v>0.41329145323273547</v>
      </c>
      <c r="AG11" s="351">
        <v>133</v>
      </c>
      <c r="AH11" s="662">
        <f t="shared" si="22"/>
        <v>0.36645175519969209</v>
      </c>
      <c r="AI11" s="297">
        <f t="shared" si="23"/>
        <v>-3.6751931331119425E-2</v>
      </c>
      <c r="AJ11" s="303">
        <f t="shared" si="5"/>
        <v>-3.4461545324045799</v>
      </c>
      <c r="AK11" s="304"/>
      <c r="AL11" s="300">
        <v>4000</v>
      </c>
      <c r="AM11" s="305">
        <f t="shared" si="6"/>
        <v>4000</v>
      </c>
      <c r="AN11" s="352">
        <v>133</v>
      </c>
      <c r="AO11" s="349">
        <v>33</v>
      </c>
      <c r="AP11" s="305">
        <f t="shared" si="24"/>
        <v>166</v>
      </c>
      <c r="AQ11" s="307">
        <f t="shared" si="7"/>
        <v>40127.999991219513</v>
      </c>
      <c r="AR11" s="350">
        <f t="shared" si="25"/>
        <v>0.62300637972164818</v>
      </c>
      <c r="AS11" s="353">
        <v>217</v>
      </c>
      <c r="AT11" s="195"/>
      <c r="AU11" s="309">
        <f t="shared" si="26"/>
        <v>0.54076953759839064</v>
      </c>
      <c r="AV11" s="195"/>
      <c r="AW11" s="310">
        <f t="shared" si="8"/>
        <v>0.17431778239869855</v>
      </c>
      <c r="AX11" s="236"/>
      <c r="AY11" s="310">
        <f t="shared" si="9"/>
        <v>-3.2718367500058814</v>
      </c>
      <c r="AZ11" s="237"/>
      <c r="BA11" s="311">
        <f t="shared" si="27"/>
        <v>40127.999991219513</v>
      </c>
      <c r="BB11" s="354">
        <v>7000</v>
      </c>
      <c r="BC11" s="313">
        <v>0</v>
      </c>
      <c r="BD11" s="314">
        <f t="shared" si="28"/>
        <v>47127.999991219513</v>
      </c>
      <c r="BE11" s="247">
        <v>591</v>
      </c>
      <c r="BF11" s="315">
        <f t="shared" si="29"/>
        <v>1.5298760824442594</v>
      </c>
      <c r="BG11" s="646">
        <v>130</v>
      </c>
      <c r="BH11" s="316">
        <f t="shared" si="30"/>
        <v>0.27584450862379156</v>
      </c>
      <c r="BI11" s="317">
        <v>5000</v>
      </c>
      <c r="BJ11" s="355">
        <v>118</v>
      </c>
      <c r="BK11" s="356">
        <f t="shared" si="31"/>
        <v>52009.999991219513</v>
      </c>
      <c r="BL11" s="357">
        <f t="shared" si="32"/>
        <v>-12</v>
      </c>
      <c r="BM11" s="357">
        <f t="shared" si="35"/>
        <v>0</v>
      </c>
      <c r="BN11" s="357">
        <f t="shared" si="33"/>
        <v>0</v>
      </c>
      <c r="BO11" s="357"/>
      <c r="BP11" s="357">
        <f t="shared" si="34"/>
        <v>0</v>
      </c>
      <c r="BR11" s="357"/>
    </row>
    <row r="12" spans="1:71" x14ac:dyDescent="0.25">
      <c r="A12" s="1279" t="s">
        <v>167</v>
      </c>
      <c r="B12" s="1280"/>
      <c r="C12" s="216">
        <v>580</v>
      </c>
      <c r="D12" s="1269"/>
      <c r="E12" s="216">
        <v>18965.999996896553</v>
      </c>
      <c r="F12" s="217">
        <f t="shared" si="10"/>
        <v>32.699999994649232</v>
      </c>
      <c r="G12" s="218">
        <f t="shared" si="11"/>
        <v>6.991458400384774</v>
      </c>
      <c r="H12" s="219">
        <v>323</v>
      </c>
      <c r="I12" s="220">
        <v>1326</v>
      </c>
      <c r="J12" s="216">
        <v>18965.999996896553</v>
      </c>
      <c r="K12" s="221">
        <f t="shared" si="12"/>
        <v>6.9914584003847743E-2</v>
      </c>
      <c r="L12" s="216">
        <v>1003</v>
      </c>
      <c r="M12" s="216">
        <v>580</v>
      </c>
      <c r="N12" s="1269"/>
      <c r="O12" s="222">
        <v>32.143103442925089</v>
      </c>
      <c r="P12" s="223">
        <f t="shared" si="13"/>
        <v>5.3800354029231698</v>
      </c>
      <c r="Q12" s="219">
        <f t="shared" si="14"/>
        <v>18642.999996896553</v>
      </c>
      <c r="R12" s="660">
        <f t="shared" si="0"/>
        <v>5.3800354029231698</v>
      </c>
      <c r="S12" s="225">
        <f t="shared" si="1"/>
        <v>-1003</v>
      </c>
      <c r="T12" s="225">
        <f t="shared" si="2"/>
        <v>-717</v>
      </c>
      <c r="U12" s="225">
        <v>0</v>
      </c>
      <c r="V12" s="222">
        <f t="shared" si="15"/>
        <v>32.143103442925089</v>
      </c>
      <c r="W12" s="226">
        <f t="shared" si="16"/>
        <v>18642.999996896553</v>
      </c>
      <c r="X12" s="227">
        <f t="shared" si="3"/>
        <v>-3.8459475412720963</v>
      </c>
      <c r="Y12" s="228">
        <v>286</v>
      </c>
      <c r="Z12" s="224">
        <f t="shared" si="17"/>
        <v>1.5340878616510734</v>
      </c>
      <c r="AA12" s="225">
        <f t="shared" si="18"/>
        <v>34</v>
      </c>
      <c r="AB12" s="225">
        <v>320</v>
      </c>
      <c r="AC12" s="225">
        <f t="shared" si="19"/>
        <v>272</v>
      </c>
      <c r="AD12" s="222">
        <f t="shared" si="4"/>
        <v>31.591379304994057</v>
      </c>
      <c r="AE12" s="226">
        <f>W12-AB12</f>
        <v>18322.999996896553</v>
      </c>
      <c r="AF12" s="227">
        <f t="shared" si="21"/>
        <v>1.4844730668889912</v>
      </c>
      <c r="AG12" s="228">
        <v>238</v>
      </c>
      <c r="AH12" s="660">
        <f t="shared" si="22"/>
        <v>1.2989139335278672</v>
      </c>
      <c r="AI12" s="222">
        <f t="shared" si="23"/>
        <v>-0.23517392812320614</v>
      </c>
      <c r="AJ12" s="229">
        <f t="shared" si="5"/>
        <v>-4.0811214693953026</v>
      </c>
      <c r="AK12" s="230"/>
      <c r="AL12" s="226">
        <v>0</v>
      </c>
      <c r="AM12" s="231">
        <f t="shared" si="6"/>
        <v>0</v>
      </c>
      <c r="AN12" s="232">
        <v>238</v>
      </c>
      <c r="AO12" s="225">
        <v>92</v>
      </c>
      <c r="AP12" s="231">
        <f t="shared" si="24"/>
        <v>330</v>
      </c>
      <c r="AQ12" s="358">
        <f t="shared" si="7"/>
        <v>17992.999996896553</v>
      </c>
      <c r="AR12" s="227">
        <f t="shared" si="25"/>
        <v>2.5065303177779628</v>
      </c>
      <c r="AS12" s="248">
        <v>359</v>
      </c>
      <c r="AT12" s="195"/>
      <c r="AU12" s="249">
        <f t="shared" si="26"/>
        <v>1.995220363818822</v>
      </c>
      <c r="AV12" s="195"/>
      <c r="AW12" s="235">
        <f t="shared" si="8"/>
        <v>0.69630643029095474</v>
      </c>
      <c r="AX12" s="236"/>
      <c r="AY12" s="235">
        <f t="shared" si="9"/>
        <v>-3.3848150391043479</v>
      </c>
      <c r="AZ12" s="237"/>
      <c r="BA12" s="250">
        <f t="shared" si="27"/>
        <v>17992.999996896553</v>
      </c>
      <c r="BB12" s="359">
        <v>6000</v>
      </c>
      <c r="BC12" s="360">
        <v>0</v>
      </c>
      <c r="BD12" s="253">
        <f t="shared" si="28"/>
        <v>23992.999996896553</v>
      </c>
      <c r="BE12" s="254">
        <v>0</v>
      </c>
      <c r="BF12" s="361">
        <f t="shared" si="29"/>
        <v>0.77522610771499489</v>
      </c>
      <c r="BG12" s="648">
        <v>186</v>
      </c>
      <c r="BH12" s="256">
        <f t="shared" si="30"/>
        <v>0.77522610771499489</v>
      </c>
      <c r="BI12" s="244">
        <v>5000</v>
      </c>
      <c r="BJ12" s="362">
        <v>117</v>
      </c>
      <c r="BK12" s="363">
        <f t="shared" si="31"/>
        <v>28875.999996896553</v>
      </c>
      <c r="BL12" s="364">
        <f t="shared" si="32"/>
        <v>-69</v>
      </c>
      <c r="BM12" s="364">
        <f t="shared" si="35"/>
        <v>0</v>
      </c>
      <c r="BN12" s="364">
        <f t="shared" si="33"/>
        <v>0</v>
      </c>
      <c r="BO12" s="364"/>
      <c r="BP12" s="364">
        <f t="shared" si="34"/>
        <v>0</v>
      </c>
      <c r="BR12" s="364"/>
    </row>
    <row r="13" spans="1:71" x14ac:dyDescent="0.25">
      <c r="A13" s="1279" t="s">
        <v>168</v>
      </c>
      <c r="B13" s="1280"/>
      <c r="C13" s="216">
        <v>1440</v>
      </c>
      <c r="D13" s="1269"/>
      <c r="E13" s="216">
        <v>227455.99998472221</v>
      </c>
      <c r="F13" s="217">
        <f t="shared" si="10"/>
        <v>157.95555554494598</v>
      </c>
      <c r="G13" s="218">
        <f t="shared" si="11"/>
        <v>1.1984735510090305</v>
      </c>
      <c r="H13" s="219">
        <v>0</v>
      </c>
      <c r="I13" s="220">
        <v>2726</v>
      </c>
      <c r="J13" s="216">
        <v>227455.99998472221</v>
      </c>
      <c r="K13" s="221">
        <f t="shared" si="12"/>
        <v>1.1984735510090305E-2</v>
      </c>
      <c r="L13" s="216">
        <v>2726</v>
      </c>
      <c r="M13" s="216">
        <v>1440</v>
      </c>
      <c r="N13" s="1269"/>
      <c r="O13" s="222">
        <v>157.95555554494598</v>
      </c>
      <c r="P13" s="223">
        <f t="shared" si="13"/>
        <v>1.1984735510090305</v>
      </c>
      <c r="Q13" s="219">
        <f t="shared" si="14"/>
        <v>227455.99998472221</v>
      </c>
      <c r="R13" s="660">
        <f t="shared" si="0"/>
        <v>1.1984735510090305</v>
      </c>
      <c r="S13" s="225">
        <f t="shared" si="1"/>
        <v>3298</v>
      </c>
      <c r="T13" s="225">
        <f t="shared" si="2"/>
        <v>4579</v>
      </c>
      <c r="U13" s="225">
        <v>6024</v>
      </c>
      <c r="V13" s="222">
        <f t="shared" si="15"/>
        <v>153.77222221161264</v>
      </c>
      <c r="W13" s="226">
        <f t="shared" si="16"/>
        <v>221431.99998472221</v>
      </c>
      <c r="X13" s="227">
        <f t="shared" si="3"/>
        <v>2.067903464863222</v>
      </c>
      <c r="Y13" s="228">
        <v>1281</v>
      </c>
      <c r="Z13" s="224">
        <f t="shared" si="17"/>
        <v>0.578507171541775</v>
      </c>
      <c r="AA13" s="225">
        <f t="shared" si="18"/>
        <v>151</v>
      </c>
      <c r="AB13" s="225">
        <v>1432</v>
      </c>
      <c r="AC13" s="225">
        <f t="shared" si="19"/>
        <v>1122</v>
      </c>
      <c r="AD13" s="222">
        <f t="shared" si="4"/>
        <v>152.7777777671682</v>
      </c>
      <c r="AE13" s="226">
        <f t="shared" si="20"/>
        <v>219999.99998472221</v>
      </c>
      <c r="AF13" s="227">
        <f t="shared" si="21"/>
        <v>0.51000000003541668</v>
      </c>
      <c r="AG13" s="228">
        <v>971</v>
      </c>
      <c r="AH13" s="660">
        <f t="shared" si="22"/>
        <v>0.44136363639428666</v>
      </c>
      <c r="AI13" s="222">
        <f t="shared" si="23"/>
        <v>-0.13714353514748834</v>
      </c>
      <c r="AJ13" s="229">
        <f t="shared" si="5"/>
        <v>-0.75710991461474386</v>
      </c>
      <c r="AK13" s="230"/>
      <c r="AL13" s="226">
        <v>11000</v>
      </c>
      <c r="AM13" s="231">
        <f t="shared" si="6"/>
        <v>11000</v>
      </c>
      <c r="AN13" s="232">
        <v>971</v>
      </c>
      <c r="AO13" s="225">
        <v>768</v>
      </c>
      <c r="AP13" s="231">
        <f t="shared" si="24"/>
        <v>1739</v>
      </c>
      <c r="AQ13" s="358">
        <f t="shared" si="7"/>
        <v>229260.99998472221</v>
      </c>
      <c r="AR13" s="227">
        <f t="shared" si="25"/>
        <v>0.75241755035307045</v>
      </c>
      <c r="AS13" s="248">
        <v>957</v>
      </c>
      <c r="AT13" s="195"/>
      <c r="AU13" s="249">
        <f t="shared" si="26"/>
        <v>0.41742817141326866</v>
      </c>
      <c r="AV13" s="195"/>
      <c r="AW13" s="235">
        <f t="shared" si="8"/>
        <v>-2.3935464981018006E-2</v>
      </c>
      <c r="AX13" s="236"/>
      <c r="AY13" s="235">
        <f t="shared" si="9"/>
        <v>-0.78104537959576192</v>
      </c>
      <c r="AZ13" s="237"/>
      <c r="BA13" s="250">
        <f t="shared" si="27"/>
        <v>229260.99998472221</v>
      </c>
      <c r="BB13" s="359">
        <v>6000</v>
      </c>
      <c r="BC13" s="360">
        <v>0</v>
      </c>
      <c r="BD13" s="253">
        <f t="shared" si="28"/>
        <v>235260.99998472221</v>
      </c>
      <c r="BE13" s="254">
        <v>2190</v>
      </c>
      <c r="BF13" s="361">
        <f t="shared" si="29"/>
        <v>1.1625386273872891</v>
      </c>
      <c r="BG13" s="648">
        <v>545</v>
      </c>
      <c r="BH13" s="256">
        <f t="shared" si="30"/>
        <v>0.23165760582306125</v>
      </c>
      <c r="BI13" s="244"/>
      <c r="BJ13" s="362">
        <v>443</v>
      </c>
      <c r="BK13" s="363">
        <f t="shared" si="31"/>
        <v>234817.99998472221</v>
      </c>
      <c r="BL13" s="364">
        <f t="shared" si="32"/>
        <v>-102</v>
      </c>
      <c r="BM13" s="364">
        <f t="shared" si="35"/>
        <v>0</v>
      </c>
      <c r="BN13" s="364">
        <f t="shared" si="33"/>
        <v>0</v>
      </c>
      <c r="BO13" s="364"/>
      <c r="BP13" s="364">
        <f t="shared" si="34"/>
        <v>0</v>
      </c>
      <c r="BR13" s="364"/>
    </row>
    <row r="14" spans="1:71" x14ac:dyDescent="0.25">
      <c r="A14" s="1279" t="s">
        <v>169</v>
      </c>
      <c r="B14" s="1280"/>
      <c r="C14" s="216">
        <v>940</v>
      </c>
      <c r="D14" s="1269"/>
      <c r="E14" s="216">
        <v>154577.99998404257</v>
      </c>
      <c r="F14" s="217">
        <f t="shared" si="10"/>
        <v>164.44468083408785</v>
      </c>
      <c r="G14" s="218">
        <f t="shared" si="11"/>
        <v>0</v>
      </c>
      <c r="H14" s="219">
        <v>0</v>
      </c>
      <c r="I14" s="220">
        <v>0</v>
      </c>
      <c r="J14" s="216">
        <v>154577.99998404257</v>
      </c>
      <c r="K14" s="221">
        <f t="shared" si="12"/>
        <v>0</v>
      </c>
      <c r="L14" s="216">
        <v>0</v>
      </c>
      <c r="M14" s="216">
        <v>940</v>
      </c>
      <c r="N14" s="1269"/>
      <c r="O14" s="222">
        <v>164.44468083408785</v>
      </c>
      <c r="P14" s="223">
        <f t="shared" si="13"/>
        <v>0</v>
      </c>
      <c r="Q14" s="219">
        <f t="shared" si="14"/>
        <v>154577.99998404257</v>
      </c>
      <c r="R14" s="660">
        <f t="shared" si="0"/>
        <v>0</v>
      </c>
      <c r="S14" s="225">
        <f t="shared" si="1"/>
        <v>3441</v>
      </c>
      <c r="T14" s="225">
        <f t="shared" si="2"/>
        <v>4458</v>
      </c>
      <c r="U14" s="225">
        <v>3441</v>
      </c>
      <c r="V14" s="222">
        <f t="shared" si="15"/>
        <v>160.78404253621551</v>
      </c>
      <c r="W14" s="226">
        <f t="shared" si="16"/>
        <v>151136.99998404257</v>
      </c>
      <c r="X14" s="227">
        <f t="shared" si="3"/>
        <v>2.94964171610571</v>
      </c>
      <c r="Y14" s="228">
        <v>1017</v>
      </c>
      <c r="Z14" s="224">
        <f t="shared" si="17"/>
        <v>0.67289942244941836</v>
      </c>
      <c r="AA14" s="225">
        <f t="shared" si="18"/>
        <v>120</v>
      </c>
      <c r="AB14" s="225">
        <v>1137</v>
      </c>
      <c r="AC14" s="225">
        <f t="shared" si="19"/>
        <v>975</v>
      </c>
      <c r="AD14" s="222">
        <f t="shared" si="4"/>
        <v>159.57446806813039</v>
      </c>
      <c r="AE14" s="226">
        <f t="shared" si="20"/>
        <v>149999.99998404257</v>
      </c>
      <c r="AF14" s="227">
        <f t="shared" si="21"/>
        <v>0.65000000006914882</v>
      </c>
      <c r="AG14" s="228">
        <v>855</v>
      </c>
      <c r="AH14" s="660">
        <f t="shared" si="22"/>
        <v>0.57000000006063822</v>
      </c>
      <c r="AI14" s="222">
        <f t="shared" si="23"/>
        <v>-0.10289942238878014</v>
      </c>
      <c r="AJ14" s="229">
        <f t="shared" si="5"/>
        <v>0.57000000006063822</v>
      </c>
      <c r="AK14" s="230"/>
      <c r="AL14" s="226"/>
      <c r="AM14" s="231">
        <f t="shared" si="6"/>
        <v>0</v>
      </c>
      <c r="AN14" s="232">
        <v>855</v>
      </c>
      <c r="AO14" s="225">
        <v>676</v>
      </c>
      <c r="AP14" s="231">
        <f t="shared" si="24"/>
        <v>1531</v>
      </c>
      <c r="AQ14" s="358">
        <f t="shared" si="7"/>
        <v>148468.99998404257</v>
      </c>
      <c r="AR14" s="227">
        <f t="shared" si="25"/>
        <v>0.60955485663489972</v>
      </c>
      <c r="AS14" s="248">
        <v>229</v>
      </c>
      <c r="AT14" s="195"/>
      <c r="AU14" s="249">
        <f t="shared" si="26"/>
        <v>0.15424095267336138</v>
      </c>
      <c r="AV14" s="195"/>
      <c r="AW14" s="235">
        <f t="shared" si="8"/>
        <v>-0.41575904738727687</v>
      </c>
      <c r="AX14" s="236"/>
      <c r="AY14" s="235">
        <f t="shared" si="9"/>
        <v>0.15424095267336138</v>
      </c>
      <c r="AZ14" s="237"/>
      <c r="BA14" s="250">
        <f t="shared" si="27"/>
        <v>148468.99998404257</v>
      </c>
      <c r="BB14" s="365"/>
      <c r="BC14" s="360">
        <v>0</v>
      </c>
      <c r="BD14" s="253">
        <f t="shared" si="28"/>
        <v>148468.99998404257</v>
      </c>
      <c r="BE14" s="254">
        <v>2048</v>
      </c>
      <c r="BF14" s="361">
        <f t="shared" si="29"/>
        <v>1.5067118389969842</v>
      </c>
      <c r="BG14" s="648">
        <v>189</v>
      </c>
      <c r="BH14" s="256">
        <f t="shared" si="30"/>
        <v>0.12729930155137684</v>
      </c>
      <c r="BI14" s="244"/>
      <c r="BJ14" s="362">
        <v>409</v>
      </c>
      <c r="BK14" s="363">
        <f t="shared" si="31"/>
        <v>148059.99998404257</v>
      </c>
      <c r="BL14" s="259">
        <f t="shared" si="32"/>
        <v>220</v>
      </c>
      <c r="BM14" s="259">
        <f t="shared" si="35"/>
        <v>220</v>
      </c>
      <c r="BN14" s="260">
        <f t="shared" si="33"/>
        <v>0.14858841012002627</v>
      </c>
      <c r="BO14" s="259"/>
      <c r="BP14" s="259">
        <f t="shared" si="34"/>
        <v>0</v>
      </c>
      <c r="BR14" s="259"/>
    </row>
    <row r="15" spans="1:71" x14ac:dyDescent="0.25">
      <c r="A15" s="1270" t="s">
        <v>170</v>
      </c>
      <c r="B15" s="1271"/>
      <c r="C15" s="216">
        <v>1400</v>
      </c>
      <c r="D15" s="1269"/>
      <c r="E15" s="216">
        <v>129240.72602739724</v>
      </c>
      <c r="F15" s="217">
        <f t="shared" si="10"/>
        <v>92.314804305283744</v>
      </c>
      <c r="G15" s="218">
        <f t="shared" si="11"/>
        <v>0</v>
      </c>
      <c r="H15" s="219">
        <v>0</v>
      </c>
      <c r="I15" s="220">
        <v>0</v>
      </c>
      <c r="J15" s="216">
        <v>129240.72602739724</v>
      </c>
      <c r="K15" s="221">
        <f t="shared" si="12"/>
        <v>0</v>
      </c>
      <c r="L15" s="216">
        <v>0</v>
      </c>
      <c r="M15" s="216">
        <v>1400</v>
      </c>
      <c r="N15" s="1269"/>
      <c r="O15" s="222">
        <v>92.314804305283744</v>
      </c>
      <c r="P15" s="223">
        <f t="shared" si="13"/>
        <v>0</v>
      </c>
      <c r="Q15" s="219">
        <f t="shared" si="14"/>
        <v>129240.72602739724</v>
      </c>
      <c r="R15" s="660">
        <f t="shared" si="0"/>
        <v>0</v>
      </c>
      <c r="S15" s="225">
        <f t="shared" si="1"/>
        <v>0</v>
      </c>
      <c r="T15" s="225">
        <f t="shared" si="2"/>
        <v>5814</v>
      </c>
      <c r="U15" s="225">
        <v>0</v>
      </c>
      <c r="V15" s="222">
        <f t="shared" si="15"/>
        <v>92.314804305283744</v>
      </c>
      <c r="W15" s="226">
        <f t="shared" si="16"/>
        <v>129240.72602739724</v>
      </c>
      <c r="X15" s="227">
        <f t="shared" si="3"/>
        <v>4.4985819708003749</v>
      </c>
      <c r="Y15" s="228">
        <v>5814</v>
      </c>
      <c r="Z15" s="224">
        <f t="shared" si="17"/>
        <v>4.4985819708003749</v>
      </c>
      <c r="AA15" s="225">
        <f t="shared" si="18"/>
        <v>687</v>
      </c>
      <c r="AB15" s="225">
        <v>6501</v>
      </c>
      <c r="AC15" s="225">
        <f t="shared" si="19"/>
        <v>3354</v>
      </c>
      <c r="AD15" s="222">
        <f t="shared" si="4"/>
        <v>87.67123287671231</v>
      </c>
      <c r="AE15" s="226">
        <f t="shared" si="20"/>
        <v>122739.72602739724</v>
      </c>
      <c r="AF15" s="227">
        <f t="shared" si="21"/>
        <v>2.7326116071428577</v>
      </c>
      <c r="AG15" s="228">
        <v>2667</v>
      </c>
      <c r="AH15" s="660">
        <f t="shared" si="22"/>
        <v>2.1728906250000004</v>
      </c>
      <c r="AI15" s="222">
        <f t="shared" si="23"/>
        <v>-2.3256913458003745</v>
      </c>
      <c r="AJ15" s="229">
        <f t="shared" si="5"/>
        <v>2.1728906250000004</v>
      </c>
      <c r="AK15" s="230"/>
      <c r="AL15" s="226"/>
      <c r="AM15" s="231">
        <f t="shared" si="6"/>
        <v>0</v>
      </c>
      <c r="AN15" s="232">
        <v>2667</v>
      </c>
      <c r="AO15" s="225">
        <v>2112</v>
      </c>
      <c r="AP15" s="231">
        <f t="shared" si="24"/>
        <v>4779</v>
      </c>
      <c r="AQ15" s="358">
        <f t="shared" si="7"/>
        <v>117960.72602739724</v>
      </c>
      <c r="AR15" s="227">
        <f t="shared" si="25"/>
        <v>5.8697502407639055</v>
      </c>
      <c r="AS15" s="248">
        <v>4812</v>
      </c>
      <c r="AT15" s="195"/>
      <c r="AU15" s="249">
        <f t="shared" si="26"/>
        <v>4.0793238241704088</v>
      </c>
      <c r="AV15" s="195"/>
      <c r="AW15" s="235">
        <f t="shared" si="8"/>
        <v>1.9064331991704084</v>
      </c>
      <c r="AX15" s="236"/>
      <c r="AY15" s="235">
        <f t="shared" si="9"/>
        <v>4.0793238241704088</v>
      </c>
      <c r="AZ15" s="237"/>
      <c r="BA15" s="250">
        <f t="shared" si="27"/>
        <v>117960.72602739724</v>
      </c>
      <c r="BB15" s="365"/>
      <c r="BC15" s="360">
        <v>0</v>
      </c>
      <c r="BD15" s="253">
        <f t="shared" si="28"/>
        <v>117960.72602739724</v>
      </c>
      <c r="BE15" s="254">
        <v>0</v>
      </c>
      <c r="BF15" s="361">
        <f t="shared" si="29"/>
        <v>3.9080803884924324</v>
      </c>
      <c r="BG15" s="648">
        <v>4610</v>
      </c>
      <c r="BH15" s="256">
        <f t="shared" si="30"/>
        <v>3.9080803884924324</v>
      </c>
      <c r="BI15" s="244"/>
      <c r="BJ15" s="259"/>
      <c r="BK15" s="254">
        <f t="shared" si="31"/>
        <v>117960.72602739724</v>
      </c>
      <c r="BL15" s="259">
        <f t="shared" si="32"/>
        <v>-4610</v>
      </c>
      <c r="BM15" s="259">
        <f t="shared" si="35"/>
        <v>0</v>
      </c>
      <c r="BN15" s="259">
        <f t="shared" si="33"/>
        <v>0</v>
      </c>
      <c r="BO15" s="259"/>
      <c r="BP15" s="259">
        <f t="shared" si="34"/>
        <v>0</v>
      </c>
      <c r="BR15" s="259"/>
    </row>
    <row r="16" spans="1:71" x14ac:dyDescent="0.25">
      <c r="A16" s="1270" t="s">
        <v>171</v>
      </c>
      <c r="B16" s="1271"/>
      <c r="C16" s="216">
        <v>230</v>
      </c>
      <c r="D16" s="1269"/>
      <c r="E16" s="216">
        <v>37698.999986956522</v>
      </c>
      <c r="F16" s="217">
        <f t="shared" si="10"/>
        <v>163.90869559546314</v>
      </c>
      <c r="G16" s="218">
        <f t="shared" si="11"/>
        <v>13.833258181395628</v>
      </c>
      <c r="H16" s="219">
        <v>0</v>
      </c>
      <c r="I16" s="220">
        <v>5215</v>
      </c>
      <c r="J16" s="216">
        <v>37698.999986956522</v>
      </c>
      <c r="K16" s="221">
        <f t="shared" si="12"/>
        <v>0.13833258181395627</v>
      </c>
      <c r="L16" s="216">
        <v>5215</v>
      </c>
      <c r="M16" s="216">
        <v>230</v>
      </c>
      <c r="N16" s="1269"/>
      <c r="O16" s="222">
        <v>163.90869559546314</v>
      </c>
      <c r="P16" s="223">
        <f t="shared" si="13"/>
        <v>13.833258181395628</v>
      </c>
      <c r="Q16" s="219">
        <f t="shared" si="14"/>
        <v>37698.999986956522</v>
      </c>
      <c r="R16" s="660">
        <f t="shared" si="0"/>
        <v>13.833258181395628</v>
      </c>
      <c r="S16" s="225">
        <f t="shared" si="1"/>
        <v>-1655</v>
      </c>
      <c r="T16" s="225">
        <f t="shared" si="2"/>
        <v>2047</v>
      </c>
      <c r="U16" s="225">
        <v>3560</v>
      </c>
      <c r="V16" s="222">
        <f t="shared" si="15"/>
        <v>148.43043472589792</v>
      </c>
      <c r="W16" s="226">
        <f t="shared" si="16"/>
        <v>34138.999986956522</v>
      </c>
      <c r="X16" s="227">
        <f t="shared" si="3"/>
        <v>5.9960748726737654</v>
      </c>
      <c r="Y16" s="228">
        <v>3702</v>
      </c>
      <c r="Z16" s="224">
        <f t="shared" si="17"/>
        <v>10.843902871831109</v>
      </c>
      <c r="AA16" s="225">
        <f t="shared" si="18"/>
        <v>437</v>
      </c>
      <c r="AB16" s="225">
        <v>4139</v>
      </c>
      <c r="AC16" s="225">
        <f t="shared" si="19"/>
        <v>2189</v>
      </c>
      <c r="AD16" s="222">
        <f t="shared" si="4"/>
        <v>130.43478255198488</v>
      </c>
      <c r="AE16" s="226">
        <f t="shared" si="20"/>
        <v>29999.999986956522</v>
      </c>
      <c r="AF16" s="227">
        <f t="shared" si="21"/>
        <v>7.29666666983913</v>
      </c>
      <c r="AG16" s="228">
        <v>1752</v>
      </c>
      <c r="AH16" s="660">
        <f t="shared" si="22"/>
        <v>5.8400000025391305</v>
      </c>
      <c r="AI16" s="222">
        <f t="shared" si="23"/>
        <v>-5.003902869291978</v>
      </c>
      <c r="AJ16" s="229">
        <f t="shared" si="5"/>
        <v>-7.9932581788564976</v>
      </c>
      <c r="AK16" s="230"/>
      <c r="AL16" s="226"/>
      <c r="AM16" s="231">
        <f t="shared" si="6"/>
        <v>0</v>
      </c>
      <c r="AN16" s="232">
        <v>1752</v>
      </c>
      <c r="AO16" s="225">
        <v>1387</v>
      </c>
      <c r="AP16" s="231">
        <f t="shared" si="24"/>
        <v>3139</v>
      </c>
      <c r="AQ16" s="358">
        <f t="shared" si="7"/>
        <v>26860.999986956522</v>
      </c>
      <c r="AR16" s="227">
        <f t="shared" si="25"/>
        <v>13.145452521181729</v>
      </c>
      <c r="AS16" s="248">
        <v>2144</v>
      </c>
      <c r="AT16" s="195"/>
      <c r="AU16" s="249">
        <f t="shared" si="26"/>
        <v>7.9818324002870655</v>
      </c>
      <c r="AV16" s="195"/>
      <c r="AW16" s="235">
        <f t="shared" si="8"/>
        <v>2.141832397747935</v>
      </c>
      <c r="AX16" s="236"/>
      <c r="AY16" s="235">
        <f t="shared" si="9"/>
        <v>-5.8514257811085626</v>
      </c>
      <c r="AZ16" s="237"/>
      <c r="BA16" s="250">
        <f t="shared" si="27"/>
        <v>26860.999986956522</v>
      </c>
      <c r="BB16" s="365"/>
      <c r="BC16" s="360">
        <v>0</v>
      </c>
      <c r="BD16" s="253">
        <f t="shared" si="28"/>
        <v>26860.999986956522</v>
      </c>
      <c r="BE16" s="254">
        <v>316</v>
      </c>
      <c r="BF16" s="361">
        <f t="shared" si="29"/>
        <v>8.5402628387399844</v>
      </c>
      <c r="BG16" s="648">
        <v>1978</v>
      </c>
      <c r="BH16" s="256">
        <f t="shared" si="30"/>
        <v>7.3638360483991683</v>
      </c>
      <c r="BI16" s="244"/>
      <c r="BJ16" s="259"/>
      <c r="BK16" s="254">
        <f t="shared" si="31"/>
        <v>26860.999986956522</v>
      </c>
      <c r="BL16" s="259">
        <f t="shared" si="32"/>
        <v>-1978</v>
      </c>
      <c r="BM16" s="259">
        <f t="shared" si="35"/>
        <v>0</v>
      </c>
      <c r="BN16" s="259">
        <f t="shared" si="33"/>
        <v>0</v>
      </c>
      <c r="BO16" s="259"/>
      <c r="BP16" s="259">
        <f t="shared" si="34"/>
        <v>0</v>
      </c>
      <c r="BR16" s="259"/>
    </row>
    <row r="17" spans="1:70" x14ac:dyDescent="0.25">
      <c r="A17" s="1270" t="s">
        <v>172</v>
      </c>
      <c r="B17" s="1271"/>
      <c r="C17" s="216">
        <v>1880</v>
      </c>
      <c r="D17" s="1269"/>
      <c r="E17" s="216">
        <v>168266.508361204</v>
      </c>
      <c r="F17" s="217">
        <f t="shared" si="10"/>
        <v>89.503461894257455</v>
      </c>
      <c r="G17" s="218">
        <f t="shared" si="11"/>
        <v>11.369463945215433</v>
      </c>
      <c r="H17" s="219">
        <v>19131</v>
      </c>
      <c r="I17" s="220">
        <v>19131</v>
      </c>
      <c r="J17" s="216">
        <v>168266.508361204</v>
      </c>
      <c r="K17" s="221">
        <f t="shared" si="12"/>
        <v>0.11369463945215433</v>
      </c>
      <c r="L17" s="216">
        <v>0</v>
      </c>
      <c r="M17" s="216">
        <v>1880</v>
      </c>
      <c r="N17" s="1269"/>
      <c r="O17" s="222">
        <v>79.327398064470216</v>
      </c>
      <c r="P17" s="223">
        <f t="shared" si="13"/>
        <v>0</v>
      </c>
      <c r="Q17" s="219">
        <f t="shared" si="14"/>
        <v>149135.508361204</v>
      </c>
      <c r="R17" s="660">
        <f t="shared" si="0"/>
        <v>0</v>
      </c>
      <c r="S17" s="225">
        <f t="shared" si="1"/>
        <v>0</v>
      </c>
      <c r="T17" s="225">
        <f t="shared" si="2"/>
        <v>3803</v>
      </c>
      <c r="U17" s="225">
        <v>0</v>
      </c>
      <c r="V17" s="222">
        <f t="shared" si="15"/>
        <v>79.327398064470216</v>
      </c>
      <c r="W17" s="226">
        <f t="shared" si="16"/>
        <v>149135.508361204</v>
      </c>
      <c r="X17" s="227">
        <f t="shared" si="3"/>
        <v>2.5500298633033722</v>
      </c>
      <c r="Y17" s="228">
        <v>3803</v>
      </c>
      <c r="Z17" s="224">
        <f t="shared" si="17"/>
        <v>2.5500298633033722</v>
      </c>
      <c r="AA17" s="225">
        <f t="shared" si="18"/>
        <v>449</v>
      </c>
      <c r="AB17" s="225">
        <v>4252</v>
      </c>
      <c r="AC17" s="225">
        <f t="shared" si="19"/>
        <v>3606</v>
      </c>
      <c r="AD17" s="222">
        <f t="shared" si="4"/>
        <v>77.065695936810641</v>
      </c>
      <c r="AE17" s="226">
        <f t="shared" si="20"/>
        <v>144883.508361204</v>
      </c>
      <c r="AF17" s="227">
        <f t="shared" si="21"/>
        <v>2.4888961074921014</v>
      </c>
      <c r="AG17" s="228">
        <v>3157</v>
      </c>
      <c r="AH17" s="660">
        <f t="shared" si="22"/>
        <v>2.178991960996274</v>
      </c>
      <c r="AI17" s="222">
        <f t="shared" si="23"/>
        <v>-0.37103790230709821</v>
      </c>
      <c r="AJ17" s="229">
        <f t="shared" si="5"/>
        <v>2.178991960996274</v>
      </c>
      <c r="AK17" s="230"/>
      <c r="AL17" s="226"/>
      <c r="AM17" s="231">
        <f t="shared" si="6"/>
        <v>0</v>
      </c>
      <c r="AN17" s="232">
        <v>3157</v>
      </c>
      <c r="AO17" s="225">
        <v>2499</v>
      </c>
      <c r="AP17" s="231">
        <f t="shared" si="24"/>
        <v>5656</v>
      </c>
      <c r="AQ17" s="358">
        <f t="shared" si="7"/>
        <v>139227.508361204</v>
      </c>
      <c r="AR17" s="227">
        <f t="shared" si="25"/>
        <v>3.7499773295194885</v>
      </c>
      <c r="AS17" s="248">
        <v>2722</v>
      </c>
      <c r="AT17" s="195"/>
      <c r="AU17" s="249">
        <f t="shared" si="26"/>
        <v>1.9550734133215948</v>
      </c>
      <c r="AV17" s="195"/>
      <c r="AW17" s="235">
        <f t="shared" si="8"/>
        <v>-0.22391854767467922</v>
      </c>
      <c r="AX17" s="236"/>
      <c r="AY17" s="235">
        <f t="shared" si="9"/>
        <v>1.9550734133215948</v>
      </c>
      <c r="AZ17" s="237"/>
      <c r="BA17" s="250">
        <f t="shared" si="27"/>
        <v>139227.508361204</v>
      </c>
      <c r="BB17" s="365"/>
      <c r="BC17" s="360">
        <v>0</v>
      </c>
      <c r="BD17" s="253">
        <f t="shared" si="28"/>
        <v>139227.508361204</v>
      </c>
      <c r="BE17" s="254">
        <v>0</v>
      </c>
      <c r="BF17" s="361">
        <f t="shared" si="29"/>
        <v>2.6884055055336993</v>
      </c>
      <c r="BG17" s="648">
        <v>3743</v>
      </c>
      <c r="BH17" s="256">
        <f t="shared" si="30"/>
        <v>2.6884055055336993</v>
      </c>
      <c r="BI17" s="244"/>
      <c r="BJ17" s="259"/>
      <c r="BK17" s="254">
        <f t="shared" si="31"/>
        <v>139227.508361204</v>
      </c>
      <c r="BL17" s="259">
        <f t="shared" si="32"/>
        <v>-3743</v>
      </c>
      <c r="BM17" s="259">
        <f t="shared" si="35"/>
        <v>0</v>
      </c>
      <c r="BN17" s="259">
        <f t="shared" si="33"/>
        <v>0</v>
      </c>
      <c r="BO17" s="259"/>
      <c r="BP17" s="259">
        <f t="shared" si="34"/>
        <v>0</v>
      </c>
      <c r="BR17" s="259"/>
    </row>
    <row r="18" spans="1:70" x14ac:dyDescent="0.25">
      <c r="A18" s="1270" t="s">
        <v>173</v>
      </c>
      <c r="B18" s="1271"/>
      <c r="C18" s="216">
        <v>660</v>
      </c>
      <c r="D18" s="1269"/>
      <c r="E18" s="216">
        <v>89425.99998712122</v>
      </c>
      <c r="F18" s="217">
        <f t="shared" si="10"/>
        <v>135.49393937442611</v>
      </c>
      <c r="G18" s="218">
        <f t="shared" si="11"/>
        <v>1.6986111424180443</v>
      </c>
      <c r="H18" s="219">
        <v>410</v>
      </c>
      <c r="I18" s="220">
        <v>1519</v>
      </c>
      <c r="J18" s="216">
        <v>89425.99998712122</v>
      </c>
      <c r="K18" s="221">
        <f t="shared" si="12"/>
        <v>1.6986111424180442E-2</v>
      </c>
      <c r="L18" s="216">
        <v>1109</v>
      </c>
      <c r="M18" s="216">
        <v>660</v>
      </c>
      <c r="N18" s="1269"/>
      <c r="O18" s="222">
        <v>134.87272725321398</v>
      </c>
      <c r="P18" s="223">
        <f t="shared" si="13"/>
        <v>1.2458434440555062</v>
      </c>
      <c r="Q18" s="219">
        <f t="shared" si="14"/>
        <v>89015.99998712122</v>
      </c>
      <c r="R18" s="660">
        <f t="shared" si="0"/>
        <v>1.2458434440555062</v>
      </c>
      <c r="S18" s="225">
        <f t="shared" si="1"/>
        <v>1552</v>
      </c>
      <c r="T18" s="225">
        <f t="shared" si="2"/>
        <v>2397</v>
      </c>
      <c r="U18" s="225">
        <v>2661</v>
      </c>
      <c r="V18" s="222">
        <f t="shared" si="15"/>
        <v>130.8409090713958</v>
      </c>
      <c r="W18" s="226">
        <f t="shared" si="16"/>
        <v>86354.99998712122</v>
      </c>
      <c r="X18" s="227">
        <f t="shared" si="3"/>
        <v>2.7757512597504292</v>
      </c>
      <c r="Y18" s="228">
        <v>845</v>
      </c>
      <c r="Z18" s="224">
        <f t="shared" si="17"/>
        <v>0.97851890466796509</v>
      </c>
      <c r="AA18" s="225">
        <f t="shared" si="18"/>
        <v>100</v>
      </c>
      <c r="AB18" s="225">
        <v>945</v>
      </c>
      <c r="AC18" s="225">
        <f t="shared" si="19"/>
        <v>773</v>
      </c>
      <c r="AD18" s="222">
        <f t="shared" si="4"/>
        <v>129.40909088957761</v>
      </c>
      <c r="AE18" s="226">
        <f t="shared" si="20"/>
        <v>85409.99998712122</v>
      </c>
      <c r="AF18" s="227">
        <f t="shared" si="21"/>
        <v>0.90504624764847086</v>
      </c>
      <c r="AG18" s="228">
        <v>673</v>
      </c>
      <c r="AH18" s="660">
        <f t="shared" si="22"/>
        <v>0.78796393876768545</v>
      </c>
      <c r="AI18" s="222">
        <f t="shared" si="23"/>
        <v>-0.19055496590027965</v>
      </c>
      <c r="AJ18" s="229">
        <f t="shared" si="5"/>
        <v>-0.45787950528782073</v>
      </c>
      <c r="AK18" s="230"/>
      <c r="AL18" s="226"/>
      <c r="AM18" s="231">
        <f t="shared" si="6"/>
        <v>0</v>
      </c>
      <c r="AN18" s="232">
        <v>673</v>
      </c>
      <c r="AO18" s="225">
        <v>533</v>
      </c>
      <c r="AP18" s="231">
        <f t="shared" si="24"/>
        <v>1206</v>
      </c>
      <c r="AQ18" s="358">
        <f t="shared" si="7"/>
        <v>84203.99998712122</v>
      </c>
      <c r="AR18" s="227">
        <f t="shared" si="25"/>
        <v>1.1947175907960013</v>
      </c>
      <c r="AS18" s="248">
        <v>473</v>
      </c>
      <c r="AT18" s="195"/>
      <c r="AU18" s="249">
        <f t="shared" si="26"/>
        <v>0.5617310342410623</v>
      </c>
      <c r="AV18" s="195"/>
      <c r="AW18" s="235">
        <f t="shared" si="8"/>
        <v>-0.22623290452662315</v>
      </c>
      <c r="AX18" s="236"/>
      <c r="AY18" s="235">
        <f t="shared" si="9"/>
        <v>-0.68411240981444388</v>
      </c>
      <c r="AZ18" s="237"/>
      <c r="BA18" s="250">
        <f t="shared" si="27"/>
        <v>84203.99998712122</v>
      </c>
      <c r="BB18" s="359">
        <v>6000</v>
      </c>
      <c r="BC18" s="360">
        <v>0</v>
      </c>
      <c r="BD18" s="253">
        <f t="shared" si="28"/>
        <v>90203.99998712122</v>
      </c>
      <c r="BE18" s="254">
        <v>1408</v>
      </c>
      <c r="BF18" s="361">
        <f t="shared" si="29"/>
        <v>2.517626713143807</v>
      </c>
      <c r="BG18" s="648">
        <v>863</v>
      </c>
      <c r="BH18" s="256">
        <f t="shared" si="30"/>
        <v>0.95672032296041631</v>
      </c>
      <c r="BI18" s="244"/>
      <c r="BJ18" s="362">
        <v>3563</v>
      </c>
      <c r="BK18" s="363">
        <f t="shared" si="31"/>
        <v>86640.99998712122</v>
      </c>
      <c r="BL18" s="364">
        <f t="shared" si="32"/>
        <v>2700</v>
      </c>
      <c r="BM18" s="364">
        <f t="shared" si="35"/>
        <v>2700</v>
      </c>
      <c r="BN18" s="364">
        <f t="shared" si="33"/>
        <v>3.116307522306232</v>
      </c>
      <c r="BO18" s="364"/>
      <c r="BP18" s="364">
        <f t="shared" si="34"/>
        <v>0</v>
      </c>
      <c r="BR18" s="364"/>
    </row>
    <row r="19" spans="1:70" ht="13.5" thickBot="1" x14ac:dyDescent="0.3">
      <c r="A19" s="1281" t="s">
        <v>174</v>
      </c>
      <c r="B19" s="1282"/>
      <c r="C19" s="320">
        <v>1720</v>
      </c>
      <c r="D19" s="1276"/>
      <c r="E19" s="320">
        <v>221349.99998749999</v>
      </c>
      <c r="F19" s="321">
        <f t="shared" si="10"/>
        <v>128.69186045784883</v>
      </c>
      <c r="G19" s="218">
        <f t="shared" si="11"/>
        <v>0.67269030950263675</v>
      </c>
      <c r="H19" s="263">
        <v>0</v>
      </c>
      <c r="I19" s="323">
        <v>1489</v>
      </c>
      <c r="J19" s="320">
        <v>221349.99998749999</v>
      </c>
      <c r="K19" s="324">
        <f t="shared" si="12"/>
        <v>6.7269030950263672E-3</v>
      </c>
      <c r="L19" s="320">
        <v>1489</v>
      </c>
      <c r="M19" s="320">
        <v>1720</v>
      </c>
      <c r="N19" s="1276"/>
      <c r="O19" s="266">
        <v>128.69186045784883</v>
      </c>
      <c r="P19" s="267">
        <f t="shared" si="13"/>
        <v>0.67269030950263675</v>
      </c>
      <c r="Q19" s="263">
        <f t="shared" si="14"/>
        <v>221349.99998749999</v>
      </c>
      <c r="R19" s="661">
        <f t="shared" si="0"/>
        <v>0.67269030950263675</v>
      </c>
      <c r="S19" s="269">
        <f t="shared" si="1"/>
        <v>1229</v>
      </c>
      <c r="T19" s="269">
        <f t="shared" si="2"/>
        <v>4477</v>
      </c>
      <c r="U19" s="269">
        <v>2718</v>
      </c>
      <c r="V19" s="266">
        <f t="shared" si="15"/>
        <v>127.1116278997093</v>
      </c>
      <c r="W19" s="270">
        <f t="shared" si="16"/>
        <v>218631.99998749999</v>
      </c>
      <c r="X19" s="271">
        <f t="shared" si="3"/>
        <v>2.047733177328098</v>
      </c>
      <c r="Y19" s="272">
        <v>3248</v>
      </c>
      <c r="Z19" s="268">
        <f t="shared" si="17"/>
        <v>1.4856013759128124</v>
      </c>
      <c r="AA19" s="269">
        <f t="shared" si="18"/>
        <v>384</v>
      </c>
      <c r="AB19" s="269">
        <v>3632</v>
      </c>
      <c r="AC19" s="269">
        <f t="shared" si="19"/>
        <v>3360</v>
      </c>
      <c r="AD19" s="266">
        <f t="shared" si="4"/>
        <v>124.99999999273255</v>
      </c>
      <c r="AE19" s="270">
        <f t="shared" si="20"/>
        <v>214999.99998749999</v>
      </c>
      <c r="AF19" s="271">
        <f t="shared" si="21"/>
        <v>1.5627906977652786</v>
      </c>
      <c r="AG19" s="272">
        <v>2976</v>
      </c>
      <c r="AH19" s="661">
        <f t="shared" si="22"/>
        <v>1.3841860465921039</v>
      </c>
      <c r="AI19" s="266">
        <f t="shared" si="23"/>
        <v>-0.10141532932070851</v>
      </c>
      <c r="AJ19" s="273">
        <f t="shared" si="5"/>
        <v>0.71149573708946712</v>
      </c>
      <c r="AK19" s="274"/>
      <c r="AL19" s="270"/>
      <c r="AM19" s="275">
        <f t="shared" si="6"/>
        <v>0</v>
      </c>
      <c r="AN19" s="276">
        <v>2976</v>
      </c>
      <c r="AO19" s="269">
        <v>2357</v>
      </c>
      <c r="AP19" s="333">
        <f t="shared" si="24"/>
        <v>5333</v>
      </c>
      <c r="AQ19" s="335">
        <f t="shared" si="7"/>
        <v>209666.99998749999</v>
      </c>
      <c r="AR19" s="271">
        <f t="shared" si="25"/>
        <v>1.517167699346891</v>
      </c>
      <c r="AS19" s="277">
        <v>824</v>
      </c>
      <c r="AT19" s="195"/>
      <c r="AU19" s="278">
        <f t="shared" si="26"/>
        <v>0.39300414469092676</v>
      </c>
      <c r="AV19" s="195"/>
      <c r="AW19" s="279">
        <f t="shared" si="8"/>
        <v>-0.99118190190117716</v>
      </c>
      <c r="AX19" s="236"/>
      <c r="AY19" s="279">
        <f t="shared" si="9"/>
        <v>-0.27968616481170999</v>
      </c>
      <c r="AZ19" s="237"/>
      <c r="BA19" s="339">
        <f t="shared" si="27"/>
        <v>209666.99998749999</v>
      </c>
      <c r="BB19" s="340"/>
      <c r="BC19" s="341">
        <v>0</v>
      </c>
      <c r="BD19" s="342">
        <f t="shared" si="28"/>
        <v>209666.99998749999</v>
      </c>
      <c r="BE19" s="366">
        <v>2407</v>
      </c>
      <c r="BF19" s="344">
        <f t="shared" si="29"/>
        <v>1.3430821255456917</v>
      </c>
      <c r="BG19" s="649">
        <v>409</v>
      </c>
      <c r="BH19" s="345">
        <f t="shared" si="30"/>
        <v>0.19507123201285081</v>
      </c>
      <c r="BI19" s="346">
        <v>5000</v>
      </c>
      <c r="BJ19" s="367">
        <v>4650</v>
      </c>
      <c r="BK19" s="368">
        <f t="shared" si="31"/>
        <v>210016.99998749999</v>
      </c>
      <c r="BL19" s="347">
        <f t="shared" si="32"/>
        <v>4241</v>
      </c>
      <c r="BM19" s="347">
        <f t="shared" si="35"/>
        <v>4241</v>
      </c>
      <c r="BN19" s="348">
        <f t="shared" si="33"/>
        <v>2.0193603376166789</v>
      </c>
      <c r="BO19" s="347"/>
      <c r="BP19" s="347">
        <f t="shared" si="34"/>
        <v>0</v>
      </c>
      <c r="BR19" s="347"/>
    </row>
    <row r="20" spans="1:70" x14ac:dyDescent="0.25">
      <c r="A20" s="1277" t="s">
        <v>175</v>
      </c>
      <c r="B20" s="1278"/>
      <c r="C20" s="292">
        <v>1900</v>
      </c>
      <c r="D20" s="1268">
        <f>SUM(C20:C25)</f>
        <v>6850</v>
      </c>
      <c r="E20" s="292">
        <v>94536.99999505264</v>
      </c>
      <c r="F20" s="293">
        <f t="shared" si="10"/>
        <v>49.756315786869813</v>
      </c>
      <c r="G20" s="218">
        <f t="shared" si="11"/>
        <v>0.83353607586578593</v>
      </c>
      <c r="H20" s="294">
        <v>0</v>
      </c>
      <c r="I20" s="295">
        <v>788</v>
      </c>
      <c r="J20" s="292">
        <v>94536.99999505264</v>
      </c>
      <c r="K20" s="296">
        <f t="shared" si="12"/>
        <v>8.3353607586578587E-3</v>
      </c>
      <c r="L20" s="292">
        <v>788</v>
      </c>
      <c r="M20" s="292">
        <v>1900</v>
      </c>
      <c r="N20" s="1268">
        <f>SUM(M20:M25)</f>
        <v>6850</v>
      </c>
      <c r="O20" s="297">
        <v>49.756315786869813</v>
      </c>
      <c r="P20" s="298">
        <f t="shared" si="13"/>
        <v>0.83353607586578593</v>
      </c>
      <c r="Q20" s="294">
        <f t="shared" si="14"/>
        <v>94536.99999505264</v>
      </c>
      <c r="R20" s="662">
        <f t="shared" si="0"/>
        <v>0.83353607586578593</v>
      </c>
      <c r="S20" s="349">
        <f t="shared" si="1"/>
        <v>-681</v>
      </c>
      <c r="T20" s="349">
        <f t="shared" si="2"/>
        <v>-296</v>
      </c>
      <c r="U20" s="349">
        <v>107</v>
      </c>
      <c r="V20" s="297">
        <f t="shared" si="15"/>
        <v>49.699999997396127</v>
      </c>
      <c r="W20" s="300">
        <f t="shared" si="16"/>
        <v>94429.99999505264</v>
      </c>
      <c r="X20" s="301">
        <f t="shared" si="3"/>
        <v>-0.31345970561845599</v>
      </c>
      <c r="Y20" s="351">
        <v>385</v>
      </c>
      <c r="Z20" s="299">
        <f t="shared" si="17"/>
        <v>0.40770941440238362</v>
      </c>
      <c r="AA20" s="349">
        <f t="shared" si="18"/>
        <v>45</v>
      </c>
      <c r="AB20" s="349">
        <v>430</v>
      </c>
      <c r="AC20" s="349">
        <f t="shared" si="19"/>
        <v>174</v>
      </c>
      <c r="AD20" s="297">
        <f t="shared" si="4"/>
        <v>49.473684207922439</v>
      </c>
      <c r="AE20" s="300">
        <f t="shared" si="20"/>
        <v>93999.99999505264</v>
      </c>
      <c r="AF20" s="301">
        <f t="shared" si="21"/>
        <v>0.18510638298846582</v>
      </c>
      <c r="AG20" s="351">
        <v>129</v>
      </c>
      <c r="AH20" s="662">
        <f t="shared" si="22"/>
        <v>0.13723404256041433</v>
      </c>
      <c r="AI20" s="297">
        <f t="shared" si="23"/>
        <v>-0.27047537184196929</v>
      </c>
      <c r="AJ20" s="303">
        <f t="shared" si="5"/>
        <v>-0.69630203330537155</v>
      </c>
      <c r="AK20" s="304"/>
      <c r="AL20" s="300"/>
      <c r="AM20" s="305">
        <f t="shared" si="6"/>
        <v>0</v>
      </c>
      <c r="AN20" s="352">
        <v>129</v>
      </c>
      <c r="AO20" s="349">
        <v>102</v>
      </c>
      <c r="AP20" s="369">
        <f t="shared" si="24"/>
        <v>231</v>
      </c>
      <c r="AQ20" s="370">
        <f t="shared" si="7"/>
        <v>93768.99999505264</v>
      </c>
      <c r="AR20" s="301">
        <f t="shared" si="25"/>
        <v>0.79877144902848285</v>
      </c>
      <c r="AS20" s="308">
        <v>647</v>
      </c>
      <c r="AT20" s="195"/>
      <c r="AU20" s="309">
        <f t="shared" si="26"/>
        <v>0.68999349468815541</v>
      </c>
      <c r="AV20" s="195"/>
      <c r="AW20" s="310">
        <f t="shared" si="8"/>
        <v>0.55275945212774102</v>
      </c>
      <c r="AX20" s="236"/>
      <c r="AY20" s="310">
        <f t="shared" si="9"/>
        <v>-0.14354258117763052</v>
      </c>
      <c r="AZ20" s="237"/>
      <c r="BA20" s="238">
        <f t="shared" si="27"/>
        <v>93768.99999505264</v>
      </c>
      <c r="BB20" s="371">
        <v>10000</v>
      </c>
      <c r="BC20" s="360">
        <v>0</v>
      </c>
      <c r="BD20" s="239">
        <f t="shared" si="28"/>
        <v>103768.99999505264</v>
      </c>
      <c r="BE20" s="241">
        <v>843</v>
      </c>
      <c r="BF20" s="242">
        <f t="shared" si="29"/>
        <v>1.3664967380119357</v>
      </c>
      <c r="BG20" s="645">
        <v>575</v>
      </c>
      <c r="BH20" s="243">
        <f t="shared" si="30"/>
        <v>0.55411539094278062</v>
      </c>
      <c r="BI20" s="317">
        <v>10000</v>
      </c>
      <c r="BJ20" s="357">
        <v>535</v>
      </c>
      <c r="BK20" s="372">
        <f t="shared" si="31"/>
        <v>113233.99999505264</v>
      </c>
      <c r="BL20" s="373">
        <f t="shared" si="32"/>
        <v>-40</v>
      </c>
      <c r="BM20" s="373">
        <f t="shared" si="35"/>
        <v>0</v>
      </c>
      <c r="BN20" s="373">
        <f t="shared" si="33"/>
        <v>0</v>
      </c>
      <c r="BO20" s="373"/>
      <c r="BP20" s="373">
        <f t="shared" si="34"/>
        <v>0</v>
      </c>
      <c r="BR20" s="373"/>
    </row>
    <row r="21" spans="1:70" x14ac:dyDescent="0.25">
      <c r="A21" s="1279" t="s">
        <v>176</v>
      </c>
      <c r="B21" s="1280"/>
      <c r="C21" s="216">
        <v>900</v>
      </c>
      <c r="D21" s="1269"/>
      <c r="E21" s="216">
        <v>34219.999996333339</v>
      </c>
      <c r="F21" s="217">
        <f t="shared" si="10"/>
        <v>38.022222218148158</v>
      </c>
      <c r="G21" s="218">
        <f t="shared" si="11"/>
        <v>3.1618936297952538</v>
      </c>
      <c r="H21" s="219">
        <v>321</v>
      </c>
      <c r="I21" s="220">
        <v>1082</v>
      </c>
      <c r="J21" s="216">
        <v>34219.999996333339</v>
      </c>
      <c r="K21" s="221">
        <f t="shared" si="12"/>
        <v>3.1618936297952538E-2</v>
      </c>
      <c r="L21" s="216">
        <v>761</v>
      </c>
      <c r="M21" s="216">
        <v>900</v>
      </c>
      <c r="N21" s="1269"/>
      <c r="O21" s="222">
        <v>37.665555551481489</v>
      </c>
      <c r="P21" s="223">
        <f t="shared" si="13"/>
        <v>2.2449039797112396</v>
      </c>
      <c r="Q21" s="219">
        <f t="shared" si="14"/>
        <v>33898.999996333339</v>
      </c>
      <c r="R21" s="660">
        <f t="shared" si="0"/>
        <v>2.2449039797112396</v>
      </c>
      <c r="S21" s="225">
        <f t="shared" si="1"/>
        <v>-560</v>
      </c>
      <c r="T21" s="225">
        <f t="shared" si="2"/>
        <v>-223</v>
      </c>
      <c r="U21" s="225">
        <v>201</v>
      </c>
      <c r="V21" s="222">
        <f t="shared" si="15"/>
        <v>37.442222218148153</v>
      </c>
      <c r="W21" s="226">
        <f t="shared" si="16"/>
        <v>33697.999996333339</v>
      </c>
      <c r="X21" s="227">
        <f t="shared" si="3"/>
        <v>-0.66176034193205679</v>
      </c>
      <c r="Y21" s="228">
        <v>337</v>
      </c>
      <c r="Z21" s="224">
        <f t="shared" si="17"/>
        <v>1.0000593508121218</v>
      </c>
      <c r="AA21" s="225">
        <f t="shared" si="18"/>
        <v>40</v>
      </c>
      <c r="AB21" s="225">
        <v>377</v>
      </c>
      <c r="AC21" s="225">
        <f t="shared" si="19"/>
        <v>335</v>
      </c>
      <c r="AD21" s="222">
        <f t="shared" si="4"/>
        <v>37.023333329259266</v>
      </c>
      <c r="AE21" s="226">
        <f t="shared" si="20"/>
        <v>33320.999996333339</v>
      </c>
      <c r="AF21" s="227">
        <f t="shared" si="21"/>
        <v>1.005371987746057</v>
      </c>
      <c r="AG21" s="228">
        <v>295</v>
      </c>
      <c r="AH21" s="660">
        <f t="shared" si="22"/>
        <v>0.88532757129876649</v>
      </c>
      <c r="AI21" s="222">
        <f t="shared" si="23"/>
        <v>-0.11473177951335534</v>
      </c>
      <c r="AJ21" s="229">
        <f t="shared" si="5"/>
        <v>-1.3595764084124731</v>
      </c>
      <c r="AK21" s="230"/>
      <c r="AL21" s="226"/>
      <c r="AM21" s="231">
        <f t="shared" si="6"/>
        <v>0</v>
      </c>
      <c r="AN21" s="232">
        <v>295</v>
      </c>
      <c r="AO21" s="225">
        <v>233</v>
      </c>
      <c r="AP21" s="231">
        <f t="shared" si="24"/>
        <v>528</v>
      </c>
      <c r="AQ21" s="230">
        <f t="shared" si="7"/>
        <v>32792.999996333339</v>
      </c>
      <c r="AR21" s="227">
        <f t="shared" si="25"/>
        <v>1.9577348826633227</v>
      </c>
      <c r="AS21" s="248">
        <v>409</v>
      </c>
      <c r="AT21" s="195"/>
      <c r="AU21" s="249">
        <f t="shared" si="26"/>
        <v>1.2472173940954814</v>
      </c>
      <c r="AV21" s="195"/>
      <c r="AW21" s="235">
        <f t="shared" si="8"/>
        <v>0.36188982279671489</v>
      </c>
      <c r="AX21" s="236"/>
      <c r="AY21" s="235">
        <f t="shared" si="9"/>
        <v>-0.99768658561575818</v>
      </c>
      <c r="AZ21" s="237"/>
      <c r="BA21" s="250">
        <f t="shared" si="27"/>
        <v>32792.999996333339</v>
      </c>
      <c r="BB21" s="374">
        <v>5000</v>
      </c>
      <c r="BC21" s="375">
        <v>0</v>
      </c>
      <c r="BD21" s="253">
        <f t="shared" si="28"/>
        <v>37792.999996333339</v>
      </c>
      <c r="BE21" s="241">
        <v>600</v>
      </c>
      <c r="BF21" s="255">
        <f t="shared" si="29"/>
        <v>2.5004630489553183</v>
      </c>
      <c r="BG21" s="645">
        <v>345</v>
      </c>
      <c r="BH21" s="256">
        <f t="shared" si="30"/>
        <v>0.91286746231702098</v>
      </c>
      <c r="BI21" s="244"/>
      <c r="BJ21" s="364">
        <v>391</v>
      </c>
      <c r="BK21" s="376">
        <f t="shared" si="31"/>
        <v>37401.999996333339</v>
      </c>
      <c r="BL21" s="364">
        <f t="shared" si="32"/>
        <v>46</v>
      </c>
      <c r="BM21" s="364">
        <f t="shared" si="35"/>
        <v>46</v>
      </c>
      <c r="BN21" s="364">
        <f t="shared" si="33"/>
        <v>0.12298807551604074</v>
      </c>
      <c r="BO21" s="364"/>
      <c r="BP21" s="364">
        <f t="shared" si="34"/>
        <v>0</v>
      </c>
      <c r="BR21" s="364"/>
    </row>
    <row r="22" spans="1:70" x14ac:dyDescent="0.25">
      <c r="A22" s="1270" t="s">
        <v>177</v>
      </c>
      <c r="B22" s="1271"/>
      <c r="C22" s="216">
        <v>520</v>
      </c>
      <c r="D22" s="1269"/>
      <c r="E22" s="216">
        <v>47410.534246575342</v>
      </c>
      <c r="F22" s="217">
        <f t="shared" si="10"/>
        <v>91.174104320337193</v>
      </c>
      <c r="G22" s="218">
        <f t="shared" si="11"/>
        <v>29.295177159922552</v>
      </c>
      <c r="H22" s="219">
        <v>8869</v>
      </c>
      <c r="I22" s="220">
        <v>13889</v>
      </c>
      <c r="J22" s="216">
        <v>47410.534246575342</v>
      </c>
      <c r="K22" s="221">
        <f t="shared" si="12"/>
        <v>0.29295177159922553</v>
      </c>
      <c r="L22" s="216">
        <v>5020</v>
      </c>
      <c r="M22" s="216">
        <v>520</v>
      </c>
      <c r="N22" s="1269"/>
      <c r="O22" s="222">
        <v>74.118335089567964</v>
      </c>
      <c r="P22" s="223">
        <f t="shared" si="13"/>
        <v>13.024909615387351</v>
      </c>
      <c r="Q22" s="219">
        <f t="shared" si="14"/>
        <v>38541.534246575342</v>
      </c>
      <c r="R22" s="660">
        <f t="shared" si="0"/>
        <v>13.024909615387351</v>
      </c>
      <c r="S22" s="225">
        <f t="shared" si="1"/>
        <v>-435</v>
      </c>
      <c r="T22" s="225">
        <f t="shared" si="2"/>
        <v>3527</v>
      </c>
      <c r="U22" s="225">
        <v>4585</v>
      </c>
      <c r="V22" s="222">
        <f t="shared" si="15"/>
        <v>65.30102739726027</v>
      </c>
      <c r="W22" s="226">
        <f t="shared" si="16"/>
        <v>33956.534246575342</v>
      </c>
      <c r="X22" s="227">
        <f t="shared" si="3"/>
        <v>10.386807953923368</v>
      </c>
      <c r="Y22" s="228">
        <v>3962</v>
      </c>
      <c r="Z22" s="224">
        <f t="shared" si="17"/>
        <v>11.667857418044907</v>
      </c>
      <c r="AA22" s="225">
        <f t="shared" si="18"/>
        <v>468</v>
      </c>
      <c r="AB22" s="225">
        <v>4430</v>
      </c>
      <c r="AC22" s="225">
        <f t="shared" si="19"/>
        <v>2566</v>
      </c>
      <c r="AD22" s="222">
        <f t="shared" si="4"/>
        <v>56.781796628029504</v>
      </c>
      <c r="AE22" s="226">
        <f t="shared" si="20"/>
        <v>29526.534246575342</v>
      </c>
      <c r="AF22" s="227">
        <f t="shared" si="21"/>
        <v>8.6904882861340873</v>
      </c>
      <c r="AG22" s="228">
        <v>2098</v>
      </c>
      <c r="AH22" s="660">
        <f t="shared" si="22"/>
        <v>7.1054732752569434</v>
      </c>
      <c r="AI22" s="222">
        <f t="shared" si="23"/>
        <v>-4.5623841427879634</v>
      </c>
      <c r="AJ22" s="229">
        <f t="shared" si="5"/>
        <v>-5.9194363401304075</v>
      </c>
      <c r="AK22" s="230"/>
      <c r="AL22" s="226"/>
      <c r="AM22" s="231">
        <f t="shared" si="6"/>
        <v>0</v>
      </c>
      <c r="AN22" s="232">
        <v>2098</v>
      </c>
      <c r="AO22" s="225">
        <v>1859</v>
      </c>
      <c r="AP22" s="231">
        <f t="shared" si="24"/>
        <v>3957</v>
      </c>
      <c r="AQ22" s="230">
        <f t="shared" si="7"/>
        <v>25569.534246575342</v>
      </c>
      <c r="AR22" s="227">
        <f t="shared" si="25"/>
        <v>10.422559810047916</v>
      </c>
      <c r="AS22" s="248">
        <v>806</v>
      </c>
      <c r="AT22" s="195"/>
      <c r="AU22" s="249">
        <f t="shared" si="26"/>
        <v>3.1521888205998576</v>
      </c>
      <c r="AV22" s="195"/>
      <c r="AW22" s="235">
        <f t="shared" si="8"/>
        <v>-3.9532844546570858</v>
      </c>
      <c r="AX22" s="236"/>
      <c r="AY22" s="235">
        <f t="shared" si="9"/>
        <v>-9.8727207947874938</v>
      </c>
      <c r="AZ22" s="237"/>
      <c r="BA22" s="250">
        <f t="shared" si="27"/>
        <v>25569.534246575342</v>
      </c>
      <c r="BB22" s="374">
        <v>0</v>
      </c>
      <c r="BC22" s="375">
        <v>0</v>
      </c>
      <c r="BD22" s="253">
        <f t="shared" si="28"/>
        <v>25569.534246575342</v>
      </c>
      <c r="BE22" s="241">
        <v>119</v>
      </c>
      <c r="BF22" s="255">
        <f t="shared" si="29"/>
        <v>4.9394720600714894</v>
      </c>
      <c r="BG22" s="645">
        <v>1144</v>
      </c>
      <c r="BH22" s="256">
        <f t="shared" si="30"/>
        <v>4.4740744550449598</v>
      </c>
      <c r="BI22" s="244"/>
      <c r="BJ22" s="364">
        <v>0</v>
      </c>
      <c r="BK22" s="376">
        <f t="shared" si="31"/>
        <v>25569.534246575342</v>
      </c>
      <c r="BL22" s="364">
        <f t="shared" si="32"/>
        <v>-1144</v>
      </c>
      <c r="BM22" s="364">
        <f t="shared" si="35"/>
        <v>0</v>
      </c>
      <c r="BN22" s="364">
        <f t="shared" si="33"/>
        <v>0</v>
      </c>
      <c r="BO22" s="364"/>
      <c r="BP22" s="364">
        <f t="shared" si="34"/>
        <v>0</v>
      </c>
      <c r="BR22" s="364"/>
    </row>
    <row r="23" spans="1:70" x14ac:dyDescent="0.25">
      <c r="A23" s="1270" t="s">
        <v>178</v>
      </c>
      <c r="B23" s="1271"/>
      <c r="C23" s="216">
        <v>860</v>
      </c>
      <c r="D23" s="1269"/>
      <c r="E23" s="216">
        <v>42770.99999523256</v>
      </c>
      <c r="F23" s="217">
        <f t="shared" si="10"/>
        <v>49.733720924689024</v>
      </c>
      <c r="G23" s="218">
        <f t="shared" si="11"/>
        <v>2.6069065491203918</v>
      </c>
      <c r="H23" s="219">
        <v>0</v>
      </c>
      <c r="I23" s="220">
        <v>1115</v>
      </c>
      <c r="J23" s="216">
        <v>42770.99999523256</v>
      </c>
      <c r="K23" s="221">
        <f t="shared" si="12"/>
        <v>2.6069065491203917E-2</v>
      </c>
      <c r="L23" s="216">
        <v>1115</v>
      </c>
      <c r="M23" s="216">
        <v>860</v>
      </c>
      <c r="N23" s="1269"/>
      <c r="O23" s="222">
        <v>49.733720924689024</v>
      </c>
      <c r="P23" s="223">
        <f t="shared" si="13"/>
        <v>2.6069065491203918</v>
      </c>
      <c r="Q23" s="219">
        <f t="shared" si="14"/>
        <v>42770.99999523256</v>
      </c>
      <c r="R23" s="660">
        <f t="shared" si="0"/>
        <v>2.6069065491203918</v>
      </c>
      <c r="S23" s="225">
        <f t="shared" si="1"/>
        <v>-1065</v>
      </c>
      <c r="T23" s="225">
        <f t="shared" si="2"/>
        <v>474</v>
      </c>
      <c r="U23" s="225">
        <v>50</v>
      </c>
      <c r="V23" s="222">
        <f t="shared" si="15"/>
        <v>49.675581389805302</v>
      </c>
      <c r="W23" s="226">
        <f t="shared" si="16"/>
        <v>42720.99999523256</v>
      </c>
      <c r="X23" s="227">
        <f t="shared" si="3"/>
        <v>1.1095245899040189</v>
      </c>
      <c r="Y23" s="228">
        <v>1539</v>
      </c>
      <c r="Z23" s="224">
        <f t="shared" si="17"/>
        <v>3.6024437634225421</v>
      </c>
      <c r="AA23" s="225">
        <f t="shared" si="18"/>
        <v>182</v>
      </c>
      <c r="AB23" s="225">
        <v>1721</v>
      </c>
      <c r="AC23" s="225">
        <f t="shared" si="19"/>
        <v>1037</v>
      </c>
      <c r="AD23" s="222">
        <f t="shared" si="4"/>
        <v>47.674418599107625</v>
      </c>
      <c r="AE23" s="226">
        <f t="shared" si="20"/>
        <v>40999.99999523256</v>
      </c>
      <c r="AF23" s="227">
        <f t="shared" si="21"/>
        <v>2.529268292977028</v>
      </c>
      <c r="AG23" s="228">
        <v>855</v>
      </c>
      <c r="AH23" s="660">
        <f t="shared" si="22"/>
        <v>2.0853658539010209</v>
      </c>
      <c r="AI23" s="222">
        <f t="shared" si="23"/>
        <v>-1.5170779095215212</v>
      </c>
      <c r="AJ23" s="229">
        <f t="shared" si="5"/>
        <v>-0.52154069521937085</v>
      </c>
      <c r="AK23" s="230"/>
      <c r="AL23" s="226"/>
      <c r="AM23" s="231">
        <f t="shared" si="6"/>
        <v>0</v>
      </c>
      <c r="AN23" s="232">
        <v>855</v>
      </c>
      <c r="AO23" s="225">
        <v>696</v>
      </c>
      <c r="AP23" s="231">
        <f t="shared" si="24"/>
        <v>1551</v>
      </c>
      <c r="AQ23" s="230">
        <f t="shared" si="7"/>
        <v>39448.99999523256</v>
      </c>
      <c r="AR23" s="227">
        <f t="shared" si="25"/>
        <v>3.1331592693081487</v>
      </c>
      <c r="AS23" s="248">
        <v>540</v>
      </c>
      <c r="AT23" s="195"/>
      <c r="AU23" s="249">
        <f t="shared" si="26"/>
        <v>1.3688559914453076</v>
      </c>
      <c r="AV23" s="195"/>
      <c r="AW23" s="235">
        <f t="shared" si="8"/>
        <v>-0.71650986245571335</v>
      </c>
      <c r="AX23" s="236"/>
      <c r="AY23" s="235">
        <f t="shared" si="9"/>
        <v>-1.2380505576750842</v>
      </c>
      <c r="AZ23" s="237"/>
      <c r="BA23" s="250">
        <f t="shared" si="27"/>
        <v>39448.99999523256</v>
      </c>
      <c r="BB23" s="374">
        <v>5000</v>
      </c>
      <c r="BC23" s="375">
        <v>0</v>
      </c>
      <c r="BD23" s="253">
        <f t="shared" si="28"/>
        <v>44448.99999523256</v>
      </c>
      <c r="BE23" s="241">
        <v>378</v>
      </c>
      <c r="BF23" s="255">
        <f t="shared" si="29"/>
        <v>2.0652883081699507</v>
      </c>
      <c r="BG23" s="645">
        <v>540</v>
      </c>
      <c r="BH23" s="256">
        <f t="shared" si="30"/>
        <v>1.2148754753940887</v>
      </c>
      <c r="BI23" s="244">
        <v>5000</v>
      </c>
      <c r="BJ23" s="364">
        <v>1493</v>
      </c>
      <c r="BK23" s="376">
        <f t="shared" si="31"/>
        <v>47955.99999523256</v>
      </c>
      <c r="BL23" s="364">
        <f t="shared" si="32"/>
        <v>953</v>
      </c>
      <c r="BM23" s="364">
        <f t="shared" si="35"/>
        <v>953</v>
      </c>
      <c r="BN23" s="364">
        <f t="shared" si="33"/>
        <v>1.9872383019741855</v>
      </c>
      <c r="BO23" s="364"/>
      <c r="BP23" s="364">
        <f t="shared" si="34"/>
        <v>0</v>
      </c>
      <c r="BR23" s="364"/>
    </row>
    <row r="24" spans="1:70" x14ac:dyDescent="0.25">
      <c r="A24" s="1270" t="s">
        <v>179</v>
      </c>
      <c r="B24" s="1271"/>
      <c r="C24" s="216">
        <v>1490</v>
      </c>
      <c r="D24" s="1269"/>
      <c r="E24" s="216">
        <v>84539.751978891829</v>
      </c>
      <c r="F24" s="217">
        <f t="shared" si="10"/>
        <v>56.73808857643747</v>
      </c>
      <c r="G24" s="218">
        <f t="shared" si="11"/>
        <v>5.9652410634693522</v>
      </c>
      <c r="H24" s="219">
        <v>4033</v>
      </c>
      <c r="I24" s="220">
        <v>5043</v>
      </c>
      <c r="J24" s="216">
        <v>84539.751978891829</v>
      </c>
      <c r="K24" s="221">
        <f t="shared" si="12"/>
        <v>5.9652410634693523E-2</v>
      </c>
      <c r="L24" s="216">
        <v>1010</v>
      </c>
      <c r="M24" s="216">
        <v>1490</v>
      </c>
      <c r="N24" s="1269"/>
      <c r="O24" s="222">
        <v>54.031377167041498</v>
      </c>
      <c r="P24" s="223">
        <f t="shared" si="13"/>
        <v>1.2545531588019017</v>
      </c>
      <c r="Q24" s="219">
        <f t="shared" si="14"/>
        <v>80506.751978891829</v>
      </c>
      <c r="R24" s="660">
        <f t="shared" si="0"/>
        <v>1.2545531588019017</v>
      </c>
      <c r="S24" s="225">
        <f t="shared" si="1"/>
        <v>4533</v>
      </c>
      <c r="T24" s="225">
        <f t="shared" si="2"/>
        <v>5736</v>
      </c>
      <c r="U24" s="225">
        <v>5543</v>
      </c>
      <c r="V24" s="222">
        <f t="shared" si="15"/>
        <v>50.311242938853574</v>
      </c>
      <c r="W24" s="226">
        <f t="shared" si="16"/>
        <v>74963.751978891829</v>
      </c>
      <c r="X24" s="227">
        <f t="shared" si="3"/>
        <v>7.6516981188656796</v>
      </c>
      <c r="Y24" s="228">
        <v>1203</v>
      </c>
      <c r="Z24" s="224">
        <f t="shared" si="17"/>
        <v>1.6047755991972477</v>
      </c>
      <c r="AA24" s="225">
        <f t="shared" si="18"/>
        <v>142</v>
      </c>
      <c r="AB24" s="225">
        <v>1345</v>
      </c>
      <c r="AC24" s="225">
        <f t="shared" si="19"/>
        <v>584</v>
      </c>
      <c r="AD24" s="222">
        <f t="shared" si="4"/>
        <v>49.40855837509519</v>
      </c>
      <c r="AE24" s="226">
        <f t="shared" si="20"/>
        <v>73618.751978891829</v>
      </c>
      <c r="AF24" s="227">
        <f t="shared" si="21"/>
        <v>0.79327614813063685</v>
      </c>
      <c r="AG24" s="228">
        <v>442</v>
      </c>
      <c r="AH24" s="660">
        <f t="shared" si="22"/>
        <v>0.60039050937284488</v>
      </c>
      <c r="AI24" s="222">
        <f t="shared" si="23"/>
        <v>-1.0043850898244027</v>
      </c>
      <c r="AJ24" s="229">
        <f t="shared" si="5"/>
        <v>-0.65416264942905678</v>
      </c>
      <c r="AK24" s="230"/>
      <c r="AL24" s="226"/>
      <c r="AM24" s="231">
        <f t="shared" si="6"/>
        <v>0</v>
      </c>
      <c r="AN24" s="232">
        <v>442</v>
      </c>
      <c r="AO24" s="225">
        <v>350</v>
      </c>
      <c r="AP24" s="231">
        <f t="shared" si="24"/>
        <v>792</v>
      </c>
      <c r="AQ24" s="230">
        <f t="shared" si="7"/>
        <v>72826.751978891829</v>
      </c>
      <c r="AR24" s="227">
        <f t="shared" si="25"/>
        <v>1.1932428350668058</v>
      </c>
      <c r="AS24" s="248">
        <v>519</v>
      </c>
      <c r="AT24" s="195"/>
      <c r="AU24" s="249">
        <f t="shared" si="26"/>
        <v>0.71265020874530749</v>
      </c>
      <c r="AV24" s="195"/>
      <c r="AW24" s="235">
        <f t="shared" si="8"/>
        <v>0.11225969937246261</v>
      </c>
      <c r="AX24" s="236"/>
      <c r="AY24" s="235">
        <f t="shared" si="9"/>
        <v>-0.54190295005659417</v>
      </c>
      <c r="AZ24" s="237"/>
      <c r="BA24" s="250">
        <f t="shared" si="27"/>
        <v>72826.751978891829</v>
      </c>
      <c r="BB24" s="374">
        <v>0</v>
      </c>
      <c r="BC24" s="375">
        <v>0</v>
      </c>
      <c r="BD24" s="253">
        <f t="shared" si="28"/>
        <v>72826.751978891829</v>
      </c>
      <c r="BE24" s="241">
        <v>202</v>
      </c>
      <c r="BF24" s="255">
        <f t="shared" si="29"/>
        <v>2.5979464257150711</v>
      </c>
      <c r="BG24" s="645">
        <v>1690</v>
      </c>
      <c r="BH24" s="256">
        <f t="shared" si="30"/>
        <v>2.3205758242380923</v>
      </c>
      <c r="BI24" s="244"/>
      <c r="BJ24" s="364">
        <v>508</v>
      </c>
      <c r="BK24" s="376">
        <f t="shared" si="31"/>
        <v>72318.751978891829</v>
      </c>
      <c r="BL24" s="364">
        <f t="shared" si="32"/>
        <v>-1182</v>
      </c>
      <c r="BM24" s="364">
        <f t="shared" si="35"/>
        <v>0</v>
      </c>
      <c r="BN24" s="364">
        <f t="shared" si="33"/>
        <v>0</v>
      </c>
      <c r="BO24" s="364"/>
      <c r="BP24" s="364">
        <f t="shared" si="34"/>
        <v>0</v>
      </c>
      <c r="BR24" s="364"/>
    </row>
    <row r="25" spans="1:70" ht="13.5" thickBot="1" x14ac:dyDescent="0.3">
      <c r="A25" s="1281" t="s">
        <v>180</v>
      </c>
      <c r="B25" s="1282"/>
      <c r="C25" s="320">
        <v>1180</v>
      </c>
      <c r="D25" s="1276"/>
      <c r="E25" s="320">
        <v>96516.999992372876</v>
      </c>
      <c r="F25" s="321">
        <f t="shared" si="10"/>
        <v>81.794067790146499</v>
      </c>
      <c r="G25" s="218">
        <f t="shared" si="11"/>
        <v>4.2997606642642721</v>
      </c>
      <c r="H25" s="322">
        <v>2589</v>
      </c>
      <c r="I25" s="323">
        <v>4150</v>
      </c>
      <c r="J25" s="320">
        <v>96516.999992372876</v>
      </c>
      <c r="K25" s="324">
        <f t="shared" si="12"/>
        <v>4.2997606642642724E-2</v>
      </c>
      <c r="L25" s="320">
        <v>1561</v>
      </c>
      <c r="M25" s="320">
        <v>1180</v>
      </c>
      <c r="N25" s="1276"/>
      <c r="O25" s="325">
        <v>79.599999993536329</v>
      </c>
      <c r="P25" s="326">
        <f t="shared" si="13"/>
        <v>1.6619112513060599</v>
      </c>
      <c r="Q25" s="322">
        <f t="shared" si="14"/>
        <v>93927.999992372876</v>
      </c>
      <c r="R25" s="663">
        <f t="shared" si="0"/>
        <v>1.6619112513060599</v>
      </c>
      <c r="S25" s="377">
        <f t="shared" si="1"/>
        <v>-809</v>
      </c>
      <c r="T25" s="377">
        <f t="shared" si="2"/>
        <v>-284</v>
      </c>
      <c r="U25" s="377">
        <v>752</v>
      </c>
      <c r="V25" s="325">
        <f t="shared" si="15"/>
        <v>78.96271185794312</v>
      </c>
      <c r="W25" s="328">
        <f t="shared" si="16"/>
        <v>93175.999992372876</v>
      </c>
      <c r="X25" s="329">
        <f t="shared" si="3"/>
        <v>-0.30479951921444087</v>
      </c>
      <c r="Y25" s="378">
        <v>525</v>
      </c>
      <c r="Z25" s="327">
        <f t="shared" si="17"/>
        <v>0.56344981544923056</v>
      </c>
      <c r="AA25" s="377">
        <f t="shared" si="18"/>
        <v>62</v>
      </c>
      <c r="AB25" s="377">
        <v>587</v>
      </c>
      <c r="AC25" s="377">
        <f t="shared" si="19"/>
        <v>716</v>
      </c>
      <c r="AD25" s="325">
        <f t="shared" si="4"/>
        <v>78.46525423082447</v>
      </c>
      <c r="AE25" s="328">
        <f t="shared" si="20"/>
        <v>92588.999992372876</v>
      </c>
      <c r="AF25" s="329">
        <f t="shared" si="21"/>
        <v>0.77331000449187415</v>
      </c>
      <c r="AG25" s="378">
        <v>654</v>
      </c>
      <c r="AH25" s="663">
        <f t="shared" si="22"/>
        <v>0.70634740633754978</v>
      </c>
      <c r="AI25" s="325">
        <f t="shared" si="23"/>
        <v>0.14289759088831921</v>
      </c>
      <c r="AJ25" s="331">
        <f t="shared" si="5"/>
        <v>-0.9555638449685101</v>
      </c>
      <c r="AK25" s="332"/>
      <c r="AL25" s="328"/>
      <c r="AM25" s="333">
        <f t="shared" si="6"/>
        <v>0</v>
      </c>
      <c r="AN25" s="379">
        <v>654</v>
      </c>
      <c r="AO25" s="377">
        <v>527</v>
      </c>
      <c r="AP25" s="275">
        <f t="shared" si="24"/>
        <v>1181</v>
      </c>
      <c r="AQ25" s="274">
        <f t="shared" si="7"/>
        <v>91407.999992372876</v>
      </c>
      <c r="AR25" s="329">
        <f t="shared" si="25"/>
        <v>1.0600822685988684</v>
      </c>
      <c r="AS25" s="336">
        <v>442</v>
      </c>
      <c r="AT25" s="195"/>
      <c r="AU25" s="337">
        <f t="shared" si="26"/>
        <v>0.48354629795737863</v>
      </c>
      <c r="AV25" s="195"/>
      <c r="AW25" s="338">
        <f t="shared" si="8"/>
        <v>-0.22280110838017114</v>
      </c>
      <c r="AX25" s="236"/>
      <c r="AY25" s="338">
        <f t="shared" si="9"/>
        <v>-1.1783649533486813</v>
      </c>
      <c r="AZ25" s="237"/>
      <c r="BA25" s="280">
        <f t="shared" si="27"/>
        <v>91407.999992372876</v>
      </c>
      <c r="BB25" s="380">
        <v>5000</v>
      </c>
      <c r="BC25" s="381">
        <v>0</v>
      </c>
      <c r="BD25" s="283">
        <f t="shared" si="28"/>
        <v>96407.999992372876</v>
      </c>
      <c r="BE25" s="382">
        <v>452</v>
      </c>
      <c r="BF25" s="285">
        <f t="shared" si="29"/>
        <v>1.0362210605748836</v>
      </c>
      <c r="BG25" s="650">
        <v>547</v>
      </c>
      <c r="BH25" s="286">
        <f t="shared" si="30"/>
        <v>0.56738030043489629</v>
      </c>
      <c r="BI25" s="287">
        <v>5000</v>
      </c>
      <c r="BJ25" s="383">
        <v>2273</v>
      </c>
      <c r="BK25" s="384">
        <f t="shared" si="31"/>
        <v>99134.999992372876</v>
      </c>
      <c r="BL25" s="385">
        <f t="shared" si="32"/>
        <v>1726</v>
      </c>
      <c r="BM25" s="385">
        <f t="shared" si="35"/>
        <v>1726</v>
      </c>
      <c r="BN25" s="385">
        <f t="shared" si="33"/>
        <v>1.7410601706085569</v>
      </c>
      <c r="BO25" s="385"/>
      <c r="BP25" s="385">
        <f t="shared" si="34"/>
        <v>0</v>
      </c>
      <c r="BR25" s="385"/>
    </row>
    <row r="26" spans="1:70" x14ac:dyDescent="0.25">
      <c r="A26" s="1266" t="s">
        <v>181</v>
      </c>
      <c r="B26" s="1267"/>
      <c r="C26" s="386">
        <v>620</v>
      </c>
      <c r="D26" s="1268">
        <f>SUM(C26:C34)</f>
        <v>17220</v>
      </c>
      <c r="E26" s="386">
        <v>72018.219512195123</v>
      </c>
      <c r="F26" s="387">
        <f t="shared" si="10"/>
        <v>116.15841856805665</v>
      </c>
      <c r="G26" s="218">
        <f t="shared" si="11"/>
        <v>12.0774993590714</v>
      </c>
      <c r="H26" s="294">
        <v>5730</v>
      </c>
      <c r="I26" s="388">
        <v>8698</v>
      </c>
      <c r="J26" s="386">
        <v>72018.219512195123</v>
      </c>
      <c r="K26" s="389">
        <f t="shared" si="12"/>
        <v>0.120774993590714</v>
      </c>
      <c r="L26" s="386">
        <v>2968</v>
      </c>
      <c r="M26" s="386">
        <v>620</v>
      </c>
      <c r="N26" s="1268">
        <f>SUM(M26:M34)</f>
        <v>17220</v>
      </c>
      <c r="O26" s="297">
        <v>106.91648308418569</v>
      </c>
      <c r="P26" s="298">
        <f t="shared" si="13"/>
        <v>4.4774169857646786</v>
      </c>
      <c r="Q26" s="294">
        <f t="shared" si="14"/>
        <v>66288.219512195123</v>
      </c>
      <c r="R26" s="662">
        <f t="shared" si="0"/>
        <v>4.4774169857646786</v>
      </c>
      <c r="S26" s="349">
        <f t="shared" si="1"/>
        <v>1165</v>
      </c>
      <c r="T26" s="349">
        <f t="shared" si="2"/>
        <v>1589</v>
      </c>
      <c r="U26" s="349">
        <v>4133</v>
      </c>
      <c r="V26" s="297">
        <f t="shared" si="15"/>
        <v>100.25035405192762</v>
      </c>
      <c r="W26" s="300">
        <f t="shared" si="16"/>
        <v>62155.219512195123</v>
      </c>
      <c r="X26" s="350">
        <f t="shared" si="3"/>
        <v>2.5565029171656795</v>
      </c>
      <c r="Y26" s="351">
        <v>424</v>
      </c>
      <c r="Z26" s="299">
        <f t="shared" si="17"/>
        <v>0.68216314466850103</v>
      </c>
      <c r="AA26" s="349">
        <f t="shared" si="18"/>
        <v>50</v>
      </c>
      <c r="AB26" s="349">
        <v>474</v>
      </c>
      <c r="AC26" s="349">
        <f t="shared" si="19"/>
        <v>351</v>
      </c>
      <c r="AD26" s="297">
        <f t="shared" si="4"/>
        <v>99.485837922895357</v>
      </c>
      <c r="AE26" s="300">
        <f t="shared" si="20"/>
        <v>61681.219512195123</v>
      </c>
      <c r="AF26" s="350">
        <f t="shared" si="21"/>
        <v>0.56905489673498277</v>
      </c>
      <c r="AG26" s="351">
        <v>301</v>
      </c>
      <c r="AH26" s="662">
        <f t="shared" si="22"/>
        <v>0.48799294563313339</v>
      </c>
      <c r="AI26" s="297">
        <f t="shared" si="23"/>
        <v>-0.19417019903536764</v>
      </c>
      <c r="AJ26" s="303">
        <f t="shared" si="5"/>
        <v>-3.9894240401315453</v>
      </c>
      <c r="AK26" s="304"/>
      <c r="AL26" s="300"/>
      <c r="AM26" s="305">
        <f t="shared" si="6"/>
        <v>0</v>
      </c>
      <c r="AN26" s="352">
        <v>301</v>
      </c>
      <c r="AO26" s="349">
        <v>238</v>
      </c>
      <c r="AP26" s="305">
        <f t="shared" si="24"/>
        <v>539</v>
      </c>
      <c r="AQ26" s="307">
        <f t="shared" si="7"/>
        <v>61142.219512195123</v>
      </c>
      <c r="AR26" s="350">
        <f t="shared" si="25"/>
        <v>0.7588864187494091</v>
      </c>
      <c r="AS26" s="353">
        <v>226</v>
      </c>
      <c r="AT26" s="195"/>
      <c r="AU26" s="309">
        <f t="shared" si="26"/>
        <v>0.36963002292535874</v>
      </c>
      <c r="AV26" s="195"/>
      <c r="AW26" s="310">
        <f t="shared" si="8"/>
        <v>-0.11836292270777465</v>
      </c>
      <c r="AX26" s="236"/>
      <c r="AY26" s="310">
        <f t="shared" si="9"/>
        <v>-4.1077869628393202</v>
      </c>
      <c r="AZ26" s="237"/>
      <c r="BA26" s="311">
        <f t="shared" si="27"/>
        <v>61142.219512195123</v>
      </c>
      <c r="BB26" s="390"/>
      <c r="BC26" s="313">
        <v>0</v>
      </c>
      <c r="BD26" s="314">
        <f t="shared" si="28"/>
        <v>61142.219512195123</v>
      </c>
      <c r="BE26" s="254">
        <v>0</v>
      </c>
      <c r="BF26" s="391">
        <f t="shared" si="29"/>
        <v>0.35000365002666711</v>
      </c>
      <c r="BG26" s="646">
        <v>214</v>
      </c>
      <c r="BH26" s="316">
        <f t="shared" si="30"/>
        <v>0.35000365002666711</v>
      </c>
      <c r="BI26" s="317"/>
      <c r="BJ26" s="392">
        <v>260</v>
      </c>
      <c r="BK26" s="393">
        <f t="shared" si="31"/>
        <v>60882.219512195123</v>
      </c>
      <c r="BL26" s="318">
        <f t="shared" si="32"/>
        <v>46</v>
      </c>
      <c r="BM26" s="318">
        <f t="shared" si="35"/>
        <v>46</v>
      </c>
      <c r="BN26" s="319">
        <f t="shared" si="33"/>
        <v>7.555572114250185E-2</v>
      </c>
      <c r="BO26" s="318"/>
      <c r="BP26" s="318">
        <f t="shared" si="34"/>
        <v>0</v>
      </c>
      <c r="BR26" s="318"/>
    </row>
    <row r="27" spans="1:70" x14ac:dyDescent="0.25">
      <c r="A27" s="1270" t="s">
        <v>182</v>
      </c>
      <c r="B27" s="1271"/>
      <c r="C27" s="216">
        <v>550</v>
      </c>
      <c r="D27" s="1269"/>
      <c r="E27" s="216">
        <v>53088.999990727287</v>
      </c>
      <c r="F27" s="217">
        <f t="shared" si="10"/>
        <v>96.525454528595063</v>
      </c>
      <c r="G27" s="218">
        <f t="shared" si="11"/>
        <v>0.80242611477783843</v>
      </c>
      <c r="H27" s="219">
        <v>16</v>
      </c>
      <c r="I27" s="220">
        <v>426</v>
      </c>
      <c r="J27" s="216">
        <v>53088.999990727287</v>
      </c>
      <c r="K27" s="221">
        <f t="shared" si="12"/>
        <v>8.0242611477783846E-3</v>
      </c>
      <c r="L27" s="216">
        <v>410</v>
      </c>
      <c r="M27" s="216">
        <v>550</v>
      </c>
      <c r="N27" s="1269"/>
      <c r="O27" s="222">
        <v>96.496363619504152</v>
      </c>
      <c r="P27" s="223">
        <f t="shared" si="13"/>
        <v>0.77252086761938021</v>
      </c>
      <c r="Q27" s="219">
        <f t="shared" si="14"/>
        <v>53072.999990727287</v>
      </c>
      <c r="R27" s="660">
        <f t="shared" si="0"/>
        <v>0.77252086761938021</v>
      </c>
      <c r="S27" s="225">
        <f t="shared" si="1"/>
        <v>133</v>
      </c>
      <c r="T27" s="225">
        <f t="shared" si="2"/>
        <v>1487</v>
      </c>
      <c r="U27" s="225">
        <v>543</v>
      </c>
      <c r="V27" s="222">
        <f t="shared" si="15"/>
        <v>95.509090892231427</v>
      </c>
      <c r="W27" s="226">
        <f t="shared" si="16"/>
        <v>52529.999990727287</v>
      </c>
      <c r="X27" s="227">
        <f t="shared" si="3"/>
        <v>2.8307633738101816</v>
      </c>
      <c r="Y27" s="228">
        <v>1354</v>
      </c>
      <c r="Z27" s="224">
        <f t="shared" si="17"/>
        <v>2.5775747196630712</v>
      </c>
      <c r="AA27" s="225">
        <f t="shared" si="18"/>
        <v>160</v>
      </c>
      <c r="AB27" s="225">
        <v>1514</v>
      </c>
      <c r="AC27" s="225">
        <f t="shared" si="19"/>
        <v>497</v>
      </c>
      <c r="AD27" s="222">
        <f t="shared" si="4"/>
        <v>92.756363619504157</v>
      </c>
      <c r="AE27" s="226">
        <f t="shared" si="20"/>
        <v>51015.999990727287</v>
      </c>
      <c r="AF27" s="227">
        <f t="shared" si="21"/>
        <v>0.9742041714174674</v>
      </c>
      <c r="AG27" s="228">
        <v>337</v>
      </c>
      <c r="AH27" s="660">
        <f t="shared" si="22"/>
        <v>0.66057707397924859</v>
      </c>
      <c r="AI27" s="222">
        <f t="shared" si="23"/>
        <v>-1.9169976456838227</v>
      </c>
      <c r="AJ27" s="229">
        <f t="shared" si="5"/>
        <v>-0.11194379364013163</v>
      </c>
      <c r="AK27" s="230"/>
      <c r="AL27" s="226"/>
      <c r="AM27" s="231">
        <f t="shared" si="6"/>
        <v>0</v>
      </c>
      <c r="AN27" s="232">
        <v>337</v>
      </c>
      <c r="AO27" s="225">
        <v>201</v>
      </c>
      <c r="AP27" s="231">
        <f t="shared" si="24"/>
        <v>538</v>
      </c>
      <c r="AQ27" s="358">
        <f t="shared" si="7"/>
        <v>50477.999990727287</v>
      </c>
      <c r="AR27" s="227">
        <f t="shared" si="25"/>
        <v>0.66959863715299728</v>
      </c>
      <c r="AS27" s="248">
        <v>137</v>
      </c>
      <c r="AT27" s="195"/>
      <c r="AU27" s="249">
        <f t="shared" si="26"/>
        <v>0.2714053647631971</v>
      </c>
      <c r="AV27" s="195"/>
      <c r="AW27" s="235">
        <f t="shared" si="8"/>
        <v>-0.38917170921605149</v>
      </c>
      <c r="AX27" s="236"/>
      <c r="AY27" s="235">
        <f t="shared" si="9"/>
        <v>-0.50111550285618311</v>
      </c>
      <c r="AZ27" s="237"/>
      <c r="BA27" s="250">
        <f t="shared" si="27"/>
        <v>50477.999990727287</v>
      </c>
      <c r="BB27" s="251">
        <v>4000</v>
      </c>
      <c r="BC27" s="360">
        <v>0</v>
      </c>
      <c r="BD27" s="253">
        <f t="shared" si="28"/>
        <v>54477.999990727287</v>
      </c>
      <c r="BE27" s="254">
        <v>59</v>
      </c>
      <c r="BF27" s="255">
        <f t="shared" si="29"/>
        <v>0.31021696837028806</v>
      </c>
      <c r="BG27" s="648">
        <v>110</v>
      </c>
      <c r="BH27" s="256">
        <f t="shared" si="30"/>
        <v>0.20191636994515791</v>
      </c>
      <c r="BI27" s="244">
        <v>5000</v>
      </c>
      <c r="BJ27" s="394">
        <v>110</v>
      </c>
      <c r="BK27" s="395">
        <f t="shared" si="31"/>
        <v>59367.999990727287</v>
      </c>
      <c r="BL27" s="259">
        <f t="shared" si="32"/>
        <v>0</v>
      </c>
      <c r="BM27" s="259">
        <f t="shared" si="35"/>
        <v>0</v>
      </c>
      <c r="BN27" s="259">
        <f t="shared" si="33"/>
        <v>0</v>
      </c>
      <c r="BO27" s="259"/>
      <c r="BP27" s="259">
        <f t="shared" si="34"/>
        <v>0</v>
      </c>
      <c r="BR27" s="259"/>
    </row>
    <row r="28" spans="1:70" x14ac:dyDescent="0.25">
      <c r="A28" s="1270" t="s">
        <v>183</v>
      </c>
      <c r="B28" s="1271"/>
      <c r="C28" s="216">
        <v>270</v>
      </c>
      <c r="D28" s="1269"/>
      <c r="E28" s="216">
        <v>18328.999993333331</v>
      </c>
      <c r="F28" s="217">
        <f t="shared" si="10"/>
        <v>67.885185160493819</v>
      </c>
      <c r="G28" s="218">
        <f t="shared" si="11"/>
        <v>1.8713514110140039</v>
      </c>
      <c r="H28" s="219">
        <v>81</v>
      </c>
      <c r="I28" s="220">
        <v>343</v>
      </c>
      <c r="J28" s="216">
        <v>18328.999993333331</v>
      </c>
      <c r="K28" s="221">
        <f t="shared" si="12"/>
        <v>1.871351411014004E-2</v>
      </c>
      <c r="L28" s="216">
        <v>262</v>
      </c>
      <c r="M28" s="216">
        <v>270</v>
      </c>
      <c r="N28" s="1269"/>
      <c r="O28" s="222">
        <v>67.585185160493822</v>
      </c>
      <c r="P28" s="223">
        <f t="shared" si="13"/>
        <v>1.4357737839528621</v>
      </c>
      <c r="Q28" s="219">
        <f t="shared" si="14"/>
        <v>18247.999993333331</v>
      </c>
      <c r="R28" s="660">
        <f t="shared" si="0"/>
        <v>1.4357737839528621</v>
      </c>
      <c r="S28" s="225">
        <f t="shared" si="1"/>
        <v>-165</v>
      </c>
      <c r="T28" s="225">
        <f t="shared" si="2"/>
        <v>-102</v>
      </c>
      <c r="U28" s="225">
        <v>97</v>
      </c>
      <c r="V28" s="222">
        <f t="shared" si="15"/>
        <v>67.225925901234561</v>
      </c>
      <c r="W28" s="226">
        <f t="shared" si="16"/>
        <v>18150.999993333331</v>
      </c>
      <c r="X28" s="227">
        <f t="shared" si="3"/>
        <v>-0.56195250971000776</v>
      </c>
      <c r="Y28" s="228">
        <v>63</v>
      </c>
      <c r="Z28" s="224">
        <f t="shared" si="17"/>
        <v>0.34708831482088714</v>
      </c>
      <c r="AA28" s="225">
        <f t="shared" si="18"/>
        <v>7</v>
      </c>
      <c r="AB28" s="225">
        <v>70</v>
      </c>
      <c r="AC28" s="225">
        <f t="shared" si="19"/>
        <v>23</v>
      </c>
      <c r="AD28" s="222">
        <f t="shared" si="4"/>
        <v>66.966666641975294</v>
      </c>
      <c r="AE28" s="226">
        <f t="shared" si="20"/>
        <v>18080.999993333331</v>
      </c>
      <c r="AF28" s="227">
        <f t="shared" si="21"/>
        <v>0.12720535373309197</v>
      </c>
      <c r="AG28" s="228">
        <v>16</v>
      </c>
      <c r="AH28" s="660">
        <f t="shared" si="22"/>
        <v>8.8490680857803108E-2</v>
      </c>
      <c r="AI28" s="222">
        <f t="shared" si="23"/>
        <v>-0.25859763396308405</v>
      </c>
      <c r="AJ28" s="229">
        <f t="shared" si="5"/>
        <v>-1.3472831030950589</v>
      </c>
      <c r="AK28" s="230"/>
      <c r="AL28" s="226"/>
      <c r="AM28" s="231">
        <f t="shared" si="6"/>
        <v>0</v>
      </c>
      <c r="AN28" s="232">
        <v>16</v>
      </c>
      <c r="AO28" s="225">
        <v>13</v>
      </c>
      <c r="AP28" s="231">
        <f t="shared" si="24"/>
        <v>29</v>
      </c>
      <c r="AQ28" s="358">
        <f t="shared" si="7"/>
        <v>18051.999993333331</v>
      </c>
      <c r="AR28" s="227">
        <f t="shared" si="25"/>
        <v>0.2492798582795184</v>
      </c>
      <c r="AS28" s="248">
        <v>32</v>
      </c>
      <c r="AT28" s="195"/>
      <c r="AU28" s="249">
        <f t="shared" si="26"/>
        <v>0.17726567699876866</v>
      </c>
      <c r="AV28" s="195"/>
      <c r="AW28" s="235">
        <f t="shared" si="8"/>
        <v>8.8774996140965554E-2</v>
      </c>
      <c r="AX28" s="236"/>
      <c r="AY28" s="235">
        <f t="shared" si="9"/>
        <v>-1.2585081069540935</v>
      </c>
      <c r="AZ28" s="237"/>
      <c r="BA28" s="250">
        <f t="shared" si="27"/>
        <v>18051.999993333331</v>
      </c>
      <c r="BB28" s="251">
        <v>0</v>
      </c>
      <c r="BC28" s="360">
        <v>0</v>
      </c>
      <c r="BD28" s="253">
        <f t="shared" si="28"/>
        <v>18051.999993333331</v>
      </c>
      <c r="BE28" s="254">
        <v>1</v>
      </c>
      <c r="BF28" s="255">
        <f t="shared" si="29"/>
        <v>0.23820075346709538</v>
      </c>
      <c r="BG28" s="648">
        <v>42</v>
      </c>
      <c r="BH28" s="256">
        <f t="shared" si="30"/>
        <v>0.23266120106088384</v>
      </c>
      <c r="BI28" s="244"/>
      <c r="BJ28" s="394">
        <v>42</v>
      </c>
      <c r="BK28" s="395">
        <f t="shared" si="31"/>
        <v>18009.999993333331</v>
      </c>
      <c r="BL28" s="259">
        <f t="shared" si="32"/>
        <v>0</v>
      </c>
      <c r="BM28" s="259">
        <f t="shared" si="35"/>
        <v>0</v>
      </c>
      <c r="BN28" s="259">
        <f t="shared" si="33"/>
        <v>0</v>
      </c>
      <c r="BO28" s="259"/>
      <c r="BP28" s="259">
        <f t="shared" si="34"/>
        <v>0</v>
      </c>
      <c r="BR28" s="259"/>
    </row>
    <row r="29" spans="1:70" x14ac:dyDescent="0.25">
      <c r="A29" s="1270" t="s">
        <v>184</v>
      </c>
      <c r="B29" s="1271"/>
      <c r="C29" s="216">
        <v>1370</v>
      </c>
      <c r="D29" s="1269"/>
      <c r="E29" s="216">
        <v>135847.70658682636</v>
      </c>
      <c r="F29" s="217">
        <f t="shared" si="10"/>
        <v>99.158909917391497</v>
      </c>
      <c r="G29" s="218">
        <f t="shared" si="11"/>
        <v>8.2437902570274293</v>
      </c>
      <c r="H29" s="219">
        <v>7831</v>
      </c>
      <c r="I29" s="220">
        <v>11199</v>
      </c>
      <c r="J29" s="216">
        <v>135847.70658682636</v>
      </c>
      <c r="K29" s="221">
        <f t="shared" si="12"/>
        <v>8.2437902570274293E-2</v>
      </c>
      <c r="L29" s="216">
        <v>3368</v>
      </c>
      <c r="M29" s="216">
        <v>1370</v>
      </c>
      <c r="N29" s="1269"/>
      <c r="O29" s="222">
        <v>93.442851523230914</v>
      </c>
      <c r="P29" s="223">
        <f t="shared" si="13"/>
        <v>2.6309066135174164</v>
      </c>
      <c r="Q29" s="219">
        <f t="shared" si="14"/>
        <v>128016.70658682635</v>
      </c>
      <c r="R29" s="660">
        <f t="shared" si="0"/>
        <v>2.6309066135174164</v>
      </c>
      <c r="S29" s="225">
        <f t="shared" si="1"/>
        <v>4790</v>
      </c>
      <c r="T29" s="225">
        <f t="shared" si="2"/>
        <v>9603</v>
      </c>
      <c r="U29" s="225">
        <v>8158</v>
      </c>
      <c r="V29" s="222">
        <f t="shared" si="15"/>
        <v>87.48810699768346</v>
      </c>
      <c r="W29" s="226">
        <f t="shared" si="16"/>
        <v>119858.70658682635</v>
      </c>
      <c r="X29" s="227">
        <f t="shared" si="3"/>
        <v>8.0119336120513953</v>
      </c>
      <c r="Y29" s="228">
        <v>4813</v>
      </c>
      <c r="Z29" s="224">
        <f t="shared" si="17"/>
        <v>4.0155614365097749</v>
      </c>
      <c r="AA29" s="225">
        <f t="shared" si="18"/>
        <v>568</v>
      </c>
      <c r="AB29" s="225">
        <v>5381</v>
      </c>
      <c r="AC29" s="225">
        <f t="shared" si="19"/>
        <v>2623</v>
      </c>
      <c r="AD29" s="222">
        <f t="shared" si="4"/>
        <v>83.560369771406087</v>
      </c>
      <c r="AE29" s="226">
        <f t="shared" si="20"/>
        <v>114477.70658682635</v>
      </c>
      <c r="AF29" s="227">
        <f t="shared" si="21"/>
        <v>2.2912758109899496</v>
      </c>
      <c r="AG29" s="228">
        <v>2055</v>
      </c>
      <c r="AH29" s="660">
        <f t="shared" si="22"/>
        <v>1.7951093372414586</v>
      </c>
      <c r="AI29" s="222">
        <f t="shared" si="23"/>
        <v>-2.2204520992683161</v>
      </c>
      <c r="AJ29" s="229">
        <f t="shared" si="5"/>
        <v>-0.83579727627595779</v>
      </c>
      <c r="AK29" s="230"/>
      <c r="AL29" s="226"/>
      <c r="AM29" s="231">
        <f t="shared" si="6"/>
        <v>0</v>
      </c>
      <c r="AN29" s="232">
        <v>2055</v>
      </c>
      <c r="AO29" s="225">
        <v>1631</v>
      </c>
      <c r="AP29" s="231">
        <f t="shared" si="24"/>
        <v>3686</v>
      </c>
      <c r="AQ29" s="358">
        <f t="shared" si="7"/>
        <v>110791.70658682635</v>
      </c>
      <c r="AR29" s="227">
        <f t="shared" si="25"/>
        <v>2.7763810981550048</v>
      </c>
      <c r="AS29" s="248">
        <v>1445</v>
      </c>
      <c r="AT29" s="195"/>
      <c r="AU29" s="249">
        <f t="shared" si="26"/>
        <v>1.3042492479954428</v>
      </c>
      <c r="AV29" s="195"/>
      <c r="AW29" s="235">
        <f t="shared" si="8"/>
        <v>-0.49086008924601576</v>
      </c>
      <c r="AX29" s="236"/>
      <c r="AY29" s="235">
        <f t="shared" si="9"/>
        <v>-1.3266573655219736</v>
      </c>
      <c r="AZ29" s="237"/>
      <c r="BA29" s="250">
        <f t="shared" si="27"/>
        <v>110791.70658682635</v>
      </c>
      <c r="BB29" s="251">
        <v>4000</v>
      </c>
      <c r="BC29" s="360">
        <v>0</v>
      </c>
      <c r="BD29" s="253">
        <f t="shared" si="28"/>
        <v>114791.70658682635</v>
      </c>
      <c r="BE29" s="254">
        <v>0</v>
      </c>
      <c r="BF29" s="255">
        <f t="shared" si="29"/>
        <v>0.66119759220227836</v>
      </c>
      <c r="BG29" s="648">
        <v>759</v>
      </c>
      <c r="BH29" s="256">
        <f t="shared" si="30"/>
        <v>0.66119759220227836</v>
      </c>
      <c r="BI29" s="244"/>
      <c r="BJ29" s="394">
        <v>0</v>
      </c>
      <c r="BK29" s="395">
        <f t="shared" si="31"/>
        <v>114791.70658682635</v>
      </c>
      <c r="BL29" s="259">
        <f t="shared" si="32"/>
        <v>-759</v>
      </c>
      <c r="BM29" s="259">
        <f t="shared" si="35"/>
        <v>0</v>
      </c>
      <c r="BN29" s="259">
        <f t="shared" si="33"/>
        <v>0</v>
      </c>
      <c r="BO29" s="259"/>
      <c r="BP29" s="259">
        <f t="shared" si="34"/>
        <v>0</v>
      </c>
      <c r="BR29" s="259"/>
    </row>
    <row r="30" spans="1:70" x14ac:dyDescent="0.25">
      <c r="A30" s="1270" t="s">
        <v>185</v>
      </c>
      <c r="B30" s="1271"/>
      <c r="C30" s="216">
        <v>7000</v>
      </c>
      <c r="D30" s="1269"/>
      <c r="E30" s="216">
        <v>700509.99999014288</v>
      </c>
      <c r="F30" s="217">
        <f t="shared" si="10"/>
        <v>100.07285714144898</v>
      </c>
      <c r="G30" s="218">
        <f t="shared" si="11"/>
        <v>0.38928780460498386</v>
      </c>
      <c r="H30" s="219">
        <v>1387</v>
      </c>
      <c r="I30" s="220">
        <v>2727</v>
      </c>
      <c r="J30" s="216">
        <v>700509.99999014288</v>
      </c>
      <c r="K30" s="221">
        <f t="shared" si="12"/>
        <v>3.8928780460498386E-3</v>
      </c>
      <c r="L30" s="216">
        <v>1340</v>
      </c>
      <c r="M30" s="216">
        <v>7000</v>
      </c>
      <c r="N30" s="1269"/>
      <c r="O30" s="222">
        <v>99.874714284306123</v>
      </c>
      <c r="P30" s="223">
        <f t="shared" si="13"/>
        <v>0.19166870493731333</v>
      </c>
      <c r="Q30" s="219">
        <f t="shared" si="14"/>
        <v>699122.99999014288</v>
      </c>
      <c r="R30" s="660">
        <f t="shared" si="0"/>
        <v>0.19166870493731333</v>
      </c>
      <c r="S30" s="225">
        <f t="shared" si="1"/>
        <v>4203</v>
      </c>
      <c r="T30" s="225">
        <f t="shared" si="2"/>
        <v>6284</v>
      </c>
      <c r="U30" s="225">
        <v>5543</v>
      </c>
      <c r="V30" s="222">
        <f t="shared" si="15"/>
        <v>99.082857141448983</v>
      </c>
      <c r="W30" s="226">
        <f t="shared" si="16"/>
        <v>693579.99999014288</v>
      </c>
      <c r="X30" s="227">
        <f t="shared" si="3"/>
        <v>0.90602381846208191</v>
      </c>
      <c r="Y30" s="228">
        <v>2081</v>
      </c>
      <c r="Z30" s="224">
        <f t="shared" si="17"/>
        <v>0.30003748666766272</v>
      </c>
      <c r="AA30" s="225">
        <f t="shared" si="18"/>
        <v>112</v>
      </c>
      <c r="AB30" s="225">
        <v>2193</v>
      </c>
      <c r="AC30" s="225">
        <f t="shared" si="19"/>
        <v>1305</v>
      </c>
      <c r="AD30" s="222">
        <f t="shared" si="4"/>
        <v>98.769571427163271</v>
      </c>
      <c r="AE30" s="226">
        <f t="shared" si="20"/>
        <v>691386.99999014288</v>
      </c>
      <c r="AF30" s="227">
        <f t="shared" si="21"/>
        <v>0.18875101788413803</v>
      </c>
      <c r="AG30" s="228">
        <v>1193</v>
      </c>
      <c r="AH30" s="660">
        <f t="shared" si="22"/>
        <v>0.17255169680902427</v>
      </c>
      <c r="AI30" s="222">
        <f t="shared" si="23"/>
        <v>-0.12748578985863845</v>
      </c>
      <c r="AJ30" s="229">
        <f t="shared" si="5"/>
        <v>-1.9117008128289065E-2</v>
      </c>
      <c r="AK30" s="230">
        <v>0</v>
      </c>
      <c r="AL30" s="226">
        <v>17000</v>
      </c>
      <c r="AM30" s="231">
        <f t="shared" si="6"/>
        <v>17000</v>
      </c>
      <c r="AN30" s="232">
        <v>1193</v>
      </c>
      <c r="AO30" s="225">
        <v>1156</v>
      </c>
      <c r="AP30" s="231">
        <f t="shared" si="24"/>
        <v>2349</v>
      </c>
      <c r="AQ30" s="358">
        <f t="shared" si="7"/>
        <v>706037.99999014288</v>
      </c>
      <c r="AR30" s="227">
        <f t="shared" si="25"/>
        <v>0.42264014118810322</v>
      </c>
      <c r="AS30" s="248">
        <v>1828</v>
      </c>
      <c r="AT30" s="195"/>
      <c r="AU30" s="249">
        <f t="shared" si="26"/>
        <v>0.25890957710852974</v>
      </c>
      <c r="AV30" s="195"/>
      <c r="AW30" s="235">
        <f t="shared" si="8"/>
        <v>8.6357880299505474E-2</v>
      </c>
      <c r="AX30" s="236"/>
      <c r="AY30" s="235">
        <f t="shared" si="9"/>
        <v>6.7240872171216409E-2</v>
      </c>
      <c r="AZ30" s="237"/>
      <c r="BA30" s="250">
        <f t="shared" si="27"/>
        <v>706037.99999014288</v>
      </c>
      <c r="BB30" s="251">
        <v>6000</v>
      </c>
      <c r="BC30" s="360">
        <v>0</v>
      </c>
      <c r="BD30" s="253">
        <f t="shared" si="28"/>
        <v>712037.99999014288</v>
      </c>
      <c r="BE30" s="254">
        <v>5680</v>
      </c>
      <c r="BF30" s="255">
        <f t="shared" si="29"/>
        <v>1.0343549080388907</v>
      </c>
      <c r="BG30" s="648">
        <v>1685</v>
      </c>
      <c r="BH30" s="256">
        <f t="shared" si="30"/>
        <v>0.236644673461715</v>
      </c>
      <c r="BI30" s="244"/>
      <c r="BJ30" s="394">
        <v>1384</v>
      </c>
      <c r="BK30" s="395">
        <f t="shared" si="31"/>
        <v>710653.99999014288</v>
      </c>
      <c r="BL30" s="259">
        <f t="shared" si="32"/>
        <v>-301</v>
      </c>
      <c r="BM30" s="259">
        <f t="shared" si="35"/>
        <v>0</v>
      </c>
      <c r="BN30" s="259">
        <f t="shared" si="33"/>
        <v>0</v>
      </c>
      <c r="BO30" s="259"/>
      <c r="BP30" s="259">
        <f t="shared" si="34"/>
        <v>0</v>
      </c>
      <c r="BR30" s="259"/>
    </row>
    <row r="31" spans="1:70" x14ac:dyDescent="0.25">
      <c r="A31" s="1270" t="s">
        <v>186</v>
      </c>
      <c r="B31" s="1271"/>
      <c r="C31" s="216">
        <v>3190</v>
      </c>
      <c r="D31" s="1269"/>
      <c r="E31" s="216">
        <v>356959.73816155992</v>
      </c>
      <c r="F31" s="217">
        <f t="shared" si="10"/>
        <v>111.89960443936047</v>
      </c>
      <c r="G31" s="218">
        <f t="shared" si="11"/>
        <v>4.4041381476150336</v>
      </c>
      <c r="H31" s="219">
        <v>13428</v>
      </c>
      <c r="I31" s="220">
        <v>15721</v>
      </c>
      <c r="J31" s="216">
        <v>356959.73816155992</v>
      </c>
      <c r="K31" s="221">
        <f t="shared" si="12"/>
        <v>4.4041381476150339E-2</v>
      </c>
      <c r="L31" s="216">
        <v>2293</v>
      </c>
      <c r="M31" s="216">
        <v>3190</v>
      </c>
      <c r="N31" s="1269"/>
      <c r="O31" s="222">
        <v>107.69020005064574</v>
      </c>
      <c r="P31" s="223">
        <f t="shared" si="13"/>
        <v>0.6674783565184369</v>
      </c>
      <c r="Q31" s="219">
        <f t="shared" si="14"/>
        <v>343531.73816155992</v>
      </c>
      <c r="R31" s="660">
        <f t="shared" si="0"/>
        <v>0.6674783565184369</v>
      </c>
      <c r="S31" s="225">
        <f t="shared" si="1"/>
        <v>3818</v>
      </c>
      <c r="T31" s="225">
        <f t="shared" si="2"/>
        <v>5779</v>
      </c>
      <c r="U31" s="225">
        <v>6111</v>
      </c>
      <c r="V31" s="222">
        <f t="shared" si="15"/>
        <v>105.77452606945452</v>
      </c>
      <c r="W31" s="226">
        <f t="shared" si="16"/>
        <v>337420.73816155992</v>
      </c>
      <c r="X31" s="227">
        <f t="shared" si="3"/>
        <v>1.712698523358978</v>
      </c>
      <c r="Y31" s="228">
        <v>1961</v>
      </c>
      <c r="Z31" s="224">
        <f t="shared" si="17"/>
        <v>0.58117352557656266</v>
      </c>
      <c r="AA31" s="225">
        <f t="shared" si="18"/>
        <v>366</v>
      </c>
      <c r="AB31" s="225">
        <v>2327</v>
      </c>
      <c r="AC31" s="225">
        <f t="shared" si="19"/>
        <v>1242</v>
      </c>
      <c r="AD31" s="222">
        <f t="shared" si="4"/>
        <v>105.04505898481501</v>
      </c>
      <c r="AE31" s="226">
        <f t="shared" si="20"/>
        <v>335093.73816155992</v>
      </c>
      <c r="AF31" s="227">
        <f t="shared" si="21"/>
        <v>0.37064255715849581</v>
      </c>
      <c r="AG31" s="228">
        <v>876</v>
      </c>
      <c r="AH31" s="660">
        <f t="shared" si="22"/>
        <v>0.26141938814077481</v>
      </c>
      <c r="AI31" s="222">
        <f t="shared" si="23"/>
        <v>-0.31975413743578784</v>
      </c>
      <c r="AJ31" s="229">
        <f t="shared" si="5"/>
        <v>-0.40605896837766209</v>
      </c>
      <c r="AK31" s="230"/>
      <c r="AL31" s="226"/>
      <c r="AM31" s="231">
        <f t="shared" si="6"/>
        <v>0</v>
      </c>
      <c r="AN31" s="232">
        <v>876</v>
      </c>
      <c r="AO31" s="225">
        <v>695</v>
      </c>
      <c r="AP31" s="231">
        <f t="shared" si="24"/>
        <v>1571</v>
      </c>
      <c r="AQ31" s="358">
        <f t="shared" si="7"/>
        <v>333522.73816155992</v>
      </c>
      <c r="AR31" s="227">
        <f t="shared" si="25"/>
        <v>1.3249471458402984</v>
      </c>
      <c r="AS31" s="248">
        <v>3724</v>
      </c>
      <c r="AT31" s="195"/>
      <c r="AU31" s="249">
        <f t="shared" si="26"/>
        <v>1.1165655512806678</v>
      </c>
      <c r="AV31" s="195"/>
      <c r="AW31" s="235">
        <f t="shared" si="8"/>
        <v>0.855146163139893</v>
      </c>
      <c r="AX31" s="236"/>
      <c r="AY31" s="235">
        <f t="shared" si="9"/>
        <v>0.44908719476223091</v>
      </c>
      <c r="AZ31" s="237"/>
      <c r="BA31" s="250">
        <f t="shared" si="27"/>
        <v>333522.73816155992</v>
      </c>
      <c r="BB31" s="251">
        <v>0</v>
      </c>
      <c r="BC31" s="360">
        <v>0</v>
      </c>
      <c r="BD31" s="253">
        <f t="shared" si="28"/>
        <v>333522.73816155992</v>
      </c>
      <c r="BE31" s="254">
        <v>0</v>
      </c>
      <c r="BF31" s="255">
        <f t="shared" si="29"/>
        <v>0.40536966308578493</v>
      </c>
      <c r="BG31" s="648">
        <v>1352</v>
      </c>
      <c r="BH31" s="256">
        <f t="shared" si="30"/>
        <v>0.40536966308578493</v>
      </c>
      <c r="BI31" s="244"/>
      <c r="BJ31" s="394">
        <v>3654</v>
      </c>
      <c r="BK31" s="395">
        <f t="shared" si="31"/>
        <v>329868.73816155992</v>
      </c>
      <c r="BL31" s="259">
        <f t="shared" si="32"/>
        <v>2302</v>
      </c>
      <c r="BM31" s="259">
        <f t="shared" si="35"/>
        <v>2302</v>
      </c>
      <c r="BN31" s="260">
        <f t="shared" si="33"/>
        <v>0.69785333791544346</v>
      </c>
      <c r="BO31" s="259"/>
      <c r="BP31" s="259">
        <f t="shared" si="34"/>
        <v>0</v>
      </c>
      <c r="BR31" s="259"/>
    </row>
    <row r="32" spans="1:70" x14ac:dyDescent="0.25">
      <c r="A32" s="1270" t="s">
        <v>187</v>
      </c>
      <c r="B32" s="1271"/>
      <c r="C32" s="216">
        <v>730</v>
      </c>
      <c r="D32" s="1269"/>
      <c r="E32" s="216">
        <v>61899.999993424652</v>
      </c>
      <c r="F32" s="217">
        <f t="shared" si="10"/>
        <v>84.794520538937874</v>
      </c>
      <c r="G32" s="218">
        <f t="shared" si="11"/>
        <v>11.896607432604593</v>
      </c>
      <c r="H32" s="219">
        <v>3433</v>
      </c>
      <c r="I32" s="220">
        <v>7364</v>
      </c>
      <c r="J32" s="216">
        <v>61899.999993424652</v>
      </c>
      <c r="K32" s="221">
        <f t="shared" si="12"/>
        <v>0.11896607432604593</v>
      </c>
      <c r="L32" s="216">
        <v>3931</v>
      </c>
      <c r="M32" s="216">
        <v>730</v>
      </c>
      <c r="N32" s="1269"/>
      <c r="O32" s="222">
        <v>80.091780812910486</v>
      </c>
      <c r="P32" s="223">
        <f t="shared" si="13"/>
        <v>6.723450836270187</v>
      </c>
      <c r="Q32" s="219">
        <f t="shared" si="14"/>
        <v>58466.999993424652</v>
      </c>
      <c r="R32" s="660">
        <f t="shared" si="0"/>
        <v>6.723450836270187</v>
      </c>
      <c r="S32" s="225">
        <f t="shared" si="1"/>
        <v>127</v>
      </c>
      <c r="T32" s="225">
        <f t="shared" si="2"/>
        <v>2789</v>
      </c>
      <c r="U32" s="225">
        <v>4058</v>
      </c>
      <c r="V32" s="222">
        <f t="shared" si="15"/>
        <v>74.532876703321435</v>
      </c>
      <c r="W32" s="226">
        <f t="shared" si="16"/>
        <v>54408.999993424652</v>
      </c>
      <c r="X32" s="227">
        <f t="shared" si="3"/>
        <v>5.1259901860667378</v>
      </c>
      <c r="Y32" s="228">
        <v>2662</v>
      </c>
      <c r="Z32" s="224">
        <f t="shared" si="17"/>
        <v>4.8925729205126061</v>
      </c>
      <c r="AA32" s="225">
        <f t="shared" si="18"/>
        <v>314</v>
      </c>
      <c r="AB32" s="225">
        <v>2976</v>
      </c>
      <c r="AC32" s="225">
        <f t="shared" si="19"/>
        <v>1102</v>
      </c>
      <c r="AD32" s="222">
        <f t="shared" si="4"/>
        <v>70.456164374554319</v>
      </c>
      <c r="AE32" s="226">
        <f t="shared" si="20"/>
        <v>51432.999993424652</v>
      </c>
      <c r="AF32" s="227">
        <f t="shared" si="21"/>
        <v>2.1425932769639786</v>
      </c>
      <c r="AG32" s="228">
        <v>788</v>
      </c>
      <c r="AH32" s="660">
        <f t="shared" si="22"/>
        <v>1.5320902924207032</v>
      </c>
      <c r="AI32" s="222">
        <f t="shared" si="23"/>
        <v>-3.3604826280919031</v>
      </c>
      <c r="AJ32" s="229">
        <f t="shared" si="5"/>
        <v>-5.1913605438494841</v>
      </c>
      <c r="AK32" s="230"/>
      <c r="AL32" s="226"/>
      <c r="AM32" s="231">
        <f t="shared" si="6"/>
        <v>0</v>
      </c>
      <c r="AN32" s="232">
        <v>788</v>
      </c>
      <c r="AO32" s="225">
        <v>623</v>
      </c>
      <c r="AP32" s="231">
        <f t="shared" si="24"/>
        <v>1411</v>
      </c>
      <c r="AQ32" s="358">
        <f t="shared" si="7"/>
        <v>50021.999993424652</v>
      </c>
      <c r="AR32" s="227">
        <f t="shared" si="25"/>
        <v>3.9122785979314019</v>
      </c>
      <c r="AS32" s="248">
        <v>1334</v>
      </c>
      <c r="AT32" s="195"/>
      <c r="AU32" s="249">
        <f t="shared" si="26"/>
        <v>2.666826596648181</v>
      </c>
      <c r="AV32" s="195"/>
      <c r="AW32" s="235">
        <f t="shared" si="8"/>
        <v>1.1347363042274778</v>
      </c>
      <c r="AX32" s="236"/>
      <c r="AY32" s="235">
        <f t="shared" si="9"/>
        <v>-4.056624239622006</v>
      </c>
      <c r="AZ32" s="237"/>
      <c r="BA32" s="250">
        <f t="shared" si="27"/>
        <v>50021.999993424652</v>
      </c>
      <c r="BB32" s="251">
        <v>6000</v>
      </c>
      <c r="BC32" s="360">
        <v>0</v>
      </c>
      <c r="BD32" s="253">
        <f t="shared" si="28"/>
        <v>56021.999993424652</v>
      </c>
      <c r="BE32" s="254">
        <v>736</v>
      </c>
      <c r="BF32" s="255">
        <f t="shared" si="29"/>
        <v>2.7721252368395932</v>
      </c>
      <c r="BG32" s="648">
        <v>817</v>
      </c>
      <c r="BH32" s="256">
        <f t="shared" si="30"/>
        <v>1.4583556461673843</v>
      </c>
      <c r="BI32" s="244"/>
      <c r="BJ32" s="394">
        <v>1892</v>
      </c>
      <c r="BK32" s="395">
        <f t="shared" si="31"/>
        <v>54129.999993424652</v>
      </c>
      <c r="BL32" s="259">
        <f t="shared" si="32"/>
        <v>1075</v>
      </c>
      <c r="BM32" s="259">
        <f t="shared" si="35"/>
        <v>1075</v>
      </c>
      <c r="BN32" s="260">
        <f t="shared" si="33"/>
        <v>1.9859597268253903</v>
      </c>
      <c r="BO32" s="259"/>
      <c r="BP32" s="259">
        <f t="shared" si="34"/>
        <v>0</v>
      </c>
      <c r="BR32" s="259"/>
    </row>
    <row r="33" spans="1:70" x14ac:dyDescent="0.25">
      <c r="A33" s="1270" t="s">
        <v>188</v>
      </c>
      <c r="B33" s="1271"/>
      <c r="C33" s="216">
        <v>2100</v>
      </c>
      <c r="D33" s="1269"/>
      <c r="E33" s="216">
        <v>225906</v>
      </c>
      <c r="F33" s="217">
        <f t="shared" si="10"/>
        <v>107.57428571428571</v>
      </c>
      <c r="G33" s="218">
        <f t="shared" si="11"/>
        <v>7.2162757961275927</v>
      </c>
      <c r="H33" s="219">
        <v>9158</v>
      </c>
      <c r="I33" s="220">
        <v>16302</v>
      </c>
      <c r="J33" s="216">
        <v>225906</v>
      </c>
      <c r="K33" s="221">
        <f t="shared" si="12"/>
        <v>7.2162757961275928E-2</v>
      </c>
      <c r="L33" s="216">
        <v>7144</v>
      </c>
      <c r="M33" s="216">
        <v>2100</v>
      </c>
      <c r="N33" s="1269"/>
      <c r="O33" s="222">
        <v>103.21333333333334</v>
      </c>
      <c r="P33" s="223">
        <f t="shared" si="13"/>
        <v>3.2959935039769683</v>
      </c>
      <c r="Q33" s="219">
        <f t="shared" si="14"/>
        <v>216748</v>
      </c>
      <c r="R33" s="660">
        <f t="shared" si="0"/>
        <v>3.2959935039769683</v>
      </c>
      <c r="S33" s="225">
        <f t="shared" si="1"/>
        <v>1150</v>
      </c>
      <c r="T33" s="225">
        <f t="shared" si="2"/>
        <v>5663</v>
      </c>
      <c r="U33" s="225">
        <v>8294</v>
      </c>
      <c r="V33" s="222">
        <f t="shared" si="15"/>
        <v>99.263809523809527</v>
      </c>
      <c r="W33" s="226">
        <f t="shared" si="16"/>
        <v>208454</v>
      </c>
      <c r="X33" s="227">
        <f t="shared" si="3"/>
        <v>2.7166665067592852</v>
      </c>
      <c r="Y33" s="228">
        <v>4513</v>
      </c>
      <c r="Z33" s="224">
        <f t="shared" si="17"/>
        <v>2.1649860400855823</v>
      </c>
      <c r="AA33" s="225">
        <f t="shared" si="18"/>
        <v>533</v>
      </c>
      <c r="AB33" s="225">
        <v>5046</v>
      </c>
      <c r="AC33" s="225">
        <f t="shared" si="19"/>
        <v>1417</v>
      </c>
      <c r="AD33" s="222">
        <f t="shared" si="4"/>
        <v>96.860952380952384</v>
      </c>
      <c r="AE33" s="226">
        <f t="shared" si="20"/>
        <v>203408</v>
      </c>
      <c r="AF33" s="227">
        <f t="shared" si="21"/>
        <v>0.69662943443719028</v>
      </c>
      <c r="AG33" s="228">
        <v>884</v>
      </c>
      <c r="AH33" s="660">
        <f t="shared" si="22"/>
        <v>0.43459450955714624</v>
      </c>
      <c r="AI33" s="222">
        <f t="shared" si="23"/>
        <v>-1.7303915305284361</v>
      </c>
      <c r="AJ33" s="229">
        <f t="shared" si="5"/>
        <v>-2.8613989944198219</v>
      </c>
      <c r="AK33" s="230"/>
      <c r="AL33" s="226"/>
      <c r="AM33" s="231">
        <f t="shared" si="6"/>
        <v>0</v>
      </c>
      <c r="AN33" s="232">
        <v>884</v>
      </c>
      <c r="AO33" s="225">
        <v>742</v>
      </c>
      <c r="AP33" s="231">
        <f t="shared" si="24"/>
        <v>1626</v>
      </c>
      <c r="AQ33" s="358">
        <f t="shared" si="7"/>
        <v>201782</v>
      </c>
      <c r="AR33" s="227">
        <f t="shared" si="25"/>
        <v>1.530860037069709</v>
      </c>
      <c r="AS33" s="248">
        <v>2347</v>
      </c>
      <c r="AT33" s="195"/>
      <c r="AU33" s="249">
        <f t="shared" si="26"/>
        <v>1.1631364541931393</v>
      </c>
      <c r="AV33" s="195"/>
      <c r="AW33" s="235">
        <f t="shared" si="8"/>
        <v>0.72854194463599309</v>
      </c>
      <c r="AX33" s="236"/>
      <c r="AY33" s="235">
        <f t="shared" si="9"/>
        <v>-2.1328570497838291</v>
      </c>
      <c r="AZ33" s="237"/>
      <c r="BA33" s="250">
        <f t="shared" si="27"/>
        <v>201782</v>
      </c>
      <c r="BB33" s="251">
        <v>6000</v>
      </c>
      <c r="BC33" s="360">
        <v>0</v>
      </c>
      <c r="BD33" s="253">
        <f t="shared" si="28"/>
        <v>207782</v>
      </c>
      <c r="BE33" s="254">
        <v>1411</v>
      </c>
      <c r="BF33" s="255">
        <f t="shared" si="29"/>
        <v>1.4173508773618504</v>
      </c>
      <c r="BG33" s="648">
        <v>1534</v>
      </c>
      <c r="BH33" s="256">
        <f t="shared" si="30"/>
        <v>0.73827376769883823</v>
      </c>
      <c r="BI33" s="244"/>
      <c r="BJ33" s="394">
        <v>2564</v>
      </c>
      <c r="BK33" s="395">
        <f t="shared" si="31"/>
        <v>205218</v>
      </c>
      <c r="BL33" s="259">
        <f t="shared" si="32"/>
        <v>1030</v>
      </c>
      <c r="BM33" s="259">
        <f t="shared" si="35"/>
        <v>1030</v>
      </c>
      <c r="BN33" s="260">
        <f t="shared" si="33"/>
        <v>0.5019052909588827</v>
      </c>
      <c r="BO33" s="259"/>
      <c r="BP33" s="259">
        <f t="shared" si="34"/>
        <v>0</v>
      </c>
      <c r="BR33" s="259"/>
    </row>
    <row r="34" spans="1:70" ht="13.5" thickBot="1" x14ac:dyDescent="0.3">
      <c r="A34" s="1274" t="s">
        <v>189</v>
      </c>
      <c r="B34" s="1275"/>
      <c r="C34" s="261">
        <v>1390</v>
      </c>
      <c r="D34" s="1276"/>
      <c r="E34" s="261">
        <v>92735.999993669058</v>
      </c>
      <c r="F34" s="262">
        <f t="shared" si="10"/>
        <v>66.716546758035292</v>
      </c>
      <c r="G34" s="218">
        <f t="shared" si="11"/>
        <v>2.3690907524046603</v>
      </c>
      <c r="H34" s="322">
        <v>1498</v>
      </c>
      <c r="I34" s="264">
        <v>2197</v>
      </c>
      <c r="J34" s="261">
        <v>92735.999993669058</v>
      </c>
      <c r="K34" s="265">
        <f t="shared" si="12"/>
        <v>2.3690907524046602E-2</v>
      </c>
      <c r="L34" s="261">
        <v>699</v>
      </c>
      <c r="M34" s="261">
        <v>1390</v>
      </c>
      <c r="N34" s="1276"/>
      <c r="O34" s="325">
        <v>65.638848916308675</v>
      </c>
      <c r="P34" s="326">
        <f t="shared" si="13"/>
        <v>0.7661281484123974</v>
      </c>
      <c r="Q34" s="322">
        <f t="shared" si="14"/>
        <v>91237.999993669058</v>
      </c>
      <c r="R34" s="663">
        <f t="shared" si="0"/>
        <v>0.7661281484123974</v>
      </c>
      <c r="S34" s="377">
        <f t="shared" si="1"/>
        <v>-699</v>
      </c>
      <c r="T34" s="377">
        <f t="shared" si="2"/>
        <v>857</v>
      </c>
      <c r="U34" s="377">
        <v>0</v>
      </c>
      <c r="V34" s="325">
        <f t="shared" si="15"/>
        <v>65.638848916308675</v>
      </c>
      <c r="W34" s="328">
        <f t="shared" si="16"/>
        <v>91237.999993669058</v>
      </c>
      <c r="X34" s="271">
        <f t="shared" si="3"/>
        <v>0.93930160685182329</v>
      </c>
      <c r="Y34" s="378">
        <v>1556</v>
      </c>
      <c r="Z34" s="327">
        <f t="shared" si="17"/>
        <v>1.705429755264221</v>
      </c>
      <c r="AA34" s="377">
        <f t="shared" si="18"/>
        <v>184</v>
      </c>
      <c r="AB34" s="377">
        <v>1740</v>
      </c>
      <c r="AC34" s="377">
        <f t="shared" si="19"/>
        <v>413</v>
      </c>
      <c r="AD34" s="325">
        <f t="shared" si="4"/>
        <v>64.387050355157598</v>
      </c>
      <c r="AE34" s="328">
        <f t="shared" si="20"/>
        <v>89497.999993669058</v>
      </c>
      <c r="AF34" s="271">
        <f t="shared" si="21"/>
        <v>0.46146282601758132</v>
      </c>
      <c r="AG34" s="378">
        <v>229</v>
      </c>
      <c r="AH34" s="663">
        <f t="shared" si="22"/>
        <v>0.25587163960781145</v>
      </c>
      <c r="AI34" s="325">
        <f t="shared" si="23"/>
        <v>-1.4495581156564095</v>
      </c>
      <c r="AJ34" s="331">
        <f t="shared" si="5"/>
        <v>-0.51025650880458595</v>
      </c>
      <c r="AK34" s="332"/>
      <c r="AL34" s="328"/>
      <c r="AM34" s="333">
        <f t="shared" si="6"/>
        <v>0</v>
      </c>
      <c r="AN34" s="379">
        <v>229</v>
      </c>
      <c r="AO34" s="377">
        <v>139</v>
      </c>
      <c r="AP34" s="333">
        <f t="shared" si="24"/>
        <v>368</v>
      </c>
      <c r="AQ34" s="335">
        <f t="shared" si="7"/>
        <v>89129.999993669058</v>
      </c>
      <c r="AR34" s="271">
        <f t="shared" si="25"/>
        <v>0.81117468871463594</v>
      </c>
      <c r="AS34" s="277">
        <v>584</v>
      </c>
      <c r="AT34" s="195"/>
      <c r="AU34" s="337">
        <f t="shared" si="26"/>
        <v>0.65522270844999631</v>
      </c>
      <c r="AV34" s="195"/>
      <c r="AW34" s="338">
        <f t="shared" si="8"/>
        <v>0.39935106884218485</v>
      </c>
      <c r="AX34" s="236"/>
      <c r="AY34" s="338">
        <f t="shared" si="9"/>
        <v>-0.1109054399624011</v>
      </c>
      <c r="AZ34" s="237"/>
      <c r="BA34" s="339">
        <f t="shared" si="27"/>
        <v>89129.999993669058</v>
      </c>
      <c r="BB34" s="396">
        <v>6000</v>
      </c>
      <c r="BC34" s="341">
        <v>0</v>
      </c>
      <c r="BD34" s="342">
        <f t="shared" si="28"/>
        <v>95129.999993669058</v>
      </c>
      <c r="BE34" s="254">
        <v>341</v>
      </c>
      <c r="BF34" s="397">
        <f t="shared" si="29"/>
        <v>0.43939871757365506</v>
      </c>
      <c r="BG34" s="649">
        <v>77</v>
      </c>
      <c r="BH34" s="345">
        <f t="shared" si="30"/>
        <v>8.0941869026725941E-2</v>
      </c>
      <c r="BI34" s="346"/>
      <c r="BJ34" s="398">
        <v>94</v>
      </c>
      <c r="BK34" s="399">
        <f t="shared" si="31"/>
        <v>95035.999993669058</v>
      </c>
      <c r="BL34" s="347">
        <f t="shared" si="32"/>
        <v>17</v>
      </c>
      <c r="BM34" s="347">
        <f t="shared" si="35"/>
        <v>17</v>
      </c>
      <c r="BN34" s="348">
        <f t="shared" si="33"/>
        <v>1.7887958248592614E-2</v>
      </c>
      <c r="BO34" s="347"/>
      <c r="BP34" s="347">
        <f t="shared" si="34"/>
        <v>0</v>
      </c>
      <c r="BR34" s="347"/>
    </row>
    <row r="35" spans="1:70" ht="14.25" thickTop="1" thickBot="1" x14ac:dyDescent="0.3">
      <c r="A35" s="1266" t="s">
        <v>190</v>
      </c>
      <c r="B35" s="1267"/>
      <c r="C35" s="292">
        <v>1510</v>
      </c>
      <c r="D35" s="1268">
        <f>SUM(C35:C42)</f>
        <v>6140</v>
      </c>
      <c r="E35" s="292">
        <v>102292.99999635761</v>
      </c>
      <c r="F35" s="293">
        <f t="shared" si="10"/>
        <v>67.743708606859343</v>
      </c>
      <c r="G35" s="218">
        <f t="shared" si="11"/>
        <v>23.182426950861149</v>
      </c>
      <c r="H35" s="294">
        <v>9366</v>
      </c>
      <c r="I35" s="295">
        <v>23714</v>
      </c>
      <c r="J35" s="292">
        <v>102292.99999635761</v>
      </c>
      <c r="K35" s="296">
        <f t="shared" si="12"/>
        <v>0.23182426950861149</v>
      </c>
      <c r="L35" s="292">
        <v>14348</v>
      </c>
      <c r="M35" s="292">
        <v>1510</v>
      </c>
      <c r="N35" s="1268">
        <f>SUM(M35:M42)</f>
        <v>6140</v>
      </c>
      <c r="O35" s="297">
        <v>61.541059600236828</v>
      </c>
      <c r="P35" s="298">
        <f t="shared" si="13"/>
        <v>15.440076619886995</v>
      </c>
      <c r="Q35" s="294">
        <f t="shared" si="14"/>
        <v>92926.999996357612</v>
      </c>
      <c r="R35" s="662">
        <f t="shared" si="0"/>
        <v>15.440076619886995</v>
      </c>
      <c r="S35" s="349">
        <f t="shared" si="1"/>
        <v>5908</v>
      </c>
      <c r="T35" s="349">
        <f t="shared" si="2"/>
        <v>13336</v>
      </c>
      <c r="U35" s="349">
        <v>20256</v>
      </c>
      <c r="V35" s="297">
        <f t="shared" si="15"/>
        <v>48.126490063812987</v>
      </c>
      <c r="W35" s="300">
        <f t="shared" si="16"/>
        <v>72670.999996357612</v>
      </c>
      <c r="X35" s="301">
        <f t="shared" si="3"/>
        <v>18.351199241332061</v>
      </c>
      <c r="Y35" s="351">
        <v>7428</v>
      </c>
      <c r="Z35" s="299">
        <f t="shared" si="17"/>
        <v>10.221408815582974</v>
      </c>
      <c r="AA35" s="349">
        <f t="shared" si="18"/>
        <v>877</v>
      </c>
      <c r="AB35" s="349">
        <v>8305</v>
      </c>
      <c r="AC35" s="349">
        <f t="shared" si="19"/>
        <v>2486</v>
      </c>
      <c r="AD35" s="297">
        <f t="shared" si="4"/>
        <v>42.626490063812987</v>
      </c>
      <c r="AE35" s="300">
        <f t="shared" si="20"/>
        <v>64365.999996357612</v>
      </c>
      <c r="AF35" s="301">
        <f t="shared" si="21"/>
        <v>3.862287543331385</v>
      </c>
      <c r="AG35" s="351">
        <v>1609</v>
      </c>
      <c r="AH35" s="662">
        <f t="shared" si="22"/>
        <v>2.4997669578520512</v>
      </c>
      <c r="AI35" s="297">
        <f t="shared" si="23"/>
        <v>-7.7216418577309227</v>
      </c>
      <c r="AJ35" s="303">
        <f t="shared" si="5"/>
        <v>-12.940309662034943</v>
      </c>
      <c r="AK35" s="304"/>
      <c r="AL35" s="300">
        <v>4900</v>
      </c>
      <c r="AM35" s="305">
        <f t="shared" si="6"/>
        <v>4900</v>
      </c>
      <c r="AN35" s="352">
        <v>1609</v>
      </c>
      <c r="AO35" s="349">
        <v>1274</v>
      </c>
      <c r="AP35" s="369">
        <f t="shared" si="24"/>
        <v>2883</v>
      </c>
      <c r="AQ35" s="370">
        <f t="shared" si="7"/>
        <v>66382.999996357612</v>
      </c>
      <c r="AR35" s="301">
        <f t="shared" si="25"/>
        <v>6.4896133049672011</v>
      </c>
      <c r="AS35" s="308">
        <v>3034</v>
      </c>
      <c r="AT35" s="195"/>
      <c r="AU35" s="309">
        <f t="shared" si="26"/>
        <v>4.5704472533125555</v>
      </c>
      <c r="AV35" s="195"/>
      <c r="AW35" s="310">
        <f t="shared" si="8"/>
        <v>2.0706802954605044</v>
      </c>
      <c r="AX35" s="236"/>
      <c r="AY35" s="310">
        <f t="shared" si="9"/>
        <v>-10.86962936657444</v>
      </c>
      <c r="AZ35" s="237"/>
      <c r="BA35" s="238">
        <f t="shared" si="27"/>
        <v>66382.999996357612</v>
      </c>
      <c r="BB35" s="400">
        <v>10000</v>
      </c>
      <c r="BC35" s="360">
        <v>0</v>
      </c>
      <c r="BD35" s="239">
        <f t="shared" si="28"/>
        <v>76382.999996357612</v>
      </c>
      <c r="BE35" s="241">
        <v>1792</v>
      </c>
      <c r="BF35" s="242">
        <f t="shared" si="29"/>
        <v>4.5350405197035775</v>
      </c>
      <c r="BG35" s="645">
        <v>1672</v>
      </c>
      <c r="BH35" s="243">
        <f t="shared" si="30"/>
        <v>2.1889687496952606</v>
      </c>
      <c r="BI35" s="244">
        <v>5000</v>
      </c>
      <c r="BJ35" s="401">
        <v>1705</v>
      </c>
      <c r="BK35" s="402">
        <f t="shared" si="31"/>
        <v>79677.999996357612</v>
      </c>
      <c r="BL35" s="401">
        <f t="shared" si="32"/>
        <v>33</v>
      </c>
      <c r="BM35" s="401">
        <f t="shared" si="35"/>
        <v>33</v>
      </c>
      <c r="BN35" s="403">
        <f t="shared" si="33"/>
        <v>1.7846833505672897</v>
      </c>
      <c r="BO35" s="404">
        <v>1389</v>
      </c>
      <c r="BP35" s="405">
        <f t="shared" si="34"/>
        <v>1.743266648338935</v>
      </c>
      <c r="BR35" s="405"/>
    </row>
    <row r="36" spans="1:70" ht="14.25" thickTop="1" thickBot="1" x14ac:dyDescent="0.3">
      <c r="A36" s="1270" t="s">
        <v>191</v>
      </c>
      <c r="B36" s="1271"/>
      <c r="C36" s="216">
        <v>500</v>
      </c>
      <c r="D36" s="1269"/>
      <c r="E36" s="216">
        <v>27548.9999966</v>
      </c>
      <c r="F36" s="217">
        <f t="shared" si="10"/>
        <v>55.097999993199998</v>
      </c>
      <c r="G36" s="218">
        <f t="shared" si="11"/>
        <v>4.5337398822249346</v>
      </c>
      <c r="H36" s="219">
        <v>254</v>
      </c>
      <c r="I36" s="220">
        <v>1249</v>
      </c>
      <c r="J36" s="216">
        <v>27548.9999966</v>
      </c>
      <c r="K36" s="221">
        <f t="shared" si="12"/>
        <v>4.5337398822249346E-2</v>
      </c>
      <c r="L36" s="216">
        <v>995</v>
      </c>
      <c r="M36" s="216">
        <v>500</v>
      </c>
      <c r="N36" s="1269"/>
      <c r="O36" s="222">
        <v>54.589999993199996</v>
      </c>
      <c r="P36" s="223">
        <f t="shared" si="13"/>
        <v>3.6453562928153223</v>
      </c>
      <c r="Q36" s="219">
        <f t="shared" si="14"/>
        <v>27294.9999966</v>
      </c>
      <c r="R36" s="660">
        <f t="shared" si="0"/>
        <v>3.6453562928153223</v>
      </c>
      <c r="S36" s="225">
        <f t="shared" si="1"/>
        <v>5582</v>
      </c>
      <c r="T36" s="225">
        <f t="shared" si="2"/>
        <v>8680</v>
      </c>
      <c r="U36" s="225">
        <v>6577</v>
      </c>
      <c r="V36" s="222">
        <f t="shared" si="15"/>
        <v>41.435999993199999</v>
      </c>
      <c r="W36" s="226">
        <f t="shared" si="16"/>
        <v>20717.9999966</v>
      </c>
      <c r="X36" s="227">
        <f t="shared" si="3"/>
        <v>41.895935908024242</v>
      </c>
      <c r="Y36" s="228">
        <v>3098</v>
      </c>
      <c r="Z36" s="224">
        <f t="shared" si="17"/>
        <v>14.95318081141234</v>
      </c>
      <c r="AA36" s="225">
        <f t="shared" si="18"/>
        <v>366</v>
      </c>
      <c r="AB36" s="225">
        <v>3464</v>
      </c>
      <c r="AC36" s="225">
        <f t="shared" si="19"/>
        <v>1928</v>
      </c>
      <c r="AD36" s="222">
        <f t="shared" si="4"/>
        <v>34.507999993200002</v>
      </c>
      <c r="AE36" s="226">
        <f t="shared" si="20"/>
        <v>17253.9999966</v>
      </c>
      <c r="AF36" s="227">
        <f t="shared" si="21"/>
        <v>11.174220472817455</v>
      </c>
      <c r="AG36" s="228">
        <v>1562</v>
      </c>
      <c r="AH36" s="660">
        <f t="shared" si="22"/>
        <v>9.0529732253842656</v>
      </c>
      <c r="AI36" s="222">
        <f t="shared" si="23"/>
        <v>-5.900207586028074</v>
      </c>
      <c r="AJ36" s="229">
        <f t="shared" si="5"/>
        <v>5.4076169325689438</v>
      </c>
      <c r="AK36" s="230">
        <v>0</v>
      </c>
      <c r="AL36" s="226">
        <v>3100</v>
      </c>
      <c r="AM36" s="231">
        <f t="shared" ref="AM36:AM55" si="36">SUM(AK36:AL36)</f>
        <v>3100</v>
      </c>
      <c r="AN36" s="232">
        <v>1562</v>
      </c>
      <c r="AO36" s="225">
        <v>1237</v>
      </c>
      <c r="AP36" s="231">
        <f t="shared" si="24"/>
        <v>2799</v>
      </c>
      <c r="AQ36" s="230">
        <f t="shared" si="7"/>
        <v>17554.9999966</v>
      </c>
      <c r="AR36" s="227">
        <f t="shared" si="25"/>
        <v>12.28140131254667</v>
      </c>
      <c r="AS36" s="248">
        <v>919</v>
      </c>
      <c r="AT36" s="195"/>
      <c r="AU36" s="249">
        <f t="shared" si="26"/>
        <v>5.234975791387007</v>
      </c>
      <c r="AV36" s="195"/>
      <c r="AW36" s="235">
        <f t="shared" si="8"/>
        <v>-3.8179974339972587</v>
      </c>
      <c r="AX36" s="236"/>
      <c r="AY36" s="235">
        <f t="shared" si="9"/>
        <v>1.5896194985716847</v>
      </c>
      <c r="AZ36" s="237"/>
      <c r="BA36" s="250">
        <f t="shared" si="27"/>
        <v>17554.9999966</v>
      </c>
      <c r="BB36" s="251">
        <v>8000</v>
      </c>
      <c r="BC36" s="375">
        <v>0</v>
      </c>
      <c r="BD36" s="253">
        <f t="shared" si="28"/>
        <v>25554.9999966</v>
      </c>
      <c r="BE36" s="241">
        <v>982</v>
      </c>
      <c r="BF36" s="255">
        <f t="shared" si="29"/>
        <v>5.9009978485644057</v>
      </c>
      <c r="BG36" s="645">
        <v>526</v>
      </c>
      <c r="BH36" s="406">
        <f t="shared" si="30"/>
        <v>2.0583056156133139</v>
      </c>
      <c r="BI36" s="244"/>
      <c r="BJ36" s="259">
        <v>1905</v>
      </c>
      <c r="BK36" s="402">
        <f t="shared" si="31"/>
        <v>23649.9999966</v>
      </c>
      <c r="BL36" s="407">
        <f t="shared" si="32"/>
        <v>1379</v>
      </c>
      <c r="BM36" s="259">
        <f t="shared" si="35"/>
        <v>1379</v>
      </c>
      <c r="BN36" s="260">
        <f t="shared" si="33"/>
        <v>7.9196617347537783</v>
      </c>
      <c r="BO36" s="408">
        <v>494</v>
      </c>
      <c r="BP36" s="409">
        <f t="shared" si="34"/>
        <v>2.0887949263045202</v>
      </c>
      <c r="BR36" s="410" t="s">
        <v>270</v>
      </c>
    </row>
    <row r="37" spans="1:70" ht="14.25" thickTop="1" thickBot="1" x14ac:dyDescent="0.3">
      <c r="A37" s="1270" t="s">
        <v>192</v>
      </c>
      <c r="B37" s="1271"/>
      <c r="C37" s="216">
        <v>560</v>
      </c>
      <c r="D37" s="1269"/>
      <c r="E37" s="216">
        <v>24928.999996785715</v>
      </c>
      <c r="F37" s="217">
        <f t="shared" si="10"/>
        <v>44.516071422831637</v>
      </c>
      <c r="G37" s="218">
        <f t="shared" si="11"/>
        <v>9.2542821625314264</v>
      </c>
      <c r="H37" s="219">
        <v>0</v>
      </c>
      <c r="I37" s="220">
        <v>2307</v>
      </c>
      <c r="J37" s="216">
        <v>24928.999996785715</v>
      </c>
      <c r="K37" s="221">
        <f t="shared" si="12"/>
        <v>9.2542821625314256E-2</v>
      </c>
      <c r="L37" s="216">
        <v>2307</v>
      </c>
      <c r="M37" s="216">
        <v>560</v>
      </c>
      <c r="N37" s="1269"/>
      <c r="O37" s="222">
        <v>44.516071422831637</v>
      </c>
      <c r="P37" s="223">
        <f t="shared" si="13"/>
        <v>9.2542821625314264</v>
      </c>
      <c r="Q37" s="219">
        <f t="shared" si="14"/>
        <v>24928.999996785715</v>
      </c>
      <c r="R37" s="660">
        <f t="shared" si="0"/>
        <v>9.2542821625314264</v>
      </c>
      <c r="S37" s="225">
        <f t="shared" si="1"/>
        <v>1998</v>
      </c>
      <c r="T37" s="225">
        <f t="shared" si="2"/>
        <v>4345</v>
      </c>
      <c r="U37" s="225">
        <v>4305</v>
      </c>
      <c r="V37" s="222">
        <f t="shared" si="15"/>
        <v>36.828571422831637</v>
      </c>
      <c r="W37" s="226">
        <f t="shared" si="16"/>
        <v>20623.999996785715</v>
      </c>
      <c r="X37" s="227">
        <f t="shared" si="3"/>
        <v>21.067688133617025</v>
      </c>
      <c r="Y37" s="228">
        <v>2347</v>
      </c>
      <c r="Z37" s="224">
        <f t="shared" si="17"/>
        <v>11.379945696110278</v>
      </c>
      <c r="AA37" s="225">
        <f t="shared" si="18"/>
        <v>277</v>
      </c>
      <c r="AB37" s="225">
        <v>2624</v>
      </c>
      <c r="AC37" s="225">
        <f t="shared" si="19"/>
        <v>1501</v>
      </c>
      <c r="AD37" s="222">
        <f t="shared" si="4"/>
        <v>32.142857137117346</v>
      </c>
      <c r="AE37" s="226">
        <f t="shared" si="20"/>
        <v>17999.999996785715</v>
      </c>
      <c r="AF37" s="227">
        <f t="shared" si="21"/>
        <v>8.3388888903779748</v>
      </c>
      <c r="AG37" s="228">
        <v>1224</v>
      </c>
      <c r="AH37" s="660">
        <f t="shared" si="22"/>
        <v>6.8000000012142863</v>
      </c>
      <c r="AI37" s="222">
        <f t="shared" si="23"/>
        <v>-4.5799456948959918</v>
      </c>
      <c r="AJ37" s="229">
        <f t="shared" si="5"/>
        <v>-2.4542821613171402</v>
      </c>
      <c r="AK37" s="230">
        <v>0</v>
      </c>
      <c r="AL37" s="226">
        <v>2000</v>
      </c>
      <c r="AM37" s="231">
        <f t="shared" si="36"/>
        <v>2000</v>
      </c>
      <c r="AN37" s="232">
        <v>1224</v>
      </c>
      <c r="AO37" s="225">
        <v>969</v>
      </c>
      <c r="AP37" s="231">
        <f t="shared" si="24"/>
        <v>2193</v>
      </c>
      <c r="AQ37" s="230">
        <f t="shared" si="7"/>
        <v>17806.999996785715</v>
      </c>
      <c r="AR37" s="227">
        <f t="shared" si="25"/>
        <v>14.561689225967619</v>
      </c>
      <c r="AS37" s="248">
        <v>1624</v>
      </c>
      <c r="AT37" s="195"/>
      <c r="AU37" s="249">
        <f t="shared" si="26"/>
        <v>9.1200089868767513</v>
      </c>
      <c r="AV37" s="195"/>
      <c r="AW37" s="235">
        <f t="shared" si="8"/>
        <v>2.3200089856624651</v>
      </c>
      <c r="AX37" s="236"/>
      <c r="AY37" s="235">
        <f t="shared" si="9"/>
        <v>-0.13427317565467511</v>
      </c>
      <c r="AZ37" s="237"/>
      <c r="BA37" s="250">
        <f t="shared" si="27"/>
        <v>17806.999996785715</v>
      </c>
      <c r="BB37" s="251">
        <v>8000</v>
      </c>
      <c r="BC37" s="375">
        <v>0</v>
      </c>
      <c r="BD37" s="253">
        <f t="shared" si="28"/>
        <v>25806.999996785715</v>
      </c>
      <c r="BE37" s="241">
        <v>428</v>
      </c>
      <c r="BF37" s="255">
        <f t="shared" si="29"/>
        <v>16.886891155666266</v>
      </c>
      <c r="BG37" s="645">
        <v>3930</v>
      </c>
      <c r="BH37" s="256">
        <f t="shared" si="30"/>
        <v>15.228426397835801</v>
      </c>
      <c r="BI37" s="244"/>
      <c r="BJ37" s="259">
        <v>2590</v>
      </c>
      <c r="BK37" s="402">
        <f t="shared" si="31"/>
        <v>23216.999996785715</v>
      </c>
      <c r="BL37" s="259">
        <f t="shared" si="32"/>
        <v>-1340</v>
      </c>
      <c r="BM37" s="259">
        <f t="shared" si="35"/>
        <v>0</v>
      </c>
      <c r="BN37" s="260">
        <f t="shared" si="33"/>
        <v>2.6015419739140326</v>
      </c>
      <c r="BO37" s="408">
        <v>604</v>
      </c>
      <c r="BP37" s="411">
        <f t="shared" si="34"/>
        <v>2.6015419739140326</v>
      </c>
      <c r="BR37" s="411"/>
    </row>
    <row r="38" spans="1:70" ht="14.25" thickTop="1" thickBot="1" x14ac:dyDescent="0.3">
      <c r="A38" s="1270" t="s">
        <v>193</v>
      </c>
      <c r="B38" s="1271"/>
      <c r="C38" s="216">
        <v>470</v>
      </c>
      <c r="D38" s="1269"/>
      <c r="E38" s="216">
        <v>34176.999992765959</v>
      </c>
      <c r="F38" s="217">
        <f t="shared" si="10"/>
        <v>72.717021261204167</v>
      </c>
      <c r="G38" s="218">
        <f t="shared" si="11"/>
        <v>0.60567048027566628</v>
      </c>
      <c r="H38" s="219">
        <v>0</v>
      </c>
      <c r="I38" s="220">
        <v>207</v>
      </c>
      <c r="J38" s="216">
        <v>34176.999992765959</v>
      </c>
      <c r="K38" s="221">
        <f t="shared" si="12"/>
        <v>6.0567048027566628E-3</v>
      </c>
      <c r="L38" s="216">
        <v>207</v>
      </c>
      <c r="M38" s="216">
        <v>470</v>
      </c>
      <c r="N38" s="1269"/>
      <c r="O38" s="222">
        <v>72.717021261204167</v>
      </c>
      <c r="P38" s="223">
        <f t="shared" si="13"/>
        <v>0.60567048027566628</v>
      </c>
      <c r="Q38" s="219">
        <f t="shared" si="14"/>
        <v>34176.999992765959</v>
      </c>
      <c r="R38" s="660">
        <f t="shared" si="0"/>
        <v>0.60567048027566628</v>
      </c>
      <c r="S38" s="225">
        <f t="shared" si="1"/>
        <v>-207</v>
      </c>
      <c r="T38" s="225">
        <f t="shared" si="2"/>
        <v>-49</v>
      </c>
      <c r="U38" s="225">
        <v>0</v>
      </c>
      <c r="V38" s="222">
        <f t="shared" si="15"/>
        <v>72.717021261204167</v>
      </c>
      <c r="W38" s="226">
        <f t="shared" si="16"/>
        <v>34176.999992765959</v>
      </c>
      <c r="X38" s="227">
        <f t="shared" si="3"/>
        <v>-0.14337127310873257</v>
      </c>
      <c r="Y38" s="228">
        <v>158</v>
      </c>
      <c r="Z38" s="224">
        <f t="shared" si="17"/>
        <v>0.46229920716693362</v>
      </c>
      <c r="AA38" s="225">
        <f t="shared" si="18"/>
        <v>19</v>
      </c>
      <c r="AB38" s="225">
        <v>177</v>
      </c>
      <c r="AC38" s="225">
        <f t="shared" si="19"/>
        <v>77</v>
      </c>
      <c r="AD38" s="222">
        <f t="shared" si="4"/>
        <v>72.340425516523311</v>
      </c>
      <c r="AE38" s="226">
        <f t="shared" si="20"/>
        <v>33999.999992765959</v>
      </c>
      <c r="AF38" s="227">
        <f t="shared" si="21"/>
        <v>0.22647058828347932</v>
      </c>
      <c r="AG38" s="228">
        <v>58</v>
      </c>
      <c r="AH38" s="660">
        <f t="shared" si="22"/>
        <v>0.17058823533041301</v>
      </c>
      <c r="AI38" s="222">
        <f t="shared" si="23"/>
        <v>-0.29171097183652062</v>
      </c>
      <c r="AJ38" s="229">
        <f t="shared" si="5"/>
        <v>-0.43508224494525327</v>
      </c>
      <c r="AK38" s="230">
        <v>26000</v>
      </c>
      <c r="AL38" s="226">
        <v>0</v>
      </c>
      <c r="AM38" s="231">
        <f t="shared" si="36"/>
        <v>26000</v>
      </c>
      <c r="AN38" s="232">
        <v>58</v>
      </c>
      <c r="AO38" s="225">
        <v>46</v>
      </c>
      <c r="AP38" s="231">
        <f t="shared" si="24"/>
        <v>104</v>
      </c>
      <c r="AQ38" s="230">
        <f t="shared" si="7"/>
        <v>59895.999992765959</v>
      </c>
      <c r="AR38" s="227">
        <f t="shared" si="25"/>
        <v>0.50921597441705102</v>
      </c>
      <c r="AS38" s="248">
        <v>259</v>
      </c>
      <c r="AT38" s="195"/>
      <c r="AU38" s="249">
        <f t="shared" si="26"/>
        <v>0.4324161881115286</v>
      </c>
      <c r="AV38" s="195"/>
      <c r="AW38" s="235">
        <f t="shared" si="8"/>
        <v>0.26182795278111559</v>
      </c>
      <c r="AX38" s="236"/>
      <c r="AY38" s="235">
        <f t="shared" si="9"/>
        <v>-0.17325429216413768</v>
      </c>
      <c r="AZ38" s="237"/>
      <c r="BA38" s="250">
        <f t="shared" si="27"/>
        <v>59895.999992765959</v>
      </c>
      <c r="BB38" s="251"/>
      <c r="BC38" s="375">
        <v>0</v>
      </c>
      <c r="BD38" s="253">
        <f t="shared" si="28"/>
        <v>59895.999992765959</v>
      </c>
      <c r="BE38" s="241">
        <v>156</v>
      </c>
      <c r="BF38" s="255">
        <f t="shared" si="29"/>
        <v>0.63276345673463064</v>
      </c>
      <c r="BG38" s="645">
        <v>223</v>
      </c>
      <c r="BH38" s="256">
        <f t="shared" si="30"/>
        <v>0.37231200752459798</v>
      </c>
      <c r="BI38" s="244"/>
      <c r="BJ38" s="259">
        <v>235</v>
      </c>
      <c r="BK38" s="402">
        <f t="shared" si="31"/>
        <v>59660.999992765959</v>
      </c>
      <c r="BL38" s="259">
        <f t="shared" si="32"/>
        <v>12</v>
      </c>
      <c r="BM38" s="259">
        <f t="shared" si="35"/>
        <v>12</v>
      </c>
      <c r="BN38" s="260">
        <f t="shared" si="33"/>
        <v>0.35534101008314561</v>
      </c>
      <c r="BO38" s="408">
        <v>200</v>
      </c>
      <c r="BP38" s="411">
        <f t="shared" si="34"/>
        <v>0.33522736800296754</v>
      </c>
      <c r="BR38" s="411"/>
    </row>
    <row r="39" spans="1:70" ht="14.25" thickTop="1" thickBot="1" x14ac:dyDescent="0.3">
      <c r="A39" s="1270" t="s">
        <v>194</v>
      </c>
      <c r="B39" s="1271"/>
      <c r="C39" s="216">
        <v>380</v>
      </c>
      <c r="D39" s="1269"/>
      <c r="E39" s="216">
        <v>12494.999997105262</v>
      </c>
      <c r="F39" s="217">
        <f t="shared" si="10"/>
        <v>32.881578939750689</v>
      </c>
      <c r="G39" s="218">
        <f t="shared" si="11"/>
        <v>14.52581032749487</v>
      </c>
      <c r="H39" s="219">
        <v>0</v>
      </c>
      <c r="I39" s="220">
        <v>1815</v>
      </c>
      <c r="J39" s="216">
        <v>12494.999997105262</v>
      </c>
      <c r="K39" s="221">
        <f t="shared" si="12"/>
        <v>0.1452581032749487</v>
      </c>
      <c r="L39" s="216">
        <v>1815</v>
      </c>
      <c r="M39" s="216">
        <v>380</v>
      </c>
      <c r="N39" s="1269"/>
      <c r="O39" s="222">
        <v>32.881578939750689</v>
      </c>
      <c r="P39" s="223">
        <f t="shared" si="13"/>
        <v>14.52581032749487</v>
      </c>
      <c r="Q39" s="219">
        <f t="shared" si="14"/>
        <v>12494.999997105262</v>
      </c>
      <c r="R39" s="660">
        <f t="shared" si="0"/>
        <v>14.52581032749487</v>
      </c>
      <c r="S39" s="225">
        <f t="shared" si="1"/>
        <v>-1815</v>
      </c>
      <c r="T39" s="225">
        <f t="shared" si="2"/>
        <v>-477</v>
      </c>
      <c r="U39" s="225">
        <v>0</v>
      </c>
      <c r="V39" s="222">
        <f t="shared" si="15"/>
        <v>32.881578939750689</v>
      </c>
      <c r="W39" s="226">
        <f t="shared" si="16"/>
        <v>12494.999997105262</v>
      </c>
      <c r="X39" s="227">
        <f t="shared" si="3"/>
        <v>-3.8175270116887345</v>
      </c>
      <c r="Y39" s="228">
        <v>1338</v>
      </c>
      <c r="Z39" s="224">
        <f t="shared" si="17"/>
        <v>10.708283315806137</v>
      </c>
      <c r="AA39" s="225">
        <f t="shared" si="18"/>
        <v>157</v>
      </c>
      <c r="AB39" s="225">
        <v>1495</v>
      </c>
      <c r="AC39" s="225">
        <f t="shared" si="19"/>
        <v>775</v>
      </c>
      <c r="AD39" s="222">
        <f t="shared" si="4"/>
        <v>28.947368413434901</v>
      </c>
      <c r="AE39" s="226">
        <f t="shared" si="20"/>
        <v>10999.999997105262</v>
      </c>
      <c r="AF39" s="227">
        <f t="shared" si="21"/>
        <v>7.045454547308613</v>
      </c>
      <c r="AG39" s="228">
        <v>618</v>
      </c>
      <c r="AH39" s="660">
        <f t="shared" si="22"/>
        <v>5.6181818196602871</v>
      </c>
      <c r="AI39" s="222">
        <f t="shared" si="23"/>
        <v>-5.0901014961458495</v>
      </c>
      <c r="AJ39" s="229">
        <f t="shared" si="5"/>
        <v>-8.907628507834584</v>
      </c>
      <c r="AK39" s="230">
        <v>0</v>
      </c>
      <c r="AL39" s="226">
        <v>2500</v>
      </c>
      <c r="AM39" s="231">
        <f t="shared" si="36"/>
        <v>2500</v>
      </c>
      <c r="AN39" s="232">
        <v>618</v>
      </c>
      <c r="AO39" s="225">
        <v>489</v>
      </c>
      <c r="AP39" s="231">
        <f t="shared" si="24"/>
        <v>1107</v>
      </c>
      <c r="AQ39" s="230">
        <f t="shared" si="7"/>
        <v>12392.999997105262</v>
      </c>
      <c r="AR39" s="227">
        <f t="shared" si="25"/>
        <v>4.8737190360774747</v>
      </c>
      <c r="AS39" s="248">
        <v>115</v>
      </c>
      <c r="AT39" s="195"/>
      <c r="AU39" s="249">
        <f t="shared" si="26"/>
        <v>0.92794319395514835</v>
      </c>
      <c r="AV39" s="195"/>
      <c r="AW39" s="235">
        <f t="shared" si="8"/>
        <v>-4.6902386257051383</v>
      </c>
      <c r="AX39" s="236"/>
      <c r="AY39" s="235">
        <f t="shared" si="9"/>
        <v>-13.597867133539722</v>
      </c>
      <c r="AZ39" s="237"/>
      <c r="BA39" s="250">
        <f t="shared" si="27"/>
        <v>12392.999997105262</v>
      </c>
      <c r="BB39" s="251"/>
      <c r="BC39" s="375">
        <v>0</v>
      </c>
      <c r="BD39" s="253">
        <f t="shared" si="28"/>
        <v>12392.999997105262</v>
      </c>
      <c r="BE39" s="241">
        <v>67</v>
      </c>
      <c r="BF39" s="255">
        <f t="shared" si="29"/>
        <v>3.0339707906707458</v>
      </c>
      <c r="BG39" s="645">
        <v>309</v>
      </c>
      <c r="BH39" s="256">
        <f t="shared" si="30"/>
        <v>2.4933430168012247</v>
      </c>
      <c r="BI39" s="244"/>
      <c r="BJ39" s="259">
        <v>359</v>
      </c>
      <c r="BK39" s="402">
        <f t="shared" si="31"/>
        <v>12033.999997105262</v>
      </c>
      <c r="BL39" s="259">
        <f t="shared" si="32"/>
        <v>50</v>
      </c>
      <c r="BM39" s="259">
        <f t="shared" si="35"/>
        <v>50</v>
      </c>
      <c r="BN39" s="260">
        <f t="shared" si="33"/>
        <v>1.5040717969381663</v>
      </c>
      <c r="BO39" s="408">
        <v>131</v>
      </c>
      <c r="BP39" s="411">
        <f t="shared" si="34"/>
        <v>1.0885823502701646</v>
      </c>
      <c r="BR39" s="411"/>
    </row>
    <row r="40" spans="1:70" ht="14.25" thickTop="1" thickBot="1" x14ac:dyDescent="0.3">
      <c r="A40" s="1270" t="s">
        <v>195</v>
      </c>
      <c r="B40" s="1271"/>
      <c r="C40" s="216">
        <v>270</v>
      </c>
      <c r="D40" s="1269"/>
      <c r="E40" s="216">
        <v>10739.999996666666</v>
      </c>
      <c r="F40" s="217">
        <f t="shared" si="10"/>
        <v>39.777777765432091</v>
      </c>
      <c r="G40" s="218">
        <f t="shared" si="11"/>
        <v>20.502793302452762</v>
      </c>
      <c r="H40" s="219">
        <v>0</v>
      </c>
      <c r="I40" s="220">
        <v>2202</v>
      </c>
      <c r="J40" s="216">
        <v>10739.999996666666</v>
      </c>
      <c r="K40" s="221">
        <f t="shared" si="12"/>
        <v>0.20502793302452763</v>
      </c>
      <c r="L40" s="216">
        <v>2202</v>
      </c>
      <c r="M40" s="216">
        <v>270</v>
      </c>
      <c r="N40" s="1269"/>
      <c r="O40" s="222">
        <v>39.777777765432091</v>
      </c>
      <c r="P40" s="223">
        <f t="shared" si="13"/>
        <v>20.502793302452762</v>
      </c>
      <c r="Q40" s="219">
        <f t="shared" si="14"/>
        <v>10739.999996666666</v>
      </c>
      <c r="R40" s="660">
        <f t="shared" si="0"/>
        <v>20.502793302452762</v>
      </c>
      <c r="S40" s="225">
        <f t="shared" si="1"/>
        <v>-2202</v>
      </c>
      <c r="T40" s="225">
        <f t="shared" si="2"/>
        <v>-646</v>
      </c>
      <c r="U40" s="225">
        <v>0</v>
      </c>
      <c r="V40" s="222">
        <f t="shared" si="15"/>
        <v>39.777777765432091</v>
      </c>
      <c r="W40" s="226">
        <f t="shared" si="16"/>
        <v>10739.999996666666</v>
      </c>
      <c r="X40" s="227">
        <f t="shared" si="3"/>
        <v>-6.014897581010211</v>
      </c>
      <c r="Y40" s="228">
        <v>1556</v>
      </c>
      <c r="Z40" s="224">
        <f t="shared" si="17"/>
        <v>14.48789572144255</v>
      </c>
      <c r="AA40" s="225">
        <f t="shared" si="18"/>
        <v>184</v>
      </c>
      <c r="AB40" s="225">
        <v>1740</v>
      </c>
      <c r="AC40" s="225">
        <f t="shared" si="19"/>
        <v>1082</v>
      </c>
      <c r="AD40" s="222">
        <f t="shared" si="4"/>
        <v>33.333333320987649</v>
      </c>
      <c r="AE40" s="226">
        <f t="shared" si="20"/>
        <v>8999.9999966666655</v>
      </c>
      <c r="AF40" s="227">
        <f t="shared" si="21"/>
        <v>12.022222226674899</v>
      </c>
      <c r="AG40" s="228">
        <v>898</v>
      </c>
      <c r="AH40" s="660">
        <f t="shared" si="22"/>
        <v>9.9777777814732538</v>
      </c>
      <c r="AI40" s="222">
        <f t="shared" si="23"/>
        <v>-4.5101179399692963</v>
      </c>
      <c r="AJ40" s="229">
        <f t="shared" si="5"/>
        <v>-10.525015520979508</v>
      </c>
      <c r="AK40" s="230">
        <v>0</v>
      </c>
      <c r="AL40" s="226">
        <v>2500</v>
      </c>
      <c r="AM40" s="231">
        <f t="shared" si="36"/>
        <v>2500</v>
      </c>
      <c r="AN40" s="232">
        <v>898</v>
      </c>
      <c r="AO40" s="225">
        <v>711</v>
      </c>
      <c r="AP40" s="231">
        <f t="shared" si="24"/>
        <v>1609</v>
      </c>
      <c r="AQ40" s="230">
        <f t="shared" si="7"/>
        <v>9890.9999966666655</v>
      </c>
      <c r="AR40" s="227">
        <f t="shared" si="25"/>
        <v>21.271863317248634</v>
      </c>
      <c r="AS40" s="248">
        <v>1393</v>
      </c>
      <c r="AT40" s="195"/>
      <c r="AU40" s="249">
        <f t="shared" si="26"/>
        <v>14.083510266600449</v>
      </c>
      <c r="AV40" s="195"/>
      <c r="AW40" s="235">
        <f t="shared" si="8"/>
        <v>4.105732485127195</v>
      </c>
      <c r="AX40" s="236"/>
      <c r="AY40" s="235">
        <f t="shared" si="9"/>
        <v>-6.4192830358523132</v>
      </c>
      <c r="AZ40" s="237"/>
      <c r="BA40" s="250">
        <f t="shared" si="27"/>
        <v>9890.9999966666655</v>
      </c>
      <c r="BB40" s="251"/>
      <c r="BC40" s="375">
        <v>0</v>
      </c>
      <c r="BD40" s="253">
        <f t="shared" si="28"/>
        <v>9890.9999966666655</v>
      </c>
      <c r="BE40" s="241">
        <v>768</v>
      </c>
      <c r="BF40" s="255">
        <f t="shared" si="29"/>
        <v>16.095440304686228</v>
      </c>
      <c r="BG40" s="645">
        <v>824</v>
      </c>
      <c r="BH40" s="256">
        <f t="shared" si="30"/>
        <v>8.330805785842621</v>
      </c>
      <c r="BI40" s="244"/>
      <c r="BJ40" s="259">
        <v>1725</v>
      </c>
      <c r="BK40" s="402">
        <f t="shared" si="31"/>
        <v>8165.9999966666655</v>
      </c>
      <c r="BL40" s="259">
        <f t="shared" si="32"/>
        <v>901</v>
      </c>
      <c r="BM40" s="259">
        <f t="shared" si="35"/>
        <v>901</v>
      </c>
      <c r="BN40" s="260">
        <f t="shared" si="33"/>
        <v>17.119764885753845</v>
      </c>
      <c r="BO40" s="408">
        <v>497</v>
      </c>
      <c r="BP40" s="411">
        <f t="shared" si="34"/>
        <v>6.0862111217594137</v>
      </c>
      <c r="BR40" s="411"/>
    </row>
    <row r="41" spans="1:70" ht="14.25" thickTop="1" thickBot="1" x14ac:dyDescent="0.3">
      <c r="A41" s="1270" t="s">
        <v>196</v>
      </c>
      <c r="B41" s="1271"/>
      <c r="C41" s="216">
        <v>910</v>
      </c>
      <c r="D41" s="1269"/>
      <c r="E41" s="216">
        <v>32108.999996593408</v>
      </c>
      <c r="F41" s="217">
        <f t="shared" si="10"/>
        <v>35.284615380871877</v>
      </c>
      <c r="G41" s="218">
        <f t="shared" si="11"/>
        <v>2.8652402756162045</v>
      </c>
      <c r="H41" s="219">
        <v>0</v>
      </c>
      <c r="I41" s="220">
        <v>920</v>
      </c>
      <c r="J41" s="216">
        <v>32108.999996593408</v>
      </c>
      <c r="K41" s="221">
        <f t="shared" si="12"/>
        <v>2.8652402756162043E-2</v>
      </c>
      <c r="L41" s="216">
        <v>920</v>
      </c>
      <c r="M41" s="216">
        <v>910</v>
      </c>
      <c r="N41" s="1269"/>
      <c r="O41" s="222">
        <v>35.284615380871877</v>
      </c>
      <c r="P41" s="223">
        <f t="shared" si="13"/>
        <v>2.8652402756162045</v>
      </c>
      <c r="Q41" s="219">
        <f t="shared" si="14"/>
        <v>32108.999996593408</v>
      </c>
      <c r="R41" s="660">
        <f t="shared" si="0"/>
        <v>2.8652402756162045</v>
      </c>
      <c r="S41" s="225">
        <f t="shared" si="1"/>
        <v>-385</v>
      </c>
      <c r="T41" s="225">
        <f t="shared" si="2"/>
        <v>128</v>
      </c>
      <c r="U41" s="225">
        <v>535</v>
      </c>
      <c r="V41" s="222">
        <f t="shared" si="15"/>
        <v>34.696703292959789</v>
      </c>
      <c r="W41" s="226">
        <f t="shared" si="16"/>
        <v>31573.999996593408</v>
      </c>
      <c r="X41" s="227">
        <f t="shared" si="3"/>
        <v>0.40539684554953515</v>
      </c>
      <c r="Y41" s="228">
        <v>513</v>
      </c>
      <c r="Z41" s="224">
        <f t="shared" si="17"/>
        <v>1.6247545450539962</v>
      </c>
      <c r="AA41" s="225">
        <f t="shared" si="18"/>
        <v>61</v>
      </c>
      <c r="AB41" s="225">
        <v>574</v>
      </c>
      <c r="AC41" s="225">
        <f t="shared" si="19"/>
        <v>479</v>
      </c>
      <c r="AD41" s="222">
        <f t="shared" si="4"/>
        <v>34.065934062190557</v>
      </c>
      <c r="AE41" s="226">
        <f t="shared" si="20"/>
        <v>30999.999996593408</v>
      </c>
      <c r="AF41" s="227">
        <f t="shared" si="21"/>
        <v>1.5451612904923786</v>
      </c>
      <c r="AG41" s="228">
        <v>418</v>
      </c>
      <c r="AH41" s="660">
        <f t="shared" si="22"/>
        <v>1.3483870969223679</v>
      </c>
      <c r="AI41" s="222">
        <f t="shared" si="23"/>
        <v>-0.27636744813162828</v>
      </c>
      <c r="AJ41" s="229">
        <f t="shared" si="5"/>
        <v>-1.5168531786938366</v>
      </c>
      <c r="AK41" s="230">
        <v>0</v>
      </c>
      <c r="AL41" s="226">
        <v>2000</v>
      </c>
      <c r="AM41" s="231">
        <f t="shared" si="36"/>
        <v>2000</v>
      </c>
      <c r="AN41" s="232">
        <v>418</v>
      </c>
      <c r="AO41" s="225">
        <v>216</v>
      </c>
      <c r="AP41" s="231">
        <f t="shared" si="24"/>
        <v>634</v>
      </c>
      <c r="AQ41" s="230">
        <f t="shared" si="7"/>
        <v>32365.999996593411</v>
      </c>
      <c r="AR41" s="227">
        <f t="shared" si="25"/>
        <v>2.7281715383208849</v>
      </c>
      <c r="AS41" s="248">
        <v>667</v>
      </c>
      <c r="AT41" s="195"/>
      <c r="AU41" s="249">
        <f t="shared" si="26"/>
        <v>2.0608045481993549</v>
      </c>
      <c r="AV41" s="195"/>
      <c r="AW41" s="235">
        <f t="shared" si="8"/>
        <v>0.71241745127698697</v>
      </c>
      <c r="AX41" s="236"/>
      <c r="AY41" s="235">
        <f t="shared" si="9"/>
        <v>-0.80443572741684966</v>
      </c>
      <c r="AZ41" s="237"/>
      <c r="BA41" s="250">
        <f t="shared" si="27"/>
        <v>32365.999996593411</v>
      </c>
      <c r="BB41" s="251"/>
      <c r="BC41" s="375">
        <v>0</v>
      </c>
      <c r="BD41" s="253">
        <f t="shared" si="28"/>
        <v>32365.999996593411</v>
      </c>
      <c r="BE41" s="241">
        <v>906</v>
      </c>
      <c r="BF41" s="255">
        <f t="shared" si="29"/>
        <v>4.2390162520682377</v>
      </c>
      <c r="BG41" s="645">
        <v>466</v>
      </c>
      <c r="BH41" s="256">
        <f t="shared" si="30"/>
        <v>1.4397824879473753</v>
      </c>
      <c r="BI41" s="244"/>
      <c r="BJ41" s="259">
        <v>726</v>
      </c>
      <c r="BK41" s="402">
        <f t="shared" si="31"/>
        <v>31639.999996593411</v>
      </c>
      <c r="BL41" s="259">
        <f t="shared" si="32"/>
        <v>260</v>
      </c>
      <c r="BM41" s="259">
        <f t="shared" si="35"/>
        <v>260</v>
      </c>
      <c r="BN41" s="260">
        <f t="shared" si="33"/>
        <v>2.4968394440109263</v>
      </c>
      <c r="BO41" s="408">
        <v>530</v>
      </c>
      <c r="BP41" s="411">
        <f t="shared" si="34"/>
        <v>1.6750948168680897</v>
      </c>
      <c r="BR41" s="411"/>
    </row>
    <row r="42" spans="1:70" ht="14.25" thickTop="1" thickBot="1" x14ac:dyDescent="0.3">
      <c r="A42" s="1274" t="s">
        <v>197</v>
      </c>
      <c r="B42" s="1275"/>
      <c r="C42" s="261">
        <v>1540</v>
      </c>
      <c r="D42" s="1276"/>
      <c r="E42" s="261">
        <v>70826.99999551948</v>
      </c>
      <c r="F42" s="262">
        <f t="shared" si="10"/>
        <v>45.991558438649015</v>
      </c>
      <c r="G42" s="218">
        <f t="shared" si="11"/>
        <v>2.4284524264882137</v>
      </c>
      <c r="H42" s="322">
        <v>0</v>
      </c>
      <c r="I42" s="264">
        <v>1720</v>
      </c>
      <c r="J42" s="261">
        <v>70826.99999551948</v>
      </c>
      <c r="K42" s="265">
        <f t="shared" si="12"/>
        <v>2.4284524264882139E-2</v>
      </c>
      <c r="L42" s="261">
        <v>1720</v>
      </c>
      <c r="M42" s="261">
        <v>1540</v>
      </c>
      <c r="N42" s="1276"/>
      <c r="O42" s="325">
        <v>45.991558438649015</v>
      </c>
      <c r="P42" s="326">
        <f t="shared" si="13"/>
        <v>2.4284524264882137</v>
      </c>
      <c r="Q42" s="322">
        <f t="shared" si="14"/>
        <v>70826.99999551948</v>
      </c>
      <c r="R42" s="663">
        <f t="shared" si="0"/>
        <v>2.4284524264882137</v>
      </c>
      <c r="S42" s="377">
        <f t="shared" si="1"/>
        <v>-666</v>
      </c>
      <c r="T42" s="377">
        <f t="shared" si="2"/>
        <v>25</v>
      </c>
      <c r="U42" s="377">
        <v>1054</v>
      </c>
      <c r="V42" s="325">
        <f t="shared" si="15"/>
        <v>45.307142854233426</v>
      </c>
      <c r="W42" s="328">
        <f t="shared" si="16"/>
        <v>69772.99999551948</v>
      </c>
      <c r="X42" s="329">
        <f t="shared" si="3"/>
        <v>3.5830478840820072E-2</v>
      </c>
      <c r="Y42" s="378">
        <v>691</v>
      </c>
      <c r="Z42" s="327">
        <f t="shared" si="17"/>
        <v>0.99035443516026689</v>
      </c>
      <c r="AA42" s="377">
        <f t="shared" si="18"/>
        <v>82</v>
      </c>
      <c r="AB42" s="377">
        <v>773</v>
      </c>
      <c r="AC42" s="377">
        <f t="shared" si="19"/>
        <v>617</v>
      </c>
      <c r="AD42" s="325">
        <f t="shared" si="4"/>
        <v>44.805194802285378</v>
      </c>
      <c r="AE42" s="328">
        <f t="shared" si="20"/>
        <v>68999.99999551948</v>
      </c>
      <c r="AF42" s="329">
        <f t="shared" si="21"/>
        <v>0.89420289860878988</v>
      </c>
      <c r="AG42" s="378">
        <v>535</v>
      </c>
      <c r="AH42" s="663">
        <f t="shared" si="22"/>
        <v>0.77536231889092788</v>
      </c>
      <c r="AI42" s="325">
        <f t="shared" si="23"/>
        <v>-0.21499211626933901</v>
      </c>
      <c r="AJ42" s="331">
        <f t="shared" si="5"/>
        <v>-1.6530901075972859</v>
      </c>
      <c r="AK42" s="332">
        <v>0</v>
      </c>
      <c r="AL42" s="328">
        <v>3000</v>
      </c>
      <c r="AM42" s="333">
        <f t="shared" si="36"/>
        <v>3000</v>
      </c>
      <c r="AN42" s="379">
        <v>535</v>
      </c>
      <c r="AO42" s="377">
        <v>539</v>
      </c>
      <c r="AP42" s="275">
        <f t="shared" si="24"/>
        <v>1074</v>
      </c>
      <c r="AQ42" s="332">
        <f t="shared" si="7"/>
        <v>70925.99999551948</v>
      </c>
      <c r="AR42" s="329">
        <f t="shared" si="25"/>
        <v>1.1490849618637524</v>
      </c>
      <c r="AS42" s="336">
        <v>276</v>
      </c>
      <c r="AT42" s="195"/>
      <c r="AU42" s="337">
        <f t="shared" si="26"/>
        <v>0.38913797481520934</v>
      </c>
      <c r="AV42" s="195"/>
      <c r="AW42" s="338">
        <f t="shared" si="8"/>
        <v>-0.38622434407571854</v>
      </c>
      <c r="AX42" s="236"/>
      <c r="AY42" s="338">
        <f t="shared" si="9"/>
        <v>-2.0393144516730044</v>
      </c>
      <c r="AZ42" s="237"/>
      <c r="BA42" s="280">
        <f t="shared" si="27"/>
        <v>70925.99999551948</v>
      </c>
      <c r="BB42" s="281"/>
      <c r="BC42" s="381">
        <v>0</v>
      </c>
      <c r="BD42" s="283">
        <f t="shared" si="28"/>
        <v>70925.99999551948</v>
      </c>
      <c r="BE42" s="382">
        <v>160</v>
      </c>
      <c r="BF42" s="285">
        <f t="shared" si="29"/>
        <v>0.9742548572366293</v>
      </c>
      <c r="BG42" s="650">
        <v>531</v>
      </c>
      <c r="BH42" s="286">
        <f t="shared" si="30"/>
        <v>0.74866762545969623</v>
      </c>
      <c r="BI42" s="287"/>
      <c r="BJ42" s="290">
        <v>955</v>
      </c>
      <c r="BK42" s="402">
        <f t="shared" si="31"/>
        <v>69970.99999551948</v>
      </c>
      <c r="BL42" s="290">
        <f t="shared" si="32"/>
        <v>424</v>
      </c>
      <c r="BM42" s="290">
        <f t="shared" si="35"/>
        <v>424</v>
      </c>
      <c r="BN42" s="291">
        <f t="shared" si="33"/>
        <v>1.2633805434488661</v>
      </c>
      <c r="BO42" s="412">
        <v>460</v>
      </c>
      <c r="BP42" s="413">
        <f t="shared" si="34"/>
        <v>0.65741521491683064</v>
      </c>
      <c r="BR42" s="413"/>
    </row>
    <row r="43" spans="1:70" ht="14.25" thickTop="1" thickBot="1" x14ac:dyDescent="0.3">
      <c r="A43" s="1266" t="s">
        <v>198</v>
      </c>
      <c r="B43" s="1267"/>
      <c r="C43" s="386">
        <v>350</v>
      </c>
      <c r="D43" s="1268">
        <f>SUM(C43:C47)</f>
        <v>4070</v>
      </c>
      <c r="E43" s="386">
        <v>30022.999992857141</v>
      </c>
      <c r="F43" s="387">
        <f t="shared" si="10"/>
        <v>85.779999979591835</v>
      </c>
      <c r="G43" s="218">
        <f t="shared" si="11"/>
        <v>6.4117509924324096</v>
      </c>
      <c r="H43" s="294">
        <v>1786</v>
      </c>
      <c r="I43" s="388">
        <v>1925</v>
      </c>
      <c r="J43" s="386">
        <v>30022.999992857141</v>
      </c>
      <c r="K43" s="389">
        <f t="shared" si="12"/>
        <v>6.4117509924324093E-2</v>
      </c>
      <c r="L43" s="386">
        <v>139</v>
      </c>
      <c r="M43" s="386">
        <v>350</v>
      </c>
      <c r="N43" s="1268">
        <f>SUM(M43:M47)</f>
        <v>4070</v>
      </c>
      <c r="O43" s="297">
        <v>80.677142836734689</v>
      </c>
      <c r="P43" s="298">
        <f t="shared" si="13"/>
        <v>0.49226192596650337</v>
      </c>
      <c r="Q43" s="294">
        <f t="shared" si="14"/>
        <v>28236.999992857141</v>
      </c>
      <c r="R43" s="662">
        <f t="shared" si="0"/>
        <v>0.49226192596650337</v>
      </c>
      <c r="S43" s="349">
        <f t="shared" si="1"/>
        <v>-139</v>
      </c>
      <c r="T43" s="349">
        <f t="shared" si="2"/>
        <v>1159</v>
      </c>
      <c r="U43" s="349">
        <v>0</v>
      </c>
      <c r="V43" s="297">
        <f t="shared" si="15"/>
        <v>80.677142836734689</v>
      </c>
      <c r="W43" s="300">
        <f t="shared" si="16"/>
        <v>28236.999992857141</v>
      </c>
      <c r="X43" s="350">
        <f t="shared" si="3"/>
        <v>4.1045436848573917</v>
      </c>
      <c r="Y43" s="351">
        <v>1298</v>
      </c>
      <c r="Z43" s="299">
        <f t="shared" si="17"/>
        <v>4.5968056108238953</v>
      </c>
      <c r="AA43" s="349">
        <f t="shared" si="18"/>
        <v>153</v>
      </c>
      <c r="AB43" s="349">
        <v>1451</v>
      </c>
      <c r="AC43" s="349">
        <f t="shared" si="19"/>
        <v>660</v>
      </c>
      <c r="AD43" s="297">
        <f t="shared" si="4"/>
        <v>76.531428551020397</v>
      </c>
      <c r="AE43" s="300">
        <f t="shared" si="20"/>
        <v>26785.999992857141</v>
      </c>
      <c r="AF43" s="350">
        <f t="shared" si="21"/>
        <v>2.4639737182707315</v>
      </c>
      <c r="AG43" s="351">
        <v>507</v>
      </c>
      <c r="AH43" s="662">
        <f t="shared" si="22"/>
        <v>1.8927798108534257</v>
      </c>
      <c r="AI43" s="297">
        <f t="shared" si="23"/>
        <v>-2.7040257999704695</v>
      </c>
      <c r="AJ43" s="303">
        <f t="shared" si="5"/>
        <v>1.4005178848869224</v>
      </c>
      <c r="AK43" s="304">
        <v>0</v>
      </c>
      <c r="AL43" s="300"/>
      <c r="AM43" s="305">
        <f t="shared" si="36"/>
        <v>0</v>
      </c>
      <c r="AN43" s="352">
        <v>507</v>
      </c>
      <c r="AO43" s="349">
        <v>288</v>
      </c>
      <c r="AP43" s="305">
        <f t="shared" si="24"/>
        <v>795</v>
      </c>
      <c r="AQ43" s="304">
        <f t="shared" si="7"/>
        <v>25990.999992857141</v>
      </c>
      <c r="AR43" s="350">
        <f t="shared" si="25"/>
        <v>2.0083875193084388</v>
      </c>
      <c r="AS43" s="353">
        <v>234</v>
      </c>
      <c r="AT43" s="195"/>
      <c r="AU43" s="309">
        <f t="shared" si="26"/>
        <v>0.90031164658654139</v>
      </c>
      <c r="AV43" s="195"/>
      <c r="AW43" s="310">
        <f t="shared" si="8"/>
        <v>-0.99246816426688433</v>
      </c>
      <c r="AX43" s="236"/>
      <c r="AY43" s="310">
        <f t="shared" si="9"/>
        <v>0.40804972062003803</v>
      </c>
      <c r="AZ43" s="237"/>
      <c r="BA43" s="311">
        <f t="shared" si="27"/>
        <v>25990.999992857141</v>
      </c>
      <c r="BB43" s="390"/>
      <c r="BC43" s="313">
        <v>0</v>
      </c>
      <c r="BD43" s="314">
        <f t="shared" si="28"/>
        <v>25990.999992857141</v>
      </c>
      <c r="BE43" s="254">
        <v>34</v>
      </c>
      <c r="BF43" s="391">
        <f t="shared" si="29"/>
        <v>0.54634296502260205</v>
      </c>
      <c r="BG43" s="646">
        <v>108</v>
      </c>
      <c r="BH43" s="316">
        <f t="shared" si="30"/>
        <v>0.41552845227071139</v>
      </c>
      <c r="BI43" s="317">
        <v>10000</v>
      </c>
      <c r="BJ43" s="318">
        <v>184</v>
      </c>
      <c r="BK43" s="402">
        <f t="shared" si="31"/>
        <v>35806.999992857141</v>
      </c>
      <c r="BL43" s="318">
        <f t="shared" si="32"/>
        <v>76</v>
      </c>
      <c r="BM43" s="318">
        <f t="shared" si="35"/>
        <v>76</v>
      </c>
      <c r="BN43" s="319">
        <f t="shared" si="33"/>
        <v>0.2122490016342074</v>
      </c>
      <c r="BO43" s="318"/>
      <c r="BP43" s="318">
        <f t="shared" si="34"/>
        <v>0</v>
      </c>
      <c r="BR43" s="318"/>
    </row>
    <row r="44" spans="1:70" ht="14.25" thickTop="1" thickBot="1" x14ac:dyDescent="0.3">
      <c r="A44" s="1270" t="s">
        <v>199</v>
      </c>
      <c r="B44" s="1271"/>
      <c r="C44" s="216">
        <v>1310</v>
      </c>
      <c r="D44" s="1269"/>
      <c r="E44" s="216">
        <v>69760.999994885497</v>
      </c>
      <c r="F44" s="217">
        <f t="shared" si="10"/>
        <v>53.252671751820991</v>
      </c>
      <c r="G44" s="218">
        <f t="shared" si="11"/>
        <v>1.7946990440099626</v>
      </c>
      <c r="H44" s="219">
        <v>1040</v>
      </c>
      <c r="I44" s="220">
        <v>1252</v>
      </c>
      <c r="J44" s="216">
        <v>69760.999994885497</v>
      </c>
      <c r="K44" s="221">
        <f t="shared" si="12"/>
        <v>1.7946990440099626E-2</v>
      </c>
      <c r="L44" s="216">
        <v>212</v>
      </c>
      <c r="M44" s="216">
        <v>1310</v>
      </c>
      <c r="N44" s="1269"/>
      <c r="O44" s="222">
        <v>52.458778622049998</v>
      </c>
      <c r="P44" s="223">
        <f t="shared" si="13"/>
        <v>0.30849376466549949</v>
      </c>
      <c r="Q44" s="219">
        <f t="shared" si="14"/>
        <v>68720.999994885497</v>
      </c>
      <c r="R44" s="660">
        <f t="shared" si="0"/>
        <v>0.30849376466549949</v>
      </c>
      <c r="S44" s="225">
        <f t="shared" si="1"/>
        <v>-212</v>
      </c>
      <c r="T44" s="225">
        <f t="shared" si="2"/>
        <v>397</v>
      </c>
      <c r="U44" s="225">
        <v>0</v>
      </c>
      <c r="V44" s="222">
        <f t="shared" si="15"/>
        <v>52.458778622049998</v>
      </c>
      <c r="W44" s="226">
        <f t="shared" si="16"/>
        <v>68720.999994885497</v>
      </c>
      <c r="X44" s="227">
        <f t="shared" si="3"/>
        <v>0.57769822911416657</v>
      </c>
      <c r="Y44" s="228">
        <v>609</v>
      </c>
      <c r="Z44" s="224">
        <f t="shared" si="17"/>
        <v>0.88619199377966607</v>
      </c>
      <c r="AA44" s="225">
        <f t="shared" si="18"/>
        <v>72</v>
      </c>
      <c r="AB44" s="225">
        <v>681</v>
      </c>
      <c r="AC44" s="225">
        <f t="shared" si="19"/>
        <v>313</v>
      </c>
      <c r="AD44" s="222">
        <f t="shared" si="4"/>
        <v>51.938931293805723</v>
      </c>
      <c r="AE44" s="226">
        <f t="shared" si="20"/>
        <v>68039.999994885497</v>
      </c>
      <c r="AF44" s="227">
        <f t="shared" si="21"/>
        <v>0.46002351561365068</v>
      </c>
      <c r="AG44" s="228">
        <v>241</v>
      </c>
      <c r="AH44" s="660">
        <f t="shared" si="22"/>
        <v>0.35420340978559045</v>
      </c>
      <c r="AI44" s="222">
        <f t="shared" si="23"/>
        <v>-0.53198858399407567</v>
      </c>
      <c r="AJ44" s="229">
        <f t="shared" si="5"/>
        <v>4.5709645120090958E-2</v>
      </c>
      <c r="AK44" s="230">
        <v>0</v>
      </c>
      <c r="AL44" s="226"/>
      <c r="AM44" s="231">
        <f t="shared" si="36"/>
        <v>0</v>
      </c>
      <c r="AN44" s="232">
        <v>241</v>
      </c>
      <c r="AO44" s="225">
        <v>144</v>
      </c>
      <c r="AP44" s="231">
        <f t="shared" si="24"/>
        <v>385</v>
      </c>
      <c r="AQ44" s="230">
        <f t="shared" si="7"/>
        <v>67654.999994885497</v>
      </c>
      <c r="AR44" s="227">
        <f t="shared" si="25"/>
        <v>0.42273298355128325</v>
      </c>
      <c r="AS44" s="248">
        <v>142</v>
      </c>
      <c r="AT44" s="195"/>
      <c r="AU44" s="249">
        <f t="shared" si="26"/>
        <v>0.20988840442056722</v>
      </c>
      <c r="AV44" s="195"/>
      <c r="AW44" s="235">
        <f t="shared" si="8"/>
        <v>-0.14431500536502323</v>
      </c>
      <c r="AX44" s="236"/>
      <c r="AY44" s="235">
        <f t="shared" si="9"/>
        <v>-9.8605360244932272E-2</v>
      </c>
      <c r="AZ44" s="237"/>
      <c r="BA44" s="250">
        <f t="shared" si="27"/>
        <v>67654.999994885497</v>
      </c>
      <c r="BB44" s="251"/>
      <c r="BC44" s="360">
        <v>0</v>
      </c>
      <c r="BD44" s="253">
        <f t="shared" si="28"/>
        <v>67654.999994885497</v>
      </c>
      <c r="BE44" s="254">
        <v>21</v>
      </c>
      <c r="BF44" s="255">
        <f t="shared" si="29"/>
        <v>0.14485256079729286</v>
      </c>
      <c r="BG44" s="648">
        <v>77</v>
      </c>
      <c r="BH44" s="256">
        <f t="shared" si="30"/>
        <v>0.1138127263407301</v>
      </c>
      <c r="BI44" s="244"/>
      <c r="BJ44" s="259">
        <v>90</v>
      </c>
      <c r="BK44" s="402">
        <f t="shared" si="31"/>
        <v>67564.999994885497</v>
      </c>
      <c r="BL44" s="259">
        <f t="shared" si="32"/>
        <v>13</v>
      </c>
      <c r="BM44" s="259">
        <f t="shared" si="35"/>
        <v>13</v>
      </c>
      <c r="BN44" s="260">
        <f t="shared" si="33"/>
        <v>1.9240731149240093E-2</v>
      </c>
      <c r="BO44" s="259"/>
      <c r="BP44" s="259">
        <f t="shared" si="34"/>
        <v>0</v>
      </c>
      <c r="BR44" s="259"/>
    </row>
    <row r="45" spans="1:70" ht="14.25" thickTop="1" thickBot="1" x14ac:dyDescent="0.3">
      <c r="A45" s="1270" t="s">
        <v>200</v>
      </c>
      <c r="B45" s="1271"/>
      <c r="C45" s="216">
        <v>1370</v>
      </c>
      <c r="D45" s="1269"/>
      <c r="E45" s="216">
        <v>127867.99999131385</v>
      </c>
      <c r="F45" s="217">
        <f t="shared" si="10"/>
        <v>93.334306563002812</v>
      </c>
      <c r="G45" s="218">
        <f t="shared" si="11"/>
        <v>1.1183407890145625</v>
      </c>
      <c r="H45" s="219">
        <v>0</v>
      </c>
      <c r="I45" s="220">
        <v>1430</v>
      </c>
      <c r="J45" s="216">
        <v>127867.99999131385</v>
      </c>
      <c r="K45" s="221">
        <f t="shared" si="12"/>
        <v>1.1183407890145625E-2</v>
      </c>
      <c r="L45" s="216">
        <v>1430</v>
      </c>
      <c r="M45" s="216">
        <v>1370</v>
      </c>
      <c r="N45" s="1269"/>
      <c r="O45" s="222">
        <v>93.334306563002812</v>
      </c>
      <c r="P45" s="223">
        <f t="shared" si="13"/>
        <v>1.1183407890145625</v>
      </c>
      <c r="Q45" s="219">
        <f t="shared" si="14"/>
        <v>127867.99999131385</v>
      </c>
      <c r="R45" s="660">
        <f t="shared" si="0"/>
        <v>1.1183407890145625</v>
      </c>
      <c r="S45" s="225">
        <f t="shared" si="1"/>
        <v>588</v>
      </c>
      <c r="T45" s="225">
        <f t="shared" si="2"/>
        <v>6714</v>
      </c>
      <c r="U45" s="225">
        <v>2018</v>
      </c>
      <c r="V45" s="222">
        <f t="shared" si="15"/>
        <v>91.86131386227288</v>
      </c>
      <c r="W45" s="226">
        <f t="shared" si="16"/>
        <v>125849.99999131385</v>
      </c>
      <c r="X45" s="227">
        <f t="shared" si="3"/>
        <v>5.3349225271858556</v>
      </c>
      <c r="Y45" s="228">
        <v>6126</v>
      </c>
      <c r="Z45" s="224">
        <f t="shared" si="17"/>
        <v>4.8676996427674339</v>
      </c>
      <c r="AA45" s="225">
        <f t="shared" si="18"/>
        <v>724</v>
      </c>
      <c r="AB45" s="225">
        <v>6850</v>
      </c>
      <c r="AC45" s="225">
        <f t="shared" si="19"/>
        <v>1875</v>
      </c>
      <c r="AD45" s="222">
        <f t="shared" si="4"/>
        <v>86.86131386227288</v>
      </c>
      <c r="AE45" s="226">
        <f t="shared" si="20"/>
        <v>118999.99999131385</v>
      </c>
      <c r="AF45" s="227">
        <f t="shared" si="21"/>
        <v>1.5756302522158501</v>
      </c>
      <c r="AG45" s="228">
        <v>1151</v>
      </c>
      <c r="AH45" s="660">
        <f t="shared" si="22"/>
        <v>0.96722689082690327</v>
      </c>
      <c r="AI45" s="222">
        <f t="shared" si="23"/>
        <v>-3.9004727519405309</v>
      </c>
      <c r="AJ45" s="229">
        <f t="shared" si="5"/>
        <v>-0.15111389818765919</v>
      </c>
      <c r="AK45" s="230">
        <v>0</v>
      </c>
      <c r="AL45" s="226"/>
      <c r="AM45" s="231">
        <f t="shared" si="36"/>
        <v>0</v>
      </c>
      <c r="AN45" s="232">
        <v>1151</v>
      </c>
      <c r="AO45" s="225">
        <v>871</v>
      </c>
      <c r="AP45" s="231">
        <f t="shared" si="24"/>
        <v>2022</v>
      </c>
      <c r="AQ45" s="230">
        <f t="shared" si="7"/>
        <v>116977.99999131385</v>
      </c>
      <c r="AR45" s="227">
        <f t="shared" si="25"/>
        <v>1.2899861513379014</v>
      </c>
      <c r="AS45" s="248">
        <v>638</v>
      </c>
      <c r="AT45" s="195"/>
      <c r="AU45" s="249">
        <f t="shared" si="26"/>
        <v>0.54540169950535522</v>
      </c>
      <c r="AV45" s="195"/>
      <c r="AW45" s="235">
        <f t="shared" si="8"/>
        <v>-0.42182519132154805</v>
      </c>
      <c r="AX45" s="236"/>
      <c r="AY45" s="235">
        <f t="shared" si="9"/>
        <v>-0.57293908950920724</v>
      </c>
      <c r="AZ45" s="237"/>
      <c r="BA45" s="250">
        <f t="shared" si="27"/>
        <v>116977.99999131385</v>
      </c>
      <c r="BB45" s="251"/>
      <c r="BC45" s="360">
        <v>0</v>
      </c>
      <c r="BD45" s="253">
        <f t="shared" si="28"/>
        <v>116977.99999131385</v>
      </c>
      <c r="BE45" s="254">
        <v>545</v>
      </c>
      <c r="BF45" s="255">
        <f t="shared" si="29"/>
        <v>0.68046983198473787</v>
      </c>
      <c r="BG45" s="648">
        <v>251</v>
      </c>
      <c r="BH45" s="256">
        <f t="shared" si="30"/>
        <v>0.21457026109066485</v>
      </c>
      <c r="BI45" s="244"/>
      <c r="BJ45" s="259">
        <v>270</v>
      </c>
      <c r="BK45" s="402">
        <f t="shared" si="31"/>
        <v>116707.99999131385</v>
      </c>
      <c r="BL45" s="259">
        <f t="shared" si="32"/>
        <v>19</v>
      </c>
      <c r="BM45" s="259">
        <f t="shared" si="35"/>
        <v>19</v>
      </c>
      <c r="BN45" s="260">
        <f t="shared" si="33"/>
        <v>1.6279946534439885E-2</v>
      </c>
      <c r="BO45" s="259"/>
      <c r="BP45" s="259">
        <f t="shared" si="34"/>
        <v>0</v>
      </c>
      <c r="BR45" s="259"/>
    </row>
    <row r="46" spans="1:70" ht="14.25" thickTop="1" thickBot="1" x14ac:dyDescent="0.3">
      <c r="A46" s="1270" t="s">
        <v>201</v>
      </c>
      <c r="B46" s="1271"/>
      <c r="C46" s="216">
        <v>460</v>
      </c>
      <c r="D46" s="1269"/>
      <c r="E46" s="216">
        <v>42348.999991739125</v>
      </c>
      <c r="F46" s="217">
        <f t="shared" si="10"/>
        <v>92.063043460302453</v>
      </c>
      <c r="G46" s="218">
        <f t="shared" si="11"/>
        <v>8.8313773660052171</v>
      </c>
      <c r="H46" s="219">
        <v>0</v>
      </c>
      <c r="I46" s="220">
        <v>3740</v>
      </c>
      <c r="J46" s="216">
        <v>42348.999991739125</v>
      </c>
      <c r="K46" s="221">
        <f t="shared" si="12"/>
        <v>8.8313773660052164E-2</v>
      </c>
      <c r="L46" s="216">
        <v>3740</v>
      </c>
      <c r="M46" s="216">
        <v>460</v>
      </c>
      <c r="N46" s="1269"/>
      <c r="O46" s="222">
        <v>92.063043460302453</v>
      </c>
      <c r="P46" s="223">
        <f t="shared" si="13"/>
        <v>8.8313773660052171</v>
      </c>
      <c r="Q46" s="219">
        <f t="shared" si="14"/>
        <v>42348.999991739125</v>
      </c>
      <c r="R46" s="660">
        <f t="shared" si="0"/>
        <v>8.8313773660052171</v>
      </c>
      <c r="S46" s="225">
        <f t="shared" si="1"/>
        <v>-1192</v>
      </c>
      <c r="T46" s="225">
        <f t="shared" si="2"/>
        <v>419</v>
      </c>
      <c r="U46" s="225">
        <v>2548</v>
      </c>
      <c r="V46" s="222">
        <f t="shared" si="15"/>
        <v>86.523913025519832</v>
      </c>
      <c r="W46" s="226">
        <f t="shared" si="16"/>
        <v>39800.999991739125</v>
      </c>
      <c r="X46" s="227">
        <f t="shared" si="3"/>
        <v>1.0527373686263293</v>
      </c>
      <c r="Y46" s="228">
        <v>1611</v>
      </c>
      <c r="Z46" s="224">
        <f t="shared" si="17"/>
        <v>4.0476369948854805</v>
      </c>
      <c r="AA46" s="225">
        <f t="shared" si="18"/>
        <v>190</v>
      </c>
      <c r="AB46" s="225">
        <v>1801</v>
      </c>
      <c r="AC46" s="225">
        <f t="shared" si="19"/>
        <v>497</v>
      </c>
      <c r="AD46" s="222">
        <f t="shared" si="4"/>
        <v>82.608695634215493</v>
      </c>
      <c r="AE46" s="226">
        <f t="shared" si="20"/>
        <v>37999.999991739125</v>
      </c>
      <c r="AF46" s="227">
        <f t="shared" si="21"/>
        <v>1.3078947371264305</v>
      </c>
      <c r="AG46" s="228">
        <v>307</v>
      </c>
      <c r="AH46" s="660">
        <f t="shared" si="22"/>
        <v>0.80789473701773462</v>
      </c>
      <c r="AI46" s="222">
        <f t="shared" si="23"/>
        <v>-3.2397422578677459</v>
      </c>
      <c r="AJ46" s="229">
        <f t="shared" si="5"/>
        <v>-8.0234826289874821</v>
      </c>
      <c r="AK46" s="230">
        <v>24000</v>
      </c>
      <c r="AL46" s="226"/>
      <c r="AM46" s="231">
        <f t="shared" si="36"/>
        <v>24000</v>
      </c>
      <c r="AN46" s="232">
        <v>307</v>
      </c>
      <c r="AO46" s="225">
        <v>238</v>
      </c>
      <c r="AP46" s="231">
        <f t="shared" si="24"/>
        <v>545</v>
      </c>
      <c r="AQ46" s="230">
        <f t="shared" si="7"/>
        <v>61454.999991739125</v>
      </c>
      <c r="AR46" s="227">
        <f t="shared" si="25"/>
        <v>0.99422341564092687</v>
      </c>
      <c r="AS46" s="248">
        <v>373</v>
      </c>
      <c r="AT46" s="195"/>
      <c r="AU46" s="249">
        <f t="shared" si="26"/>
        <v>0.60694817354184238</v>
      </c>
      <c r="AV46" s="195"/>
      <c r="AW46" s="235">
        <f t="shared" si="8"/>
        <v>-0.20094656347589224</v>
      </c>
      <c r="AX46" s="236"/>
      <c r="AY46" s="235">
        <f t="shared" si="9"/>
        <v>-8.2244291924633739</v>
      </c>
      <c r="AZ46" s="237"/>
      <c r="BA46" s="250">
        <f t="shared" si="27"/>
        <v>61454.999991739125</v>
      </c>
      <c r="BB46" s="251"/>
      <c r="BC46" s="360">
        <v>0</v>
      </c>
      <c r="BD46" s="253">
        <f t="shared" si="28"/>
        <v>61454.999991739125</v>
      </c>
      <c r="BE46" s="254">
        <v>329</v>
      </c>
      <c r="BF46" s="255">
        <f t="shared" si="29"/>
        <v>0.81034903598884045</v>
      </c>
      <c r="BG46" s="648">
        <v>169</v>
      </c>
      <c r="BH46" s="256">
        <f t="shared" si="30"/>
        <v>0.27499796602834142</v>
      </c>
      <c r="BI46" s="244"/>
      <c r="BJ46" s="259">
        <v>893</v>
      </c>
      <c r="BK46" s="402">
        <f t="shared" si="31"/>
        <v>60561.999991739125</v>
      </c>
      <c r="BL46" s="259">
        <f t="shared" si="32"/>
        <v>724</v>
      </c>
      <c r="BM46" s="259">
        <f t="shared" si="35"/>
        <v>724</v>
      </c>
      <c r="BN46" s="260">
        <f t="shared" si="33"/>
        <v>1.1954691062031575</v>
      </c>
      <c r="BO46" s="259"/>
      <c r="BP46" s="259">
        <f t="shared" si="34"/>
        <v>0</v>
      </c>
      <c r="BR46" s="259"/>
    </row>
    <row r="47" spans="1:70" ht="14.25" thickTop="1" thickBot="1" x14ac:dyDescent="0.3">
      <c r="A47" s="1274" t="s">
        <v>202</v>
      </c>
      <c r="B47" s="1275"/>
      <c r="C47" s="261">
        <v>580</v>
      </c>
      <c r="D47" s="1276"/>
      <c r="E47" s="261">
        <v>55147.999993620695</v>
      </c>
      <c r="F47" s="262">
        <f t="shared" si="10"/>
        <v>95.082758609690856</v>
      </c>
      <c r="G47" s="218">
        <f t="shared" si="11"/>
        <v>10.083774571413787</v>
      </c>
      <c r="H47" s="322">
        <v>782</v>
      </c>
      <c r="I47" s="264">
        <v>5561</v>
      </c>
      <c r="J47" s="261">
        <v>55147.999993620695</v>
      </c>
      <c r="K47" s="265">
        <f t="shared" si="12"/>
        <v>0.10083774571413787</v>
      </c>
      <c r="L47" s="261">
        <v>4779</v>
      </c>
      <c r="M47" s="261">
        <v>580</v>
      </c>
      <c r="N47" s="1276"/>
      <c r="O47" s="325">
        <v>93.734482747621882</v>
      </c>
      <c r="P47" s="326">
        <f t="shared" si="13"/>
        <v>8.7904204844218228</v>
      </c>
      <c r="Q47" s="322">
        <f t="shared" si="14"/>
        <v>54365.999993620695</v>
      </c>
      <c r="R47" s="663">
        <f t="shared" si="0"/>
        <v>8.7904204844218228</v>
      </c>
      <c r="S47" s="377">
        <f t="shared" si="1"/>
        <v>3502</v>
      </c>
      <c r="T47" s="377">
        <f t="shared" si="2"/>
        <v>10928</v>
      </c>
      <c r="U47" s="377">
        <v>8281</v>
      </c>
      <c r="V47" s="325">
        <f t="shared" si="15"/>
        <v>79.456896540725339</v>
      </c>
      <c r="W47" s="328">
        <f t="shared" si="16"/>
        <v>46084.999993620695</v>
      </c>
      <c r="X47" s="271">
        <f t="shared" si="3"/>
        <v>23.71270478791951</v>
      </c>
      <c r="Y47" s="378">
        <v>7426</v>
      </c>
      <c r="Z47" s="327">
        <f t="shared" si="17"/>
        <v>16.113702942449695</v>
      </c>
      <c r="AA47" s="377">
        <f t="shared" si="18"/>
        <v>877</v>
      </c>
      <c r="AB47" s="377">
        <v>8303</v>
      </c>
      <c r="AC47" s="377">
        <f t="shared" si="19"/>
        <v>2524</v>
      </c>
      <c r="AD47" s="325">
        <f t="shared" si="4"/>
        <v>65.141379299346028</v>
      </c>
      <c r="AE47" s="328">
        <f t="shared" si="20"/>
        <v>37781.999993620695</v>
      </c>
      <c r="AF47" s="271">
        <f t="shared" si="21"/>
        <v>6.6804298354405933</v>
      </c>
      <c r="AG47" s="378">
        <v>1647</v>
      </c>
      <c r="AH47" s="663">
        <f t="shared" si="22"/>
        <v>4.3592186762958232</v>
      </c>
      <c r="AI47" s="325">
        <f t="shared" si="23"/>
        <v>-11.754484266153872</v>
      </c>
      <c r="AJ47" s="331">
        <f t="shared" si="5"/>
        <v>-4.4312018081259996</v>
      </c>
      <c r="AK47" s="332">
        <v>0</v>
      </c>
      <c r="AL47" s="328"/>
      <c r="AM47" s="333">
        <f t="shared" si="36"/>
        <v>0</v>
      </c>
      <c r="AN47" s="379">
        <v>1647</v>
      </c>
      <c r="AO47" s="377">
        <v>1304</v>
      </c>
      <c r="AP47" s="333">
        <f t="shared" si="24"/>
        <v>2951</v>
      </c>
      <c r="AQ47" s="332">
        <f t="shared" si="7"/>
        <v>34830.999993620695</v>
      </c>
      <c r="AR47" s="271">
        <f t="shared" si="25"/>
        <v>5.0500990506220349</v>
      </c>
      <c r="AS47" s="277">
        <v>455</v>
      </c>
      <c r="AT47" s="195"/>
      <c r="AU47" s="337">
        <f t="shared" si="26"/>
        <v>1.3063075997913736</v>
      </c>
      <c r="AV47" s="195"/>
      <c r="AW47" s="338">
        <f t="shared" si="8"/>
        <v>-3.0529110765044498</v>
      </c>
      <c r="AX47" s="236"/>
      <c r="AY47" s="338">
        <f t="shared" si="9"/>
        <v>-7.4841128846304494</v>
      </c>
      <c r="AZ47" s="237"/>
      <c r="BA47" s="339">
        <f t="shared" si="27"/>
        <v>34830.999993620695</v>
      </c>
      <c r="BB47" s="396"/>
      <c r="BC47" s="341">
        <v>0</v>
      </c>
      <c r="BD47" s="342">
        <f t="shared" si="28"/>
        <v>34830.999993620695</v>
      </c>
      <c r="BE47" s="254">
        <v>350</v>
      </c>
      <c r="BF47" s="397">
        <f t="shared" si="29"/>
        <v>2.9858459423802826</v>
      </c>
      <c r="BG47" s="649">
        <v>690</v>
      </c>
      <c r="BH47" s="345">
        <f t="shared" si="30"/>
        <v>1.9809939425407646</v>
      </c>
      <c r="BI47" s="346">
        <v>10000</v>
      </c>
      <c r="BJ47" s="347">
        <v>863</v>
      </c>
      <c r="BK47" s="402">
        <f t="shared" si="31"/>
        <v>43967.999993620695</v>
      </c>
      <c r="BL47" s="347">
        <f t="shared" si="32"/>
        <v>173</v>
      </c>
      <c r="BM47" s="347">
        <f t="shared" si="35"/>
        <v>173</v>
      </c>
      <c r="BN47" s="348">
        <f t="shared" si="33"/>
        <v>0.39346797676742296</v>
      </c>
      <c r="BO47" s="347"/>
      <c r="BP47" s="347">
        <f t="shared" si="34"/>
        <v>0</v>
      </c>
      <c r="BR47" s="347"/>
    </row>
    <row r="48" spans="1:70" ht="14.25" thickTop="1" thickBot="1" x14ac:dyDescent="0.3">
      <c r="A48" s="1266" t="s">
        <v>203</v>
      </c>
      <c r="B48" s="1267"/>
      <c r="C48" s="386">
        <v>910</v>
      </c>
      <c r="D48" s="1268">
        <f>SUM(C48:C54)</f>
        <v>4000</v>
      </c>
      <c r="E48" s="386">
        <v>51997.999995604398</v>
      </c>
      <c r="F48" s="387">
        <f t="shared" si="10"/>
        <v>57.140659335829007</v>
      </c>
      <c r="G48" s="218">
        <f t="shared" si="11"/>
        <v>12.690872726946884</v>
      </c>
      <c r="H48" s="414">
        <v>870</v>
      </c>
      <c r="I48" s="388">
        <v>6599</v>
      </c>
      <c r="J48" s="386">
        <v>51997.999995604398</v>
      </c>
      <c r="K48" s="389">
        <f t="shared" si="12"/>
        <v>0.12690872726946884</v>
      </c>
      <c r="L48" s="386">
        <v>5729</v>
      </c>
      <c r="M48" s="386">
        <v>910</v>
      </c>
      <c r="N48" s="1268">
        <f>SUM(M48:M54)</f>
        <v>4000</v>
      </c>
      <c r="O48" s="415">
        <v>56.18461537978505</v>
      </c>
      <c r="P48" s="416">
        <f t="shared" si="13"/>
        <v>11.205210453161744</v>
      </c>
      <c r="Q48" s="414">
        <f t="shared" si="14"/>
        <v>51127.999995604398</v>
      </c>
      <c r="R48" s="664">
        <f t="shared" si="0"/>
        <v>11.205210453161744</v>
      </c>
      <c r="S48" s="418">
        <f t="shared" si="1"/>
        <v>1578</v>
      </c>
      <c r="T48" s="418">
        <f t="shared" si="2"/>
        <v>2582</v>
      </c>
      <c r="U48" s="418">
        <v>7307</v>
      </c>
      <c r="V48" s="415">
        <f t="shared" si="15"/>
        <v>48.154945050114719</v>
      </c>
      <c r="W48" s="419">
        <f t="shared" si="16"/>
        <v>43820.999995604398</v>
      </c>
      <c r="X48" s="301">
        <f t="shared" si="3"/>
        <v>5.892152165078377</v>
      </c>
      <c r="Y48" s="420">
        <v>1004</v>
      </c>
      <c r="Z48" s="417">
        <f t="shared" si="17"/>
        <v>2.2911389518740086</v>
      </c>
      <c r="AA48" s="418">
        <f t="shared" si="18"/>
        <v>1947</v>
      </c>
      <c r="AB48" s="418">
        <v>2951</v>
      </c>
      <c r="AC48" s="418">
        <f t="shared" si="19"/>
        <v>2762</v>
      </c>
      <c r="AD48" s="415">
        <f t="shared" si="4"/>
        <v>44.912087907257579</v>
      </c>
      <c r="AE48" s="419">
        <f t="shared" si="20"/>
        <v>40869.999995604398</v>
      </c>
      <c r="AF48" s="301">
        <f t="shared" si="21"/>
        <v>6.7580132133522275</v>
      </c>
      <c r="AG48" s="421">
        <v>815</v>
      </c>
      <c r="AH48" s="664">
        <f t="shared" si="22"/>
        <v>1.9941277222599803</v>
      </c>
      <c r="AI48" s="415">
        <f t="shared" si="23"/>
        <v>-0.29701122961402837</v>
      </c>
      <c r="AJ48" s="422">
        <f t="shared" si="5"/>
        <v>-9.2110827309017633</v>
      </c>
      <c r="AK48" s="370">
        <v>0</v>
      </c>
      <c r="AL48" s="419"/>
      <c r="AM48" s="369">
        <f t="shared" si="36"/>
        <v>0</v>
      </c>
      <c r="AN48" s="423">
        <v>815</v>
      </c>
      <c r="AO48" s="418">
        <v>646</v>
      </c>
      <c r="AP48" s="369">
        <f t="shared" si="24"/>
        <v>1461</v>
      </c>
      <c r="AQ48" s="370">
        <f t="shared" si="7"/>
        <v>39408.999995604398</v>
      </c>
      <c r="AR48" s="301">
        <f t="shared" si="25"/>
        <v>2.4816666246519432</v>
      </c>
      <c r="AS48" s="308">
        <v>332</v>
      </c>
      <c r="AT48" s="195"/>
      <c r="AU48" s="424">
        <f t="shared" si="26"/>
        <v>0.84244715683481097</v>
      </c>
      <c r="AV48" s="195"/>
      <c r="AW48" s="425">
        <f t="shared" si="8"/>
        <v>-1.1516805654251692</v>
      </c>
      <c r="AX48" s="236"/>
      <c r="AY48" s="425">
        <f t="shared" si="9"/>
        <v>-10.362763296326932</v>
      </c>
      <c r="AZ48" s="237"/>
      <c r="BA48" s="238">
        <f t="shared" si="27"/>
        <v>39408.999995604398</v>
      </c>
      <c r="BB48" s="400"/>
      <c r="BC48" s="360">
        <v>0</v>
      </c>
      <c r="BD48" s="239">
        <f t="shared" si="28"/>
        <v>39408.999995604398</v>
      </c>
      <c r="BE48" s="241">
        <v>506</v>
      </c>
      <c r="BF48" s="242">
        <f t="shared" si="29"/>
        <v>1.6671318736158758</v>
      </c>
      <c r="BG48" s="645">
        <v>151</v>
      </c>
      <c r="BH48" s="243">
        <f t="shared" si="30"/>
        <v>0.38316120687366401</v>
      </c>
      <c r="BI48" s="426">
        <v>10000</v>
      </c>
      <c r="BJ48" s="401">
        <v>484</v>
      </c>
      <c r="BK48" s="402">
        <f t="shared" si="31"/>
        <v>48924.999995604398</v>
      </c>
      <c r="BL48" s="401">
        <f t="shared" si="32"/>
        <v>333</v>
      </c>
      <c r="BM48" s="401">
        <f t="shared" si="35"/>
        <v>333</v>
      </c>
      <c r="BN48" s="403">
        <f t="shared" si="33"/>
        <v>0.68063362295333252</v>
      </c>
      <c r="BO48" s="401"/>
      <c r="BP48" s="401">
        <f t="shared" si="34"/>
        <v>0</v>
      </c>
      <c r="BR48" s="401"/>
    </row>
    <row r="49" spans="1:70" ht="14.25" thickTop="1" thickBot="1" x14ac:dyDescent="0.3">
      <c r="A49" s="1270" t="s">
        <v>204</v>
      </c>
      <c r="B49" s="1271"/>
      <c r="C49" s="216">
        <v>450</v>
      </c>
      <c r="D49" s="1269"/>
      <c r="E49" s="216">
        <v>31137.999993333335</v>
      </c>
      <c r="F49" s="217">
        <f t="shared" si="10"/>
        <v>69.195555540740742</v>
      </c>
      <c r="G49" s="218">
        <f t="shared" si="11"/>
        <v>4.4190378325345314</v>
      </c>
      <c r="H49" s="219">
        <v>0</v>
      </c>
      <c r="I49" s="220">
        <v>1376</v>
      </c>
      <c r="J49" s="216">
        <v>31137.999993333335</v>
      </c>
      <c r="K49" s="221">
        <f t="shared" si="12"/>
        <v>4.4190378325345316E-2</v>
      </c>
      <c r="L49" s="216">
        <v>1376</v>
      </c>
      <c r="M49" s="216">
        <v>450</v>
      </c>
      <c r="N49" s="1269"/>
      <c r="O49" s="222">
        <v>69.195555540740742</v>
      </c>
      <c r="P49" s="223">
        <f t="shared" si="13"/>
        <v>4.4190378325345314</v>
      </c>
      <c r="Q49" s="219">
        <f t="shared" si="14"/>
        <v>31137.999993333335</v>
      </c>
      <c r="R49" s="660">
        <f t="shared" si="0"/>
        <v>4.4190378325345314</v>
      </c>
      <c r="S49" s="225">
        <f t="shared" si="1"/>
        <v>-1376</v>
      </c>
      <c r="T49" s="225">
        <f t="shared" si="2"/>
        <v>-988</v>
      </c>
      <c r="U49" s="225">
        <v>0</v>
      </c>
      <c r="V49" s="222">
        <f t="shared" si="15"/>
        <v>69.195555540740742</v>
      </c>
      <c r="W49" s="226">
        <f t="shared" si="16"/>
        <v>31137.999993333335</v>
      </c>
      <c r="X49" s="227">
        <f t="shared" si="3"/>
        <v>-3.1729719320814809</v>
      </c>
      <c r="Y49" s="427">
        <v>388</v>
      </c>
      <c r="Z49" s="224">
        <f t="shared" si="17"/>
        <v>1.246065900453051</v>
      </c>
      <c r="AA49" s="225">
        <f t="shared" si="18"/>
        <v>750</v>
      </c>
      <c r="AB49" s="225">
        <v>1138</v>
      </c>
      <c r="AC49" s="225">
        <f t="shared" si="19"/>
        <v>1127</v>
      </c>
      <c r="AD49" s="222">
        <f t="shared" si="4"/>
        <v>66.666666651851855</v>
      </c>
      <c r="AE49" s="226">
        <f t="shared" si="20"/>
        <v>29999.999993333335</v>
      </c>
      <c r="AF49" s="227">
        <f t="shared" si="21"/>
        <v>3.7566666675014813</v>
      </c>
      <c r="AG49" s="228">
        <v>377</v>
      </c>
      <c r="AH49" s="660">
        <f t="shared" si="22"/>
        <v>1.2566666669459259</v>
      </c>
      <c r="AI49" s="222">
        <f t="shared" si="23"/>
        <v>1.0600766492874891E-2</v>
      </c>
      <c r="AJ49" s="229">
        <f t="shared" si="5"/>
        <v>-3.1623711655886053</v>
      </c>
      <c r="AK49" s="230">
        <v>0</v>
      </c>
      <c r="AL49" s="226"/>
      <c r="AM49" s="231">
        <f t="shared" si="36"/>
        <v>0</v>
      </c>
      <c r="AN49" s="232">
        <v>377</v>
      </c>
      <c r="AO49" s="225">
        <v>298</v>
      </c>
      <c r="AP49" s="231">
        <f t="shared" si="24"/>
        <v>675</v>
      </c>
      <c r="AQ49" s="230">
        <f t="shared" si="7"/>
        <v>29324.999993333335</v>
      </c>
      <c r="AR49" s="227">
        <f t="shared" si="25"/>
        <v>1.5174765561847061</v>
      </c>
      <c r="AS49" s="248">
        <v>147</v>
      </c>
      <c r="AT49" s="195"/>
      <c r="AU49" s="249">
        <f t="shared" si="26"/>
        <v>0.50127877249247599</v>
      </c>
      <c r="AV49" s="195"/>
      <c r="AW49" s="235">
        <f t="shared" si="8"/>
        <v>-0.75538789445344989</v>
      </c>
      <c r="AX49" s="236"/>
      <c r="AY49" s="235">
        <f t="shared" si="9"/>
        <v>-3.9177590600420555</v>
      </c>
      <c r="AZ49" s="237"/>
      <c r="BA49" s="250">
        <f t="shared" si="27"/>
        <v>29324.999993333335</v>
      </c>
      <c r="BB49" s="251"/>
      <c r="BC49" s="375">
        <v>0</v>
      </c>
      <c r="BD49" s="253">
        <f t="shared" si="28"/>
        <v>29324.999993333335</v>
      </c>
      <c r="BE49" s="241">
        <v>136</v>
      </c>
      <c r="BF49" s="255">
        <f t="shared" si="29"/>
        <v>0.88661551597308674</v>
      </c>
      <c r="BG49" s="645">
        <v>124</v>
      </c>
      <c r="BH49" s="256">
        <f t="shared" si="30"/>
        <v>0.42284739992562603</v>
      </c>
      <c r="BI49" s="244"/>
      <c r="BJ49" s="259">
        <v>137</v>
      </c>
      <c r="BK49" s="402">
        <f t="shared" si="31"/>
        <v>29187.999993333335</v>
      </c>
      <c r="BL49" s="259">
        <f t="shared" si="32"/>
        <v>13</v>
      </c>
      <c r="BM49" s="259">
        <f t="shared" si="35"/>
        <v>13</v>
      </c>
      <c r="BN49" s="260">
        <f t="shared" si="33"/>
        <v>4.4538851593015127E-2</v>
      </c>
      <c r="BO49" s="259"/>
      <c r="BP49" s="259">
        <f t="shared" si="34"/>
        <v>0</v>
      </c>
      <c r="BR49" s="259"/>
    </row>
    <row r="50" spans="1:70" ht="14.25" thickTop="1" thickBot="1" x14ac:dyDescent="0.3">
      <c r="A50" s="1270" t="s">
        <v>205</v>
      </c>
      <c r="B50" s="1271"/>
      <c r="C50" s="216">
        <v>850</v>
      </c>
      <c r="D50" s="1269"/>
      <c r="E50" s="216">
        <v>44622.999995058824</v>
      </c>
      <c r="F50" s="217">
        <f t="shared" si="10"/>
        <v>52.497647053010382</v>
      </c>
      <c r="G50" s="218">
        <f t="shared" si="11"/>
        <v>6.566120611174604</v>
      </c>
      <c r="H50" s="219">
        <v>0</v>
      </c>
      <c r="I50" s="220">
        <v>2930</v>
      </c>
      <c r="J50" s="216">
        <v>44622.999995058824</v>
      </c>
      <c r="K50" s="221">
        <f t="shared" si="12"/>
        <v>6.5661206111746043E-2</v>
      </c>
      <c r="L50" s="216">
        <v>2930</v>
      </c>
      <c r="M50" s="216">
        <v>850</v>
      </c>
      <c r="N50" s="1269"/>
      <c r="O50" s="222">
        <v>52.497647053010382</v>
      </c>
      <c r="P50" s="223">
        <f t="shared" si="13"/>
        <v>6.566120611174604</v>
      </c>
      <c r="Q50" s="219">
        <f t="shared" si="14"/>
        <v>44622.999995058824</v>
      </c>
      <c r="R50" s="660">
        <f t="shared" si="0"/>
        <v>6.566120611174604</v>
      </c>
      <c r="S50" s="225">
        <f t="shared" si="1"/>
        <v>-1037</v>
      </c>
      <c r="T50" s="225">
        <f t="shared" si="2"/>
        <v>-788</v>
      </c>
      <c r="U50" s="225">
        <v>1893</v>
      </c>
      <c r="V50" s="222">
        <f t="shared" si="15"/>
        <v>50.270588229480971</v>
      </c>
      <c r="W50" s="226">
        <f t="shared" si="16"/>
        <v>42729.999995058824</v>
      </c>
      <c r="X50" s="227">
        <f t="shared" si="3"/>
        <v>-1.8441376084510228</v>
      </c>
      <c r="Y50" s="427">
        <v>249</v>
      </c>
      <c r="Z50" s="224">
        <f t="shared" si="17"/>
        <v>0.58272876206130042</v>
      </c>
      <c r="AA50" s="225">
        <f t="shared" si="18"/>
        <v>481</v>
      </c>
      <c r="AB50" s="225">
        <v>730</v>
      </c>
      <c r="AC50" s="225">
        <f t="shared" si="19"/>
        <v>742</v>
      </c>
      <c r="AD50" s="222">
        <f t="shared" si="4"/>
        <v>49.411764700069206</v>
      </c>
      <c r="AE50" s="226">
        <f t="shared" si="20"/>
        <v>41999.999995058824</v>
      </c>
      <c r="AF50" s="227">
        <f t="shared" si="21"/>
        <v>1.7666666668745099</v>
      </c>
      <c r="AG50" s="228">
        <v>261</v>
      </c>
      <c r="AH50" s="660">
        <f t="shared" si="22"/>
        <v>0.62142857150168074</v>
      </c>
      <c r="AI50" s="222">
        <f t="shared" si="23"/>
        <v>3.8699809440380317E-2</v>
      </c>
      <c r="AJ50" s="229">
        <f t="shared" si="5"/>
        <v>-5.9446920396729235</v>
      </c>
      <c r="AK50" s="230">
        <v>0</v>
      </c>
      <c r="AL50" s="226"/>
      <c r="AM50" s="231">
        <f t="shared" si="36"/>
        <v>0</v>
      </c>
      <c r="AN50" s="232">
        <v>261</v>
      </c>
      <c r="AO50" s="225">
        <v>206</v>
      </c>
      <c r="AP50" s="231">
        <f t="shared" si="24"/>
        <v>467</v>
      </c>
      <c r="AQ50" s="230">
        <f t="shared" si="7"/>
        <v>41532.999995058824</v>
      </c>
      <c r="AR50" s="227">
        <f t="shared" si="25"/>
        <v>2.2560373681445469</v>
      </c>
      <c r="AS50" s="248">
        <v>731</v>
      </c>
      <c r="AT50" s="195"/>
      <c r="AU50" s="249">
        <f t="shared" si="26"/>
        <v>1.76004622850978</v>
      </c>
      <c r="AV50" s="195"/>
      <c r="AW50" s="235">
        <f t="shared" si="8"/>
        <v>1.1386176570080992</v>
      </c>
      <c r="AX50" s="236"/>
      <c r="AY50" s="235">
        <f t="shared" si="9"/>
        <v>-4.806074382664824</v>
      </c>
      <c r="AZ50" s="237"/>
      <c r="BA50" s="250">
        <f t="shared" si="27"/>
        <v>41532.999995058824</v>
      </c>
      <c r="BB50" s="251"/>
      <c r="BC50" s="375">
        <v>0</v>
      </c>
      <c r="BD50" s="253">
        <f t="shared" si="28"/>
        <v>41532.999995058824</v>
      </c>
      <c r="BE50" s="241">
        <v>53</v>
      </c>
      <c r="BF50" s="255">
        <f t="shared" si="29"/>
        <v>2.5642260374321695</v>
      </c>
      <c r="BG50" s="645">
        <v>1012</v>
      </c>
      <c r="BH50" s="256">
        <f t="shared" si="30"/>
        <v>2.4366166665552633</v>
      </c>
      <c r="BI50" s="244">
        <v>10000</v>
      </c>
      <c r="BJ50" s="259">
        <v>2077</v>
      </c>
      <c r="BK50" s="402">
        <f t="shared" si="31"/>
        <v>49455.999995058824</v>
      </c>
      <c r="BL50" s="259">
        <f t="shared" si="32"/>
        <v>1065</v>
      </c>
      <c r="BM50" s="259">
        <f t="shared" si="35"/>
        <v>1065</v>
      </c>
      <c r="BN50" s="260">
        <f t="shared" si="33"/>
        <v>2.1534293111177707</v>
      </c>
      <c r="BO50" s="259"/>
      <c r="BP50" s="259">
        <f t="shared" si="34"/>
        <v>0</v>
      </c>
      <c r="BR50" s="259"/>
    </row>
    <row r="51" spans="1:70" ht="14.25" thickTop="1" thickBot="1" x14ac:dyDescent="0.3">
      <c r="A51" s="1270" t="s">
        <v>206</v>
      </c>
      <c r="B51" s="1271"/>
      <c r="C51" s="216">
        <v>880</v>
      </c>
      <c r="D51" s="1269"/>
      <c r="E51" s="216">
        <v>43760.999995568185</v>
      </c>
      <c r="F51" s="217">
        <f t="shared" si="10"/>
        <v>49.72840908587294</v>
      </c>
      <c r="G51" s="218">
        <f t="shared" si="11"/>
        <v>12.072393228068432</v>
      </c>
      <c r="H51" s="219">
        <v>0</v>
      </c>
      <c r="I51" s="220">
        <v>5283</v>
      </c>
      <c r="J51" s="216">
        <v>43760.999995568185</v>
      </c>
      <c r="K51" s="221">
        <f t="shared" si="12"/>
        <v>0.12072393228068432</v>
      </c>
      <c r="L51" s="216">
        <v>5283</v>
      </c>
      <c r="M51" s="216">
        <v>880</v>
      </c>
      <c r="N51" s="1269"/>
      <c r="O51" s="222">
        <v>49.72840908587294</v>
      </c>
      <c r="P51" s="223">
        <f t="shared" si="13"/>
        <v>12.072393228068432</v>
      </c>
      <c r="Q51" s="219">
        <f t="shared" si="14"/>
        <v>43760.999995568185</v>
      </c>
      <c r="R51" s="660">
        <f t="shared" si="0"/>
        <v>12.072393228068432</v>
      </c>
      <c r="S51" s="225">
        <f t="shared" si="1"/>
        <v>-5283</v>
      </c>
      <c r="T51" s="225">
        <f t="shared" si="2"/>
        <v>-3662</v>
      </c>
      <c r="U51" s="225">
        <v>0</v>
      </c>
      <c r="V51" s="222">
        <f t="shared" si="15"/>
        <v>49.72840908587294</v>
      </c>
      <c r="W51" s="226">
        <f t="shared" si="16"/>
        <v>43760.999995568185</v>
      </c>
      <c r="X51" s="227">
        <f t="shared" si="3"/>
        <v>-8.3681817151593023</v>
      </c>
      <c r="Y51" s="427">
        <v>1621</v>
      </c>
      <c r="Z51" s="224">
        <f t="shared" si="17"/>
        <v>3.7042115129091289</v>
      </c>
      <c r="AA51" s="225">
        <f t="shared" si="18"/>
        <v>3140</v>
      </c>
      <c r="AB51" s="225">
        <v>4761</v>
      </c>
      <c r="AC51" s="225">
        <f t="shared" si="19"/>
        <v>3583</v>
      </c>
      <c r="AD51" s="222">
        <f t="shared" si="4"/>
        <v>44.318181813145664</v>
      </c>
      <c r="AE51" s="226">
        <f t="shared" si="20"/>
        <v>38999.999995568185</v>
      </c>
      <c r="AF51" s="227">
        <f t="shared" si="21"/>
        <v>9.1871794882234852</v>
      </c>
      <c r="AG51" s="228">
        <v>443</v>
      </c>
      <c r="AH51" s="660">
        <f t="shared" si="22"/>
        <v>1.1358974360265151</v>
      </c>
      <c r="AI51" s="222">
        <f t="shared" si="23"/>
        <v>-2.568314076882614</v>
      </c>
      <c r="AJ51" s="229">
        <f t="shared" si="5"/>
        <v>-10.936495792041917</v>
      </c>
      <c r="AK51" s="230">
        <v>0</v>
      </c>
      <c r="AL51" s="226"/>
      <c r="AM51" s="231">
        <f t="shared" si="36"/>
        <v>0</v>
      </c>
      <c r="AN51" s="232">
        <v>443</v>
      </c>
      <c r="AO51" s="225">
        <v>351</v>
      </c>
      <c r="AP51" s="231">
        <f t="shared" si="24"/>
        <v>794</v>
      </c>
      <c r="AQ51" s="230">
        <f t="shared" si="7"/>
        <v>38205.999995568185</v>
      </c>
      <c r="AR51" s="227">
        <f t="shared" si="25"/>
        <v>2.1148510707578034</v>
      </c>
      <c r="AS51" s="248">
        <v>457</v>
      </c>
      <c r="AT51" s="195"/>
      <c r="AU51" s="249">
        <f t="shared" si="26"/>
        <v>1.1961472021489059</v>
      </c>
      <c r="AV51" s="195"/>
      <c r="AW51" s="235">
        <f t="shared" si="8"/>
        <v>6.0249766122390858E-2</v>
      </c>
      <c r="AX51" s="236"/>
      <c r="AY51" s="235">
        <f t="shared" si="9"/>
        <v>-10.876246025919526</v>
      </c>
      <c r="AZ51" s="237"/>
      <c r="BA51" s="250">
        <f t="shared" si="27"/>
        <v>38205.999995568185</v>
      </c>
      <c r="BB51" s="251"/>
      <c r="BC51" s="375">
        <v>0</v>
      </c>
      <c r="BD51" s="253">
        <f t="shared" si="28"/>
        <v>38205.999995568185</v>
      </c>
      <c r="BE51" s="241">
        <v>67</v>
      </c>
      <c r="BF51" s="255">
        <f t="shared" si="29"/>
        <v>1.2537297808081531</v>
      </c>
      <c r="BG51" s="645">
        <v>412</v>
      </c>
      <c r="BH51" s="256">
        <f t="shared" si="30"/>
        <v>1.078364654891355</v>
      </c>
      <c r="BI51" s="244"/>
      <c r="BJ51" s="259">
        <v>633</v>
      </c>
      <c r="BK51" s="402">
        <f t="shared" si="31"/>
        <v>37572.999995568185</v>
      </c>
      <c r="BL51" s="259">
        <f t="shared" si="32"/>
        <v>221</v>
      </c>
      <c r="BM51" s="259">
        <f t="shared" si="35"/>
        <v>221</v>
      </c>
      <c r="BO51" s="259"/>
      <c r="BP51" s="259">
        <f t="shared" si="34"/>
        <v>0</v>
      </c>
      <c r="BR51" s="259"/>
    </row>
    <row r="52" spans="1:70" ht="14.25" thickTop="1" thickBot="1" x14ac:dyDescent="0.3">
      <c r="A52" s="1270" t="s">
        <v>207</v>
      </c>
      <c r="B52" s="1271"/>
      <c r="C52" s="216">
        <v>240</v>
      </c>
      <c r="D52" s="1269"/>
      <c r="E52" s="216">
        <v>11797.999995833334</v>
      </c>
      <c r="F52" s="217">
        <f t="shared" si="10"/>
        <v>49.158333315972222</v>
      </c>
      <c r="G52" s="218">
        <f t="shared" si="11"/>
        <v>22.715714535908525</v>
      </c>
      <c r="H52" s="219">
        <v>0</v>
      </c>
      <c r="I52" s="220">
        <v>2680</v>
      </c>
      <c r="J52" s="216">
        <v>11797.999995833334</v>
      </c>
      <c r="K52" s="221">
        <f t="shared" si="12"/>
        <v>0.22715714535908527</v>
      </c>
      <c r="L52" s="216">
        <v>2680</v>
      </c>
      <c r="M52" s="216">
        <v>240</v>
      </c>
      <c r="N52" s="1269"/>
      <c r="O52" s="222">
        <v>49.158333315972222</v>
      </c>
      <c r="P52" s="223">
        <f t="shared" si="13"/>
        <v>22.715714535908525</v>
      </c>
      <c r="Q52" s="219">
        <f t="shared" si="14"/>
        <v>11797.999995833334</v>
      </c>
      <c r="R52" s="660">
        <f t="shared" si="0"/>
        <v>22.715714535908525</v>
      </c>
      <c r="S52" s="225">
        <f t="shared" si="1"/>
        <v>-1187</v>
      </c>
      <c r="T52" s="225">
        <f t="shared" si="2"/>
        <v>-1083</v>
      </c>
      <c r="U52" s="225">
        <v>1493</v>
      </c>
      <c r="V52" s="222">
        <f t="shared" si="15"/>
        <v>42.93749998263889</v>
      </c>
      <c r="W52" s="226">
        <f t="shared" si="16"/>
        <v>10304.999995833334</v>
      </c>
      <c r="X52" s="227">
        <f t="shared" si="3"/>
        <v>-10.509461430741331</v>
      </c>
      <c r="Y52" s="427">
        <v>104</v>
      </c>
      <c r="Z52" s="224">
        <f t="shared" si="17"/>
        <v>1.0092188262207742</v>
      </c>
      <c r="AA52" s="225">
        <f t="shared" si="18"/>
        <v>201</v>
      </c>
      <c r="AB52" s="225">
        <v>305</v>
      </c>
      <c r="AC52" s="225">
        <f t="shared" si="19"/>
        <v>298</v>
      </c>
      <c r="AD52" s="222">
        <f t="shared" si="4"/>
        <v>41.666666649305554</v>
      </c>
      <c r="AE52" s="226">
        <f t="shared" si="20"/>
        <v>9999.9999958333337</v>
      </c>
      <c r="AF52" s="227">
        <f t="shared" si="21"/>
        <v>2.9800000012416663</v>
      </c>
      <c r="AG52" s="228">
        <v>97</v>
      </c>
      <c r="AH52" s="660">
        <f t="shared" si="22"/>
        <v>0.97000000040416667</v>
      </c>
      <c r="AI52" s="222">
        <f t="shared" si="23"/>
        <v>-3.9218825816607517E-2</v>
      </c>
      <c r="AJ52" s="229">
        <f t="shared" si="5"/>
        <v>-21.745714535504359</v>
      </c>
      <c r="AK52" s="230">
        <v>0</v>
      </c>
      <c r="AL52" s="226"/>
      <c r="AM52" s="231">
        <f t="shared" si="36"/>
        <v>0</v>
      </c>
      <c r="AN52" s="232">
        <v>97</v>
      </c>
      <c r="AO52" s="225">
        <v>77</v>
      </c>
      <c r="AP52" s="231">
        <f t="shared" si="24"/>
        <v>174</v>
      </c>
      <c r="AQ52" s="230">
        <f t="shared" si="7"/>
        <v>9825.9999958333337</v>
      </c>
      <c r="AR52" s="227">
        <f t="shared" si="25"/>
        <v>1.9132912688756407</v>
      </c>
      <c r="AS52" s="248">
        <v>111</v>
      </c>
      <c r="AT52" s="195"/>
      <c r="AU52" s="249">
        <f t="shared" si="26"/>
        <v>1.1296560151340218</v>
      </c>
      <c r="AV52" s="195"/>
      <c r="AW52" s="235">
        <f t="shared" si="8"/>
        <v>0.15965601472985513</v>
      </c>
      <c r="AX52" s="236"/>
      <c r="AY52" s="235">
        <f t="shared" si="9"/>
        <v>-21.586058520774504</v>
      </c>
      <c r="AZ52" s="237"/>
      <c r="BA52" s="250">
        <f t="shared" si="27"/>
        <v>9825.9999958333337</v>
      </c>
      <c r="BB52" s="251"/>
      <c r="BC52" s="375">
        <v>0</v>
      </c>
      <c r="BD52" s="253">
        <f t="shared" si="28"/>
        <v>9825.9999958333337</v>
      </c>
      <c r="BE52" s="241">
        <v>65</v>
      </c>
      <c r="BF52" s="255">
        <f t="shared" si="29"/>
        <v>2.4221453297468218</v>
      </c>
      <c r="BG52" s="645">
        <v>173</v>
      </c>
      <c r="BH52" s="256">
        <f t="shared" si="30"/>
        <v>1.7606350506142863</v>
      </c>
      <c r="BI52" s="244"/>
      <c r="BJ52" s="259">
        <v>190</v>
      </c>
      <c r="BK52" s="402">
        <f t="shared" si="31"/>
        <v>9635.9999958333337</v>
      </c>
      <c r="BL52" s="259">
        <f t="shared" si="32"/>
        <v>17</v>
      </c>
      <c r="BM52" s="259">
        <f t="shared" si="35"/>
        <v>17</v>
      </c>
      <c r="BN52" s="260">
        <f t="shared" si="33"/>
        <v>0.17642175184050338</v>
      </c>
      <c r="BO52" s="259"/>
      <c r="BP52" s="259">
        <f t="shared" si="34"/>
        <v>0</v>
      </c>
      <c r="BR52" s="259"/>
    </row>
    <row r="53" spans="1:70" ht="14.25" thickTop="1" thickBot="1" x14ac:dyDescent="0.3">
      <c r="A53" s="1270" t="s">
        <v>208</v>
      </c>
      <c r="B53" s="1271"/>
      <c r="C53" s="216">
        <v>240</v>
      </c>
      <c r="D53" s="1269"/>
      <c r="E53" s="216">
        <v>11861.999996666666</v>
      </c>
      <c r="F53" s="217">
        <f t="shared" si="10"/>
        <v>49.424999986111104</v>
      </c>
      <c r="G53" s="218">
        <f t="shared" si="11"/>
        <v>14.97218007502169</v>
      </c>
      <c r="H53" s="219">
        <v>238</v>
      </c>
      <c r="I53" s="220">
        <v>1776</v>
      </c>
      <c r="J53" s="216">
        <v>11861.999996666666</v>
      </c>
      <c r="K53" s="221">
        <f t="shared" si="12"/>
        <v>0.1497218007502169</v>
      </c>
      <c r="L53" s="216">
        <v>1538</v>
      </c>
      <c r="M53" s="216">
        <v>240</v>
      </c>
      <c r="N53" s="1269"/>
      <c r="O53" s="222">
        <v>48.433333319444436</v>
      </c>
      <c r="P53" s="223">
        <f t="shared" si="13"/>
        <v>13.231245702348948</v>
      </c>
      <c r="Q53" s="219">
        <f t="shared" si="14"/>
        <v>11623.999996666666</v>
      </c>
      <c r="R53" s="660">
        <f t="shared" si="0"/>
        <v>13.231245702348948</v>
      </c>
      <c r="S53" s="225">
        <f t="shared" si="1"/>
        <v>986</v>
      </c>
      <c r="T53" s="225">
        <f t="shared" si="2"/>
        <v>1279</v>
      </c>
      <c r="U53" s="225">
        <v>2524</v>
      </c>
      <c r="V53" s="222">
        <f t="shared" si="15"/>
        <v>37.916666652777771</v>
      </c>
      <c r="W53" s="226">
        <f t="shared" si="16"/>
        <v>9099.9999966666655</v>
      </c>
      <c r="X53" s="227">
        <f t="shared" si="3"/>
        <v>14.054945060093388</v>
      </c>
      <c r="Y53" s="427">
        <v>293</v>
      </c>
      <c r="Z53" s="224">
        <f>Y53/W53*100</f>
        <v>3.2197802209596267</v>
      </c>
      <c r="AA53" s="225">
        <f t="shared" si="18"/>
        <v>569</v>
      </c>
      <c r="AB53" s="225">
        <v>862</v>
      </c>
      <c r="AC53" s="225">
        <f t="shared" si="19"/>
        <v>648</v>
      </c>
      <c r="AD53" s="222">
        <f t="shared" si="4"/>
        <v>34.324999986111109</v>
      </c>
      <c r="AE53" s="226">
        <f t="shared" si="20"/>
        <v>8237.9999966666655</v>
      </c>
      <c r="AF53" s="227">
        <f t="shared" si="21"/>
        <v>7.8659868932046573</v>
      </c>
      <c r="AG53" s="228">
        <v>79</v>
      </c>
      <c r="AH53" s="660">
        <f t="shared" si="22"/>
        <v>0.95897062432587643</v>
      </c>
      <c r="AI53" s="222">
        <f t="shared" si="23"/>
        <v>-2.2608095966337505</v>
      </c>
      <c r="AJ53" s="229">
        <f t="shared" si="5"/>
        <v>-12.272275078023071</v>
      </c>
      <c r="AK53" s="230">
        <v>0</v>
      </c>
      <c r="AL53" s="226"/>
      <c r="AM53" s="231">
        <f t="shared" si="36"/>
        <v>0</v>
      </c>
      <c r="AN53" s="232">
        <v>79</v>
      </c>
      <c r="AO53" s="225">
        <v>62</v>
      </c>
      <c r="AP53" s="231">
        <f t="shared" si="24"/>
        <v>141</v>
      </c>
      <c r="AQ53" s="230">
        <f t="shared" si="7"/>
        <v>8096.9999966666655</v>
      </c>
      <c r="AR53" s="227">
        <f t="shared" si="25"/>
        <v>3.6556749428412485</v>
      </c>
      <c r="AS53" s="248">
        <v>234</v>
      </c>
      <c r="AT53" s="195"/>
      <c r="AU53" s="249">
        <f t="shared" si="26"/>
        <v>2.88995924535423</v>
      </c>
      <c r="AV53" s="195"/>
      <c r="AW53" s="235">
        <f t="shared" si="8"/>
        <v>1.9309886210283536</v>
      </c>
      <c r="AX53" s="428"/>
      <c r="AY53" s="235">
        <f t="shared" si="9"/>
        <v>-10.341286456994718</v>
      </c>
      <c r="AZ53" s="237"/>
      <c r="BA53" s="250">
        <f t="shared" si="27"/>
        <v>8096.9999966666655</v>
      </c>
      <c r="BB53" s="251"/>
      <c r="BC53" s="375">
        <v>0</v>
      </c>
      <c r="BD53" s="253">
        <f t="shared" si="28"/>
        <v>8096.9999966666655</v>
      </c>
      <c r="BE53" s="241">
        <v>176</v>
      </c>
      <c r="BF53" s="255">
        <f t="shared" si="29"/>
        <v>2.9146597517247792</v>
      </c>
      <c r="BG53" s="645">
        <v>60</v>
      </c>
      <c r="BH53" s="256">
        <f t="shared" si="30"/>
        <v>0.7410151911164693</v>
      </c>
      <c r="BI53" s="244"/>
      <c r="BJ53" s="259">
        <v>177</v>
      </c>
      <c r="BK53" s="402">
        <f t="shared" si="31"/>
        <v>7919.9999966666655</v>
      </c>
      <c r="BL53" s="259">
        <f t="shared" si="32"/>
        <v>117</v>
      </c>
      <c r="BM53" s="259">
        <f t="shared" si="35"/>
        <v>117</v>
      </c>
      <c r="BN53" s="260">
        <f t="shared" si="33"/>
        <v>1.4772727278944753</v>
      </c>
      <c r="BO53" s="259"/>
      <c r="BP53" s="259">
        <f t="shared" si="34"/>
        <v>0</v>
      </c>
      <c r="BR53" s="259"/>
    </row>
    <row r="54" spans="1:70" ht="14.25" thickTop="1" thickBot="1" x14ac:dyDescent="0.3">
      <c r="A54" s="1272" t="s">
        <v>209</v>
      </c>
      <c r="B54" s="1273"/>
      <c r="C54" s="261">
        <v>430</v>
      </c>
      <c r="D54" s="1269"/>
      <c r="E54" s="261">
        <v>24604.999994651163</v>
      </c>
      <c r="F54" s="262">
        <f t="shared" si="10"/>
        <v>57.220930220118987</v>
      </c>
      <c r="G54" s="429">
        <f t="shared" si="11"/>
        <v>2.8530786431725521</v>
      </c>
      <c r="H54" s="263">
        <v>0</v>
      </c>
      <c r="I54" s="264">
        <v>702</v>
      </c>
      <c r="J54" s="261">
        <v>24604.999994651163</v>
      </c>
      <c r="K54" s="265">
        <f t="shared" si="12"/>
        <v>2.8530786431725522E-2</v>
      </c>
      <c r="L54" s="261">
        <v>702</v>
      </c>
      <c r="M54" s="261">
        <v>430</v>
      </c>
      <c r="N54" s="1269"/>
      <c r="O54" s="266">
        <v>57.220930220118987</v>
      </c>
      <c r="P54" s="267">
        <f t="shared" si="13"/>
        <v>2.8530786431725521</v>
      </c>
      <c r="Q54" s="263">
        <f t="shared" si="14"/>
        <v>24604.999994651163</v>
      </c>
      <c r="R54" s="661">
        <f t="shared" si="0"/>
        <v>2.8530786431725521</v>
      </c>
      <c r="S54" s="269">
        <f t="shared" si="1"/>
        <v>-302</v>
      </c>
      <c r="T54" s="269">
        <f t="shared" si="2"/>
        <v>108</v>
      </c>
      <c r="U54" s="269">
        <v>400</v>
      </c>
      <c r="V54" s="266">
        <f t="shared" si="15"/>
        <v>56.290697661979451</v>
      </c>
      <c r="W54" s="270">
        <f t="shared" si="16"/>
        <v>24204.999994651163</v>
      </c>
      <c r="X54" s="430">
        <f t="shared" si="3"/>
        <v>0.44618880406472178</v>
      </c>
      <c r="Y54" s="431">
        <v>410</v>
      </c>
      <c r="Z54" s="268">
        <f t="shared" si="17"/>
        <v>1.6938649043197771</v>
      </c>
      <c r="AA54" s="269">
        <f t="shared" si="18"/>
        <v>795</v>
      </c>
      <c r="AB54" s="269">
        <v>1205</v>
      </c>
      <c r="AC54" s="269">
        <f t="shared" si="19"/>
        <v>1031</v>
      </c>
      <c r="AD54" s="266">
        <f t="shared" si="4"/>
        <v>53.488372080584099</v>
      </c>
      <c r="AE54" s="270">
        <f t="shared" si="20"/>
        <v>22999.999994651163</v>
      </c>
      <c r="AF54" s="430">
        <f t="shared" si="21"/>
        <v>4.4826086966946406</v>
      </c>
      <c r="AG54" s="272">
        <v>236</v>
      </c>
      <c r="AH54" s="665">
        <f t="shared" si="22"/>
        <v>1.0260869567603641</v>
      </c>
      <c r="AI54" s="266">
        <f t="shared" si="23"/>
        <v>-0.667777947559413</v>
      </c>
      <c r="AJ54" s="273">
        <f t="shared" si="5"/>
        <v>-1.826991686412188</v>
      </c>
      <c r="AK54" s="274">
        <v>24000</v>
      </c>
      <c r="AL54" s="270"/>
      <c r="AM54" s="275">
        <f t="shared" si="36"/>
        <v>24000</v>
      </c>
      <c r="AN54" s="276">
        <v>236</v>
      </c>
      <c r="AO54" s="269">
        <v>187</v>
      </c>
      <c r="AP54" s="275">
        <f t="shared" si="24"/>
        <v>423</v>
      </c>
      <c r="AQ54" s="274">
        <f t="shared" si="7"/>
        <v>46576.999994651167</v>
      </c>
      <c r="AR54" s="430">
        <f t="shared" si="25"/>
        <v>0.84591107208546357</v>
      </c>
      <c r="AS54" s="432">
        <v>207</v>
      </c>
      <c r="AT54" s="195"/>
      <c r="AU54" s="278">
        <f t="shared" si="26"/>
        <v>0.44442536020733742</v>
      </c>
      <c r="AV54" s="195"/>
      <c r="AW54" s="279">
        <f t="shared" si="8"/>
        <v>-0.58166159655302674</v>
      </c>
      <c r="AX54" s="428"/>
      <c r="AY54" s="279">
        <f t="shared" si="9"/>
        <v>-2.4086532829652145</v>
      </c>
      <c r="AZ54" s="237"/>
      <c r="BA54" s="280">
        <f t="shared" si="27"/>
        <v>46576.999994651167</v>
      </c>
      <c r="BB54" s="281"/>
      <c r="BC54" s="381">
        <v>0</v>
      </c>
      <c r="BD54" s="283">
        <f t="shared" si="28"/>
        <v>46576.999994651167</v>
      </c>
      <c r="BE54" s="433">
        <v>413</v>
      </c>
      <c r="BF54" s="285">
        <f t="shared" si="29"/>
        <v>1.052021384065678</v>
      </c>
      <c r="BG54" s="645">
        <v>77</v>
      </c>
      <c r="BH54" s="286">
        <f t="shared" si="30"/>
        <v>0.16531764606746371</v>
      </c>
      <c r="BI54" s="244"/>
      <c r="BJ54" s="290">
        <v>202</v>
      </c>
      <c r="BK54" s="402">
        <f t="shared" si="31"/>
        <v>46374.999994651167</v>
      </c>
      <c r="BL54" s="290">
        <f t="shared" si="32"/>
        <v>125</v>
      </c>
      <c r="BM54" s="290">
        <f t="shared" si="35"/>
        <v>125</v>
      </c>
      <c r="BN54" s="291">
        <f t="shared" si="33"/>
        <v>0.26954177900682985</v>
      </c>
      <c r="BO54" s="290"/>
      <c r="BP54" s="290">
        <f t="shared" si="34"/>
        <v>0</v>
      </c>
      <c r="BR54" s="290"/>
    </row>
    <row r="55" spans="1:70" ht="19.149999999999999" customHeight="1" thickTop="1" thickBot="1" x14ac:dyDescent="0.3">
      <c r="A55" s="1257" t="s">
        <v>210</v>
      </c>
      <c r="B55" s="1258"/>
      <c r="C55" s="434">
        <f>SUM(C4:C54)</f>
        <v>52980</v>
      </c>
      <c r="D55" s="434">
        <f>SUM(D4:D54)</f>
        <v>52980</v>
      </c>
      <c r="E55" s="434">
        <v>4547226.184615328</v>
      </c>
      <c r="F55" s="435">
        <f t="shared" si="10"/>
        <v>85.829108807386334</v>
      </c>
      <c r="G55" s="436">
        <f t="shared" si="11"/>
        <v>5.0670450653971928</v>
      </c>
      <c r="H55" s="437">
        <v>114771</v>
      </c>
      <c r="I55" s="438">
        <v>230410</v>
      </c>
      <c r="J55" s="434">
        <v>4547226.184615328</v>
      </c>
      <c r="K55" s="439">
        <f t="shared" si="12"/>
        <v>5.0670450653971924E-2</v>
      </c>
      <c r="L55" s="434">
        <f>SUM(L4:L54)</f>
        <v>115639</v>
      </c>
      <c r="M55" s="434">
        <f>SUM(M4:M54)</f>
        <v>52980</v>
      </c>
      <c r="N55" s="434">
        <f>SUM(N4:N54)</f>
        <v>52980</v>
      </c>
      <c r="O55" s="440">
        <f>Q55/M55</f>
        <v>83.662800766616229</v>
      </c>
      <c r="P55" s="436">
        <f t="shared" si="13"/>
        <v>2.6089152666759734</v>
      </c>
      <c r="Q55" s="434">
        <f>SUM(Q4:Q54)</f>
        <v>4432455.184615328</v>
      </c>
      <c r="R55" s="679">
        <f>L55/Q55*100</f>
        <v>2.6089152666759734</v>
      </c>
      <c r="S55" s="441">
        <v>39776</v>
      </c>
      <c r="T55" s="441">
        <v>140499</v>
      </c>
      <c r="U55" s="441">
        <v>155415</v>
      </c>
      <c r="V55" s="440">
        <f>W55/M55</f>
        <v>80.729335307952582</v>
      </c>
      <c r="W55" s="442">
        <f>Q55-U55</f>
        <v>4277040.184615328</v>
      </c>
      <c r="X55" s="443">
        <f t="shared" si="3"/>
        <v>3.284958614730348</v>
      </c>
      <c r="Y55" s="444">
        <v>100723</v>
      </c>
      <c r="Z55" s="445">
        <f>Y55/W55*100</f>
        <v>2.3549696905421738</v>
      </c>
      <c r="AA55" s="441">
        <v>19297</v>
      </c>
      <c r="AB55" s="441">
        <v>120020</v>
      </c>
      <c r="AC55" s="441">
        <v>63945</v>
      </c>
      <c r="AD55" s="440">
        <f>AE55/N55</f>
        <v>78.463952144494684</v>
      </c>
      <c r="AE55" s="442">
        <f>W55-AB55</f>
        <v>4157020.184615328</v>
      </c>
      <c r="AF55" s="446">
        <f t="shared" si="21"/>
        <v>1.5382412680278381</v>
      </c>
      <c r="AG55" s="447">
        <v>44648</v>
      </c>
      <c r="AH55" s="666">
        <f>AG55/AE55*100</f>
        <v>1.0740385665010075</v>
      </c>
      <c r="AI55" s="448">
        <v>-0.20597092775142434</v>
      </c>
      <c r="AJ55" s="449">
        <f t="shared" si="5"/>
        <v>-1.5348767001749659</v>
      </c>
      <c r="AK55" s="450">
        <f>SUM(AK36:AK54)</f>
        <v>74000</v>
      </c>
      <c r="AL55" s="442">
        <f>SUM(AL4:AL54)</f>
        <v>52000</v>
      </c>
      <c r="AM55" s="451">
        <f t="shared" si="36"/>
        <v>126000</v>
      </c>
      <c r="AN55" s="452">
        <v>44648</v>
      </c>
      <c r="AO55" s="452">
        <f>SUM(AO4:AO54)</f>
        <v>35352</v>
      </c>
      <c r="AP55" s="453">
        <f t="shared" si="24"/>
        <v>80000</v>
      </c>
      <c r="AQ55" s="450">
        <f t="shared" si="7"/>
        <v>4203020.184615328</v>
      </c>
      <c r="AR55" s="454">
        <f t="shared" si="25"/>
        <v>1.8779828916578014</v>
      </c>
      <c r="AS55" s="455">
        <f>SUM(AS4:AS54)</f>
        <v>43580</v>
      </c>
      <c r="AT55" s="195"/>
      <c r="AU55" s="456">
        <f t="shared" si="26"/>
        <v>1.0368734406634443</v>
      </c>
      <c r="AV55" s="195"/>
      <c r="AW55" s="457">
        <f t="shared" si="8"/>
        <v>-3.7165125837563151E-2</v>
      </c>
      <c r="AX55" s="458"/>
      <c r="AY55" s="456">
        <f t="shared" si="9"/>
        <v>-1.5720418260125291</v>
      </c>
      <c r="AZ55" s="459"/>
      <c r="BA55" s="460">
        <f t="shared" si="27"/>
        <v>4203020.184615328</v>
      </c>
      <c r="BB55" s="461">
        <f>SUM(BB4:BB54)</f>
        <v>120000</v>
      </c>
      <c r="BC55" s="462">
        <v>0</v>
      </c>
      <c r="BD55" s="461">
        <f t="shared" si="28"/>
        <v>4323020.184615328</v>
      </c>
      <c r="BE55" s="463">
        <f>SUM(BE4:BE54)</f>
        <v>29680</v>
      </c>
      <c r="BF55" s="464">
        <f t="shared" si="29"/>
        <v>1.6420001982090286</v>
      </c>
      <c r="BG55" s="651">
        <v>41304</v>
      </c>
      <c r="BH55" s="465">
        <f t="shared" si="30"/>
        <v>0.95544314474847458</v>
      </c>
      <c r="BI55" s="466">
        <f>SUM(BI4:BI54)</f>
        <v>100000</v>
      </c>
      <c r="BJ55" s="462">
        <f>SUM(BJ4:BJ54)</f>
        <v>50000</v>
      </c>
      <c r="BK55" s="402">
        <f t="shared" si="31"/>
        <v>4373020.184615328</v>
      </c>
      <c r="BL55" s="462">
        <f t="shared" si="32"/>
        <v>8696</v>
      </c>
      <c r="BM55" s="462">
        <f t="shared" si="35"/>
        <v>8696</v>
      </c>
      <c r="BN55" s="467">
        <f t="shared" si="33"/>
        <v>0.19885570230371444</v>
      </c>
      <c r="BO55" s="462"/>
      <c r="BP55" s="462">
        <f t="shared" si="34"/>
        <v>0</v>
      </c>
      <c r="BR55" s="462"/>
    </row>
    <row r="56" spans="1:70" ht="22.9" hidden="1" customHeight="1" thickTop="1" x14ac:dyDescent="0.25">
      <c r="A56" s="1259" t="s">
        <v>211</v>
      </c>
      <c r="B56" s="1260"/>
      <c r="C56" s="1253" t="s">
        <v>271</v>
      </c>
      <c r="D56" s="1254"/>
      <c r="E56" s="1251" t="s">
        <v>272</v>
      </c>
      <c r="F56" s="1263" t="s">
        <v>273</v>
      </c>
      <c r="G56" s="1265" t="s">
        <v>274</v>
      </c>
      <c r="H56" s="1247" t="s">
        <v>275</v>
      </c>
      <c r="I56" s="1249" t="s">
        <v>276</v>
      </c>
      <c r="J56" s="1251" t="s">
        <v>277</v>
      </c>
      <c r="K56" s="1251" t="s">
        <v>278</v>
      </c>
      <c r="L56" s="1245" t="s">
        <v>212</v>
      </c>
      <c r="M56" s="1253" t="s">
        <v>213</v>
      </c>
      <c r="N56" s="1254"/>
      <c r="O56" s="1233" t="s">
        <v>214</v>
      </c>
      <c r="P56" s="1243" t="s">
        <v>244</v>
      </c>
      <c r="Q56" s="1245" t="s">
        <v>215</v>
      </c>
      <c r="R56" s="1231" t="s">
        <v>216</v>
      </c>
      <c r="S56" s="1233" t="s">
        <v>279</v>
      </c>
      <c r="T56" s="1233" t="s">
        <v>144</v>
      </c>
      <c r="U56" s="1233" t="s">
        <v>217</v>
      </c>
      <c r="V56" s="1233" t="s">
        <v>218</v>
      </c>
      <c r="W56" s="1235" t="s">
        <v>219</v>
      </c>
      <c r="X56" s="1227" t="s">
        <v>280</v>
      </c>
      <c r="Y56" s="1229" t="s">
        <v>220</v>
      </c>
      <c r="Z56" s="1241" t="s">
        <v>221</v>
      </c>
      <c r="AA56" s="1233" t="s">
        <v>145</v>
      </c>
      <c r="AB56" s="1233" t="s">
        <v>222</v>
      </c>
      <c r="AC56" s="1233" t="s">
        <v>146</v>
      </c>
      <c r="AD56" s="1233" t="s">
        <v>147</v>
      </c>
      <c r="AE56" s="1235" t="s">
        <v>148</v>
      </c>
      <c r="AF56" s="1227" t="s">
        <v>280</v>
      </c>
      <c r="AG56" s="1229" t="s">
        <v>281</v>
      </c>
      <c r="AH56" s="1231" t="s">
        <v>223</v>
      </c>
      <c r="AI56" s="1233" t="s">
        <v>282</v>
      </c>
      <c r="AJ56" s="1235" t="s">
        <v>283</v>
      </c>
      <c r="AK56" s="1237" t="s">
        <v>284</v>
      </c>
      <c r="AL56" s="1239" t="s">
        <v>284</v>
      </c>
      <c r="AM56" s="1217" t="s">
        <v>285</v>
      </c>
      <c r="AN56" s="1219" t="s">
        <v>286</v>
      </c>
      <c r="AO56" s="1221" t="s">
        <v>287</v>
      </c>
      <c r="AP56" s="1223" t="s">
        <v>288</v>
      </c>
      <c r="AQ56" s="1225" t="s">
        <v>289</v>
      </c>
      <c r="AR56" s="1227" t="s">
        <v>280</v>
      </c>
      <c r="AS56" s="1207" t="str">
        <f t="shared" ref="AS56:AW56" si="37">AS3</f>
        <v>Inventario Marco 2012 !</v>
      </c>
      <c r="AT56" s="468"/>
      <c r="AU56" s="1209" t="str">
        <f t="shared" si="37"/>
        <v xml:space="preserve"> %      Infestacao  Marco 2012</v>
      </c>
      <c r="AV56" s="468"/>
      <c r="AW56" s="1211" t="str">
        <f t="shared" si="37"/>
        <v xml:space="preserve">  Diferenca %      Infestacao Set 11 e Março12</v>
      </c>
      <c r="AX56" s="198"/>
      <c r="AY56" s="1209" t="str">
        <f>AY3</f>
        <v xml:space="preserve">  Diferenca %      Infestacao Set 10 e Março12</v>
      </c>
      <c r="AZ56" s="199"/>
      <c r="BA56" s="1213" t="s">
        <v>155</v>
      </c>
      <c r="BB56" s="1215" t="s">
        <v>255</v>
      </c>
      <c r="BC56" s="1197" t="s">
        <v>256</v>
      </c>
      <c r="BD56" s="1199" t="s">
        <v>257</v>
      </c>
      <c r="BE56" s="1193" t="s">
        <v>258</v>
      </c>
      <c r="BF56" s="1201" t="s">
        <v>259</v>
      </c>
      <c r="BG56" s="1203" t="s">
        <v>290</v>
      </c>
      <c r="BH56" s="1205" t="s">
        <v>291</v>
      </c>
      <c r="BI56" s="1187" t="s">
        <v>292</v>
      </c>
      <c r="BJ56" s="1189" t="s">
        <v>263</v>
      </c>
      <c r="BK56" s="1191" t="s">
        <v>257</v>
      </c>
      <c r="BL56" s="1193" t="s">
        <v>265</v>
      </c>
      <c r="BM56" s="1193" t="s">
        <v>293</v>
      </c>
      <c r="BN56" s="1195" t="s">
        <v>266</v>
      </c>
      <c r="BO56" s="1183" t="s">
        <v>294</v>
      </c>
      <c r="BP56" s="1185" t="s">
        <v>295</v>
      </c>
      <c r="BR56" s="1185" t="s">
        <v>269</v>
      </c>
    </row>
    <row r="57" spans="1:70" ht="30.75" hidden="1" customHeight="1" thickBot="1" x14ac:dyDescent="0.3">
      <c r="A57" s="1261"/>
      <c r="B57" s="1262"/>
      <c r="C57" s="1255"/>
      <c r="D57" s="1256"/>
      <c r="E57" s="1252"/>
      <c r="F57" s="1264"/>
      <c r="G57" s="1196"/>
      <c r="H57" s="1248"/>
      <c r="I57" s="1250"/>
      <c r="J57" s="1252"/>
      <c r="K57" s="1252"/>
      <c r="L57" s="1246"/>
      <c r="M57" s="1255"/>
      <c r="N57" s="1256"/>
      <c r="O57" s="1234"/>
      <c r="P57" s="1244"/>
      <c r="Q57" s="1246"/>
      <c r="R57" s="1232"/>
      <c r="S57" s="1234"/>
      <c r="T57" s="1234"/>
      <c r="U57" s="1234"/>
      <c r="V57" s="1234"/>
      <c r="W57" s="1236"/>
      <c r="X57" s="1228"/>
      <c r="Y57" s="1230"/>
      <c r="Z57" s="1242"/>
      <c r="AA57" s="1234"/>
      <c r="AB57" s="1234"/>
      <c r="AC57" s="1234"/>
      <c r="AD57" s="1234"/>
      <c r="AE57" s="1236"/>
      <c r="AF57" s="1228"/>
      <c r="AG57" s="1230"/>
      <c r="AH57" s="1232"/>
      <c r="AI57" s="1234"/>
      <c r="AJ57" s="1236"/>
      <c r="AK57" s="1238"/>
      <c r="AL57" s="1240"/>
      <c r="AM57" s="1218"/>
      <c r="AN57" s="1220"/>
      <c r="AO57" s="1222"/>
      <c r="AP57" s="1224"/>
      <c r="AQ57" s="1226"/>
      <c r="AR57" s="1228"/>
      <c r="AS57" s="1208"/>
      <c r="AT57" s="468"/>
      <c r="AU57" s="1210"/>
      <c r="AV57" s="468"/>
      <c r="AW57" s="1212"/>
      <c r="AX57" s="198"/>
      <c r="AY57" s="1210"/>
      <c r="AZ57" s="199"/>
      <c r="BA57" s="1214"/>
      <c r="BB57" s="1216"/>
      <c r="BC57" s="1198"/>
      <c r="BD57" s="1200"/>
      <c r="BE57" s="1194"/>
      <c r="BF57" s="1202"/>
      <c r="BG57" s="1204"/>
      <c r="BH57" s="1206"/>
      <c r="BI57" s="1188"/>
      <c r="BJ57" s="1190"/>
      <c r="BK57" s="1192"/>
      <c r="BL57" s="1194"/>
      <c r="BM57" s="1194"/>
      <c r="BN57" s="1196"/>
      <c r="BO57" s="1184"/>
      <c r="BP57" s="1186"/>
      <c r="BR57" s="1186"/>
    </row>
    <row r="58" spans="1:70" ht="13.5" hidden="1" thickTop="1" x14ac:dyDescent="0.25">
      <c r="A58" s="1179" t="s">
        <v>159</v>
      </c>
      <c r="B58" s="1180"/>
      <c r="C58" s="1171">
        <f>D4</f>
        <v>3950</v>
      </c>
      <c r="D58" s="1172"/>
      <c r="E58" s="469">
        <v>275810</v>
      </c>
      <c r="F58" s="470">
        <f>E58/C58</f>
        <v>69.825316455696196</v>
      </c>
      <c r="G58" s="471">
        <f>I58/J58*100</f>
        <v>6.4932380986911271</v>
      </c>
      <c r="H58" s="472">
        <v>8281</v>
      </c>
      <c r="I58" s="473">
        <v>17909</v>
      </c>
      <c r="J58" s="469">
        <v>275810</v>
      </c>
      <c r="K58" s="474">
        <f>I58/J58</f>
        <v>6.4932380986911273E-2</v>
      </c>
      <c r="L58" s="475">
        <f>SUM(L4:L8)</f>
        <v>9628</v>
      </c>
      <c r="M58" s="1171">
        <f>N4</f>
        <v>3950</v>
      </c>
      <c r="N58" s="1172"/>
      <c r="O58" s="476">
        <f>Q58/M58</f>
        <v>67.728860759493671</v>
      </c>
      <c r="P58" s="477">
        <f>L58/Q58*100</f>
        <v>3.598862179427277</v>
      </c>
      <c r="Q58" s="478">
        <f>SUM(Q4:Q8)</f>
        <v>267529</v>
      </c>
      <c r="R58" s="680">
        <f>L58/Q58*100</f>
        <v>3.598862179427277</v>
      </c>
      <c r="S58" s="475">
        <f>SUM(S4:S8)</f>
        <v>6891</v>
      </c>
      <c r="T58" s="475">
        <f>SUM(T4:T8)</f>
        <v>12015</v>
      </c>
      <c r="U58" s="475">
        <f>SUM(U4:U8)</f>
        <v>16519</v>
      </c>
      <c r="V58" s="476">
        <f>W58/M58</f>
        <v>63.546835443037978</v>
      </c>
      <c r="W58" s="479">
        <f>Q58-U58</f>
        <v>251010</v>
      </c>
      <c r="X58" s="350">
        <f t="shared" ref="X58:X68" si="38">(Y58+S58)/W58*100</f>
        <v>4.7866618859806387</v>
      </c>
      <c r="Y58" s="480">
        <f>SUM(Y4:Y8)</f>
        <v>5124</v>
      </c>
      <c r="Z58" s="470">
        <f>Y58/W58*100</f>
        <v>2.0413529341460497</v>
      </c>
      <c r="AA58" s="475">
        <f>SUM(AA4:AA8)</f>
        <v>605</v>
      </c>
      <c r="AB58" s="475">
        <f>SUM(AB4:AB8)</f>
        <v>5729</v>
      </c>
      <c r="AC58" s="475">
        <f>SUM(AC4:AC8)</f>
        <v>3509</v>
      </c>
      <c r="AD58" s="476">
        <f t="shared" ref="AD58:AD68" si="39">AE58/M58</f>
        <v>62.096455696202533</v>
      </c>
      <c r="AE58" s="479">
        <f>W58-AB58</f>
        <v>245281</v>
      </c>
      <c r="AF58" s="350">
        <f t="shared" si="21"/>
        <v>1.4306040826643727</v>
      </c>
      <c r="AG58" s="480">
        <f>SUM(AG4:AG8)</f>
        <v>2904</v>
      </c>
      <c r="AH58" s="667">
        <f>AG58/AE58*100</f>
        <v>1.1839482063429292</v>
      </c>
      <c r="AI58" s="476">
        <f t="shared" ref="AI58:AI68" si="40">-(R58-Z58)</f>
        <v>-1.5575092452812274</v>
      </c>
      <c r="AJ58" s="481">
        <f t="shared" ref="AJ58:AJ68" si="41">-(R58-AH58)</f>
        <v>-2.4149139730843476</v>
      </c>
      <c r="AK58" s="482">
        <f>SUM(AK4:AK8)</f>
        <v>0</v>
      </c>
      <c r="AL58" s="478">
        <f>SUM(AL4:AL8)</f>
        <v>0</v>
      </c>
      <c r="AM58" s="483">
        <f>SUM(AM4:AM8)</f>
        <v>0</v>
      </c>
      <c r="AN58" s="484">
        <v>2904</v>
      </c>
      <c r="AO58" s="475">
        <f>SUM(AO4:AO8)</f>
        <v>2301</v>
      </c>
      <c r="AP58" s="483">
        <f>SUM(AP4:AP8)</f>
        <v>5205</v>
      </c>
      <c r="AQ58" s="485">
        <f>SUM(AQ4:AQ8)</f>
        <v>240076</v>
      </c>
      <c r="AR58" s="350">
        <f t="shared" si="25"/>
        <v>1.3974741331911562</v>
      </c>
      <c r="AS58" s="486">
        <f>SUM(AS4:AS8)</f>
        <v>1054</v>
      </c>
      <c r="AT58" s="195"/>
      <c r="AU58" s="424">
        <f>AS58/AQ58*100</f>
        <v>0.43902764124693844</v>
      </c>
      <c r="AV58" s="195"/>
      <c r="AW58" s="487">
        <f t="shared" ref="AW58:AW68" si="42">-(AH58-AU58)</f>
        <v>-0.74492056509599069</v>
      </c>
      <c r="AX58" s="488"/>
      <c r="AY58" s="487">
        <v>-3.2157097210320544</v>
      </c>
      <c r="AZ58" s="489"/>
      <c r="BA58" s="485">
        <f t="shared" ref="BA58:BA68" si="43">AQ58</f>
        <v>240076</v>
      </c>
      <c r="BB58" s="485">
        <f>SUM(BB4:BB8)</f>
        <v>0</v>
      </c>
      <c r="BC58" s="485">
        <f>SUM(BC4:BC8)</f>
        <v>0</v>
      </c>
      <c r="BD58" s="485">
        <f>BA58+BB58-BC58</f>
        <v>240076</v>
      </c>
      <c r="BE58" s="485">
        <f>SUM(BE4:BE8)</f>
        <v>685</v>
      </c>
      <c r="BF58" s="490">
        <f t="shared" ref="BF58:BF68" si="44">(BE58+BG58)*100/BD58</f>
        <v>1.1308918842366584</v>
      </c>
      <c r="BG58" s="652">
        <v>2030</v>
      </c>
      <c r="BH58" s="243">
        <f>BG58/BD58*100</f>
        <v>0.84556557090254747</v>
      </c>
      <c r="BI58" s="491">
        <f>SUM(BI4:BI8)</f>
        <v>5000</v>
      </c>
      <c r="BJ58" s="485">
        <f>SUM(BJ4:BJ8)</f>
        <v>3200</v>
      </c>
      <c r="BK58" s="485">
        <f>SUM(BK4:BK8)</f>
        <v>241876</v>
      </c>
      <c r="BL58" s="485">
        <f>SUM(BL4:BL8)</f>
        <v>1170</v>
      </c>
      <c r="BM58" s="485">
        <f t="shared" ref="BM58:BM68" si="45">IF(BL58&gt;0,BL58,0)</f>
        <v>1170</v>
      </c>
      <c r="BN58" s="492">
        <f>(BO58+BM58)*100/BK58</f>
        <v>0.48371893036101143</v>
      </c>
      <c r="BO58" s="485">
        <f>SUM(BO4:BO8)</f>
        <v>0</v>
      </c>
      <c r="BP58" s="493">
        <f>BO58/BK58*100</f>
        <v>0</v>
      </c>
      <c r="BR58" s="494"/>
    </row>
    <row r="59" spans="1:70" ht="13.5" hidden="1" thickTop="1" x14ac:dyDescent="0.25">
      <c r="A59" s="1179" t="s">
        <v>224</v>
      </c>
      <c r="B59" s="1180"/>
      <c r="C59" s="1181">
        <f>D9</f>
        <v>1490</v>
      </c>
      <c r="D59" s="1182"/>
      <c r="E59" s="472">
        <v>210337.9999824051</v>
      </c>
      <c r="F59" s="495">
        <f t="shared" ref="F59:F68" si="46">E59/C59</f>
        <v>141.16644294121147</v>
      </c>
      <c r="G59" s="496">
        <f t="shared" ref="G59:G68" si="47">I59/J59*100</f>
        <v>9.023096160269473</v>
      </c>
      <c r="H59" s="472">
        <v>13622</v>
      </c>
      <c r="I59" s="497">
        <v>18979</v>
      </c>
      <c r="J59" s="472">
        <v>210337.9999824051</v>
      </c>
      <c r="K59" s="498">
        <f t="shared" ref="K59:K68" si="48">I59/J59</f>
        <v>9.0230961602694726E-2</v>
      </c>
      <c r="L59" s="499">
        <f>SUM(L9:L10)</f>
        <v>5357</v>
      </c>
      <c r="M59" s="1181">
        <f>N9</f>
        <v>1490</v>
      </c>
      <c r="N59" s="1182"/>
      <c r="O59" s="500">
        <f t="shared" ref="O59:O68" si="49">Q59/M59</f>
        <v>132.02416106201684</v>
      </c>
      <c r="P59" s="501">
        <f t="shared" ref="P59:P68" si="50">L59/Q59*100</f>
        <v>2.7232151937204634</v>
      </c>
      <c r="Q59" s="502">
        <f>SUM(Q9:Q10)</f>
        <v>196715.9999824051</v>
      </c>
      <c r="R59" s="681">
        <f t="shared" ref="R59:R68" si="51">L59/Q59*100</f>
        <v>2.7232151937204634</v>
      </c>
      <c r="S59" s="502">
        <f>SUM(S9:S10)</f>
        <v>7769</v>
      </c>
      <c r="T59" s="502">
        <f>SUM(T9:T10)</f>
        <v>17579</v>
      </c>
      <c r="U59" s="502">
        <f>SUM(U9:U10)</f>
        <v>13126</v>
      </c>
      <c r="V59" s="500">
        <f t="shared" ref="V59:V68" si="52">W59/M59</f>
        <v>123.21476508886249</v>
      </c>
      <c r="W59" s="503">
        <f t="shared" ref="W59:W68" si="53">Q59-U59</f>
        <v>183589.9999824051</v>
      </c>
      <c r="X59" s="227">
        <f t="shared" si="38"/>
        <v>9.5751402591016603</v>
      </c>
      <c r="Y59" s="504">
        <f>SUM(Y9:Y10)</f>
        <v>9810</v>
      </c>
      <c r="Z59" s="495">
        <f t="shared" ref="Z59:Z68" si="54">Y59/W59*100</f>
        <v>5.3434282918133729</v>
      </c>
      <c r="AA59" s="502">
        <f>SUM(AA9:AA10)</f>
        <v>1158</v>
      </c>
      <c r="AB59" s="502">
        <f>SUM(AB9:AB10)</f>
        <v>10968</v>
      </c>
      <c r="AC59" s="500">
        <f>SUM(AC9:AC10)</f>
        <v>5245</v>
      </c>
      <c r="AD59" s="500">
        <f t="shared" si="39"/>
        <v>115.85369126335912</v>
      </c>
      <c r="AE59" s="503">
        <f t="shared" ref="AE59:AE68" si="55">W59-AB59</f>
        <v>172621.9999824051</v>
      </c>
      <c r="AF59" s="227">
        <f t="shared" si="21"/>
        <v>3.0384307912865154</v>
      </c>
      <c r="AG59" s="504">
        <f>SUM(AG9:AG10)</f>
        <v>4087</v>
      </c>
      <c r="AH59" s="668">
        <f t="shared" ref="AH59:AH68" si="56">AG59/AE59*100</f>
        <v>2.3676008854123904</v>
      </c>
      <c r="AI59" s="500">
        <f t="shared" si="40"/>
        <v>2.6202130980929095</v>
      </c>
      <c r="AJ59" s="505">
        <f t="shared" si="41"/>
        <v>-0.35561430830807295</v>
      </c>
      <c r="AK59" s="506">
        <f>SUM(AK9:AK10)</f>
        <v>0</v>
      </c>
      <c r="AL59" s="502">
        <f>SUM(AL9:AL10)</f>
        <v>0</v>
      </c>
      <c r="AM59" s="507">
        <f>SUM(AM9:AM10)</f>
        <v>0</v>
      </c>
      <c r="AN59" s="506">
        <v>4087</v>
      </c>
      <c r="AO59" s="502">
        <f>SUM(AO9:AO10)</f>
        <v>3236</v>
      </c>
      <c r="AP59" s="507">
        <f>SUM(AP9:AP10)</f>
        <v>7323</v>
      </c>
      <c r="AQ59" s="508">
        <f>SUM(AQ9:AQ10)</f>
        <v>165298.9999824051</v>
      </c>
      <c r="AR59" s="227">
        <f t="shared" si="25"/>
        <v>3.4222832567663128</v>
      </c>
      <c r="AS59" s="509">
        <f>SUM(AS9:AS10)</f>
        <v>2421</v>
      </c>
      <c r="AT59" s="195"/>
      <c r="AU59" s="249">
        <f t="shared" ref="AU59:AU68" si="57">AS59/AQ59*100</f>
        <v>1.464618660885848</v>
      </c>
      <c r="AV59" s="195"/>
      <c r="AW59" s="234">
        <f t="shared" si="42"/>
        <v>-0.90298222452654242</v>
      </c>
      <c r="AX59" s="510"/>
      <c r="AY59" s="234">
        <v>-1.9904785504909217</v>
      </c>
      <c r="AZ59" s="489"/>
      <c r="BA59" s="508">
        <f t="shared" si="43"/>
        <v>165298.9999824051</v>
      </c>
      <c r="BB59" s="508">
        <f>SUM(BB9:BB10)</f>
        <v>12000</v>
      </c>
      <c r="BC59" s="508">
        <f>SUM(BC9:BC10)</f>
        <v>0</v>
      </c>
      <c r="BD59" s="508">
        <f t="shared" ref="BD59:BD68" si="58">BA59+BB59-BC59</f>
        <v>177298.9999824051</v>
      </c>
      <c r="BE59" s="508">
        <f>SUM(BE9:BE10)</f>
        <v>1259</v>
      </c>
      <c r="BF59" s="511">
        <f t="shared" si="44"/>
        <v>2.6305844931233953</v>
      </c>
      <c r="BG59" s="653">
        <v>3405</v>
      </c>
      <c r="BH59" s="256">
        <f t="shared" ref="BH59:BH68" si="59">BG59/BD59*100</f>
        <v>1.9204846052927018</v>
      </c>
      <c r="BI59" s="512">
        <f>SUM(BI9:BI10)</f>
        <v>10000</v>
      </c>
      <c r="BJ59" s="508">
        <f>SUM(BJ9:BJ10)</f>
        <v>5900</v>
      </c>
      <c r="BK59" s="508">
        <f>SUM(BK9:BK10)</f>
        <v>181398.9999824051</v>
      </c>
      <c r="BL59" s="508">
        <f>SUM(BL9:BL10)</f>
        <v>2495</v>
      </c>
      <c r="BM59" s="508">
        <f t="shared" si="45"/>
        <v>2495</v>
      </c>
      <c r="BN59" s="513">
        <f t="shared" ref="BN59:BN68" si="60">(BO59+BM59)*100/BK59</f>
        <v>1.375421033325434</v>
      </c>
      <c r="BO59" s="508">
        <f>SUM(BO9:BO10)</f>
        <v>0</v>
      </c>
      <c r="BP59" s="514">
        <f t="shared" ref="BP59:BP68" si="61">BO59/BK59*100</f>
        <v>0</v>
      </c>
      <c r="BR59" s="515"/>
    </row>
    <row r="60" spans="1:70" ht="13.5" hidden="1" thickTop="1" x14ac:dyDescent="0.25">
      <c r="A60" s="1179" t="s">
        <v>166</v>
      </c>
      <c r="B60" s="1180"/>
      <c r="C60" s="1181">
        <f>D11</f>
        <v>9260</v>
      </c>
      <c r="D60" s="1182"/>
      <c r="E60" s="516">
        <v>1083734.2343070598</v>
      </c>
      <c r="F60" s="495">
        <f t="shared" si="46"/>
        <v>117.03393459039522</v>
      </c>
      <c r="G60" s="496">
        <f t="shared" si="47"/>
        <v>3.0533316151222039</v>
      </c>
      <c r="H60" s="472">
        <v>20158</v>
      </c>
      <c r="I60" s="497">
        <v>33090</v>
      </c>
      <c r="J60" s="516">
        <v>1083734.2343070598</v>
      </c>
      <c r="K60" s="498">
        <f t="shared" si="48"/>
        <v>3.053331615122204E-2</v>
      </c>
      <c r="L60" s="499">
        <f>SUM(L11:L19)</f>
        <v>12932</v>
      </c>
      <c r="M60" s="1181">
        <f>N11</f>
        <v>9260</v>
      </c>
      <c r="N60" s="1182"/>
      <c r="O60" s="500">
        <f t="shared" si="49"/>
        <v>114.85704474158312</v>
      </c>
      <c r="P60" s="501">
        <f t="shared" si="50"/>
        <v>1.215897796778568</v>
      </c>
      <c r="Q60" s="502">
        <f>SUM(Q11:Q19)</f>
        <v>1063576.2343070598</v>
      </c>
      <c r="R60" s="681">
        <f t="shared" si="51"/>
        <v>1.215897796778568</v>
      </c>
      <c r="S60" s="499">
        <f>SUM(S11:S19)</f>
        <v>5472</v>
      </c>
      <c r="T60" s="499">
        <f>SUM(T11:T19)</f>
        <v>25615</v>
      </c>
      <c r="U60" s="499">
        <f>SUM(U11:U19)</f>
        <v>18404</v>
      </c>
      <c r="V60" s="500">
        <f t="shared" si="52"/>
        <v>112.86957173942331</v>
      </c>
      <c r="W60" s="503">
        <f t="shared" si="53"/>
        <v>1045172.2343070598</v>
      </c>
      <c r="X60" s="227">
        <f t="shared" si="38"/>
        <v>2.4507922387531202</v>
      </c>
      <c r="Y60" s="517">
        <f>SUM(Y11:Y19)</f>
        <v>20143</v>
      </c>
      <c r="Z60" s="495">
        <f t="shared" si="54"/>
        <v>1.9272421653407807</v>
      </c>
      <c r="AA60" s="499">
        <f>SUM(AA11:AA19)</f>
        <v>2379</v>
      </c>
      <c r="AB60" s="499">
        <f>SUM(AB11:AB19)</f>
        <v>22522</v>
      </c>
      <c r="AC60" s="499">
        <f>SUM(AC11:AC19)</f>
        <v>15801</v>
      </c>
      <c r="AD60" s="500">
        <f t="shared" si="39"/>
        <v>110.43739031393734</v>
      </c>
      <c r="AE60" s="503">
        <f t="shared" si="55"/>
        <v>1022650.2343070598</v>
      </c>
      <c r="AF60" s="227">
        <f t="shared" si="21"/>
        <v>1.5451030538028125</v>
      </c>
      <c r="AG60" s="517">
        <f>SUM(AG11:AG19)</f>
        <v>13422</v>
      </c>
      <c r="AH60" s="668">
        <f t="shared" si="56"/>
        <v>1.3124721972116544</v>
      </c>
      <c r="AI60" s="500">
        <f t="shared" si="40"/>
        <v>0.71134436856221273</v>
      </c>
      <c r="AJ60" s="505">
        <f t="shared" si="41"/>
        <v>9.6574400433086405E-2</v>
      </c>
      <c r="AK60" s="506">
        <f>SUM(AK11:AK19)</f>
        <v>0</v>
      </c>
      <c r="AL60" s="502">
        <f>SUM(AL11:AL19)</f>
        <v>15000</v>
      </c>
      <c r="AM60" s="507">
        <f>SUM(AM11:AM19)</f>
        <v>15000</v>
      </c>
      <c r="AN60" s="518">
        <v>13422</v>
      </c>
      <c r="AO60" s="499">
        <f>SUM(AO11:AO19)</f>
        <v>10457</v>
      </c>
      <c r="AP60" s="507">
        <f>SUM(AP11:AP19)</f>
        <v>23879</v>
      </c>
      <c r="AQ60" s="508">
        <f>SUM(AQ11:AQ19)</f>
        <v>1013771.2343070598</v>
      </c>
      <c r="AR60" s="227">
        <f t="shared" si="25"/>
        <v>2.2878928909295526</v>
      </c>
      <c r="AS60" s="509">
        <f>SUM(AS11:AS19)</f>
        <v>12737</v>
      </c>
      <c r="AT60" s="195"/>
      <c r="AU60" s="249">
        <f t="shared" si="57"/>
        <v>1.25639785081356</v>
      </c>
      <c r="AV60" s="195"/>
      <c r="AW60" s="234">
        <f t="shared" si="42"/>
        <v>-5.6074346398094388E-2</v>
      </c>
      <c r="AX60" s="510"/>
      <c r="AY60" s="234">
        <v>-0.43029455375260695</v>
      </c>
      <c r="AZ60" s="489"/>
      <c r="BA60" s="508">
        <f t="shared" si="43"/>
        <v>1013771.2343070598</v>
      </c>
      <c r="BB60" s="508">
        <f>SUM(BB11:BB19)</f>
        <v>25000</v>
      </c>
      <c r="BC60" s="508">
        <f>SUM(BC11:BC19)</f>
        <v>0</v>
      </c>
      <c r="BD60" s="508">
        <f t="shared" si="58"/>
        <v>1038771.2343070598</v>
      </c>
      <c r="BE60" s="508">
        <f>SUM(BE11:BE19)</f>
        <v>8960</v>
      </c>
      <c r="BF60" s="511">
        <f t="shared" si="44"/>
        <v>2.0806313542574686</v>
      </c>
      <c r="BG60" s="653">
        <v>12653</v>
      </c>
      <c r="BH60" s="256">
        <f t="shared" si="59"/>
        <v>1.2180737762189306</v>
      </c>
      <c r="BI60" s="512">
        <f>SUM(BI11:BI19)</f>
        <v>15000</v>
      </c>
      <c r="BJ60" s="508">
        <f>SUM(BJ11:BJ19)</f>
        <v>9300</v>
      </c>
      <c r="BK60" s="508">
        <f>SUM(BK11:BK19)</f>
        <v>1044471.2343070598</v>
      </c>
      <c r="BL60" s="508">
        <f>SUM(BL11:BL19)</f>
        <v>-3353</v>
      </c>
      <c r="BM60" s="508">
        <f t="shared" si="45"/>
        <v>0</v>
      </c>
      <c r="BN60" s="513">
        <f t="shared" si="60"/>
        <v>0</v>
      </c>
      <c r="BO60" s="508">
        <f>SUM(BO11:BO19)</f>
        <v>0</v>
      </c>
      <c r="BP60" s="514">
        <f t="shared" si="61"/>
        <v>0</v>
      </c>
      <c r="BR60" s="515"/>
    </row>
    <row r="61" spans="1:70" ht="13.5" hidden="1" thickTop="1" x14ac:dyDescent="0.25">
      <c r="A61" s="1179" t="s">
        <v>175</v>
      </c>
      <c r="B61" s="1180"/>
      <c r="C61" s="1181">
        <f>D20</f>
        <v>6850</v>
      </c>
      <c r="D61" s="1182"/>
      <c r="E61" s="516">
        <v>399995.28620445856</v>
      </c>
      <c r="F61" s="495">
        <f t="shared" si="46"/>
        <v>58.393472438607091</v>
      </c>
      <c r="G61" s="496">
        <f t="shared" si="47"/>
        <v>6.5168267974727554</v>
      </c>
      <c r="H61" s="472">
        <v>15812</v>
      </c>
      <c r="I61" s="497">
        <v>26067</v>
      </c>
      <c r="J61" s="516">
        <v>399995.28620445856</v>
      </c>
      <c r="K61" s="498">
        <f t="shared" si="48"/>
        <v>6.5168267974727551E-2</v>
      </c>
      <c r="L61" s="499">
        <f>SUM(L20:L25)</f>
        <v>10255</v>
      </c>
      <c r="M61" s="1181">
        <f>N20</f>
        <v>6850</v>
      </c>
      <c r="N61" s="1182"/>
      <c r="O61" s="500">
        <f t="shared" si="49"/>
        <v>56.085151270723877</v>
      </c>
      <c r="P61" s="501">
        <f t="shared" si="50"/>
        <v>2.6692988394457093</v>
      </c>
      <c r="Q61" s="502">
        <f>SUM(Q20:Q25)</f>
        <v>384183.28620445856</v>
      </c>
      <c r="R61" s="681">
        <f t="shared" si="51"/>
        <v>2.6692988394457093</v>
      </c>
      <c r="S61" s="499">
        <f>SUM(S20:S25)</f>
        <v>983</v>
      </c>
      <c r="T61" s="499">
        <f>SUM(T20:T25)</f>
        <v>8934</v>
      </c>
      <c r="U61" s="499">
        <f>SUM(U20:U25)</f>
        <v>11238</v>
      </c>
      <c r="V61" s="500">
        <f t="shared" si="52"/>
        <v>54.444567329118037</v>
      </c>
      <c r="W61" s="503">
        <f t="shared" si="53"/>
        <v>372945.28620445856</v>
      </c>
      <c r="X61" s="227">
        <f t="shared" si="38"/>
        <v>2.3955256522808397</v>
      </c>
      <c r="Y61" s="517">
        <f>SUM(Y20:Y25)</f>
        <v>7951</v>
      </c>
      <c r="Z61" s="495">
        <f t="shared" si="54"/>
        <v>2.1319481152098674</v>
      </c>
      <c r="AA61" s="499">
        <f>SUM(AA20:AA25)</f>
        <v>939</v>
      </c>
      <c r="AB61" s="499">
        <f>SUM(AB20:AB25)</f>
        <v>8890</v>
      </c>
      <c r="AC61" s="499">
        <f>SUM(AC20:AC25)</f>
        <v>5412</v>
      </c>
      <c r="AD61" s="500">
        <f t="shared" si="39"/>
        <v>53.146757110139937</v>
      </c>
      <c r="AE61" s="503">
        <f t="shared" si="55"/>
        <v>364055.28620445856</v>
      </c>
      <c r="AF61" s="227">
        <f t="shared" si="21"/>
        <v>1.4865873962232605</v>
      </c>
      <c r="AG61" s="517">
        <f>SUM(AG20:AG25)</f>
        <v>4473</v>
      </c>
      <c r="AH61" s="668">
        <f t="shared" si="56"/>
        <v>1.2286595386745462</v>
      </c>
      <c r="AI61" s="500">
        <f t="shared" si="40"/>
        <v>-0.53735072423584196</v>
      </c>
      <c r="AJ61" s="505">
        <f t="shared" si="41"/>
        <v>-1.4406393007711631</v>
      </c>
      <c r="AK61" s="506">
        <f>SUM(AK20:AK25)</f>
        <v>0</v>
      </c>
      <c r="AL61" s="502">
        <f>SUM(AL20:AL25)</f>
        <v>0</v>
      </c>
      <c r="AM61" s="507">
        <f>SUM(AM20:AM25)</f>
        <v>0</v>
      </c>
      <c r="AN61" s="518">
        <v>4473</v>
      </c>
      <c r="AO61" s="499">
        <f>SUM(AO20:AO25)</f>
        <v>3767</v>
      </c>
      <c r="AP61" s="507">
        <f>SUM(AP20:AP25)</f>
        <v>8240</v>
      </c>
      <c r="AQ61" s="508">
        <f>SUM(AQ20:AQ25)</f>
        <v>355815.28620445856</v>
      </c>
      <c r="AR61" s="227">
        <f t="shared" si="25"/>
        <v>2.0038487036509611</v>
      </c>
      <c r="AS61" s="509">
        <f>SUM(AS20:AS25)</f>
        <v>3363</v>
      </c>
      <c r="AT61" s="195"/>
      <c r="AU61" s="249">
        <f t="shared" si="57"/>
        <v>0.94515332263368623</v>
      </c>
      <c r="AV61" s="195"/>
      <c r="AW61" s="234">
        <f t="shared" si="42"/>
        <v>-0.28350621604086002</v>
      </c>
      <c r="AX61" s="510"/>
      <c r="AY61" s="234">
        <v>-2.3027828239876822</v>
      </c>
      <c r="AZ61" s="489"/>
      <c r="BA61" s="508">
        <f t="shared" si="43"/>
        <v>355815.28620445856</v>
      </c>
      <c r="BB61" s="508">
        <f>SUM(BB20:BB25)</f>
        <v>25000</v>
      </c>
      <c r="BC61" s="508">
        <f>SUM(BC20:BC25)</f>
        <v>0</v>
      </c>
      <c r="BD61" s="508">
        <f t="shared" si="58"/>
        <v>380815.28620445856</v>
      </c>
      <c r="BE61" s="508">
        <f>SUM(BE20:BE25)</f>
        <v>2594</v>
      </c>
      <c r="BF61" s="511">
        <f t="shared" si="44"/>
        <v>1.952390113880085</v>
      </c>
      <c r="BG61" s="653">
        <v>4841</v>
      </c>
      <c r="BH61" s="256">
        <f t="shared" si="59"/>
        <v>1.2712199786541347</v>
      </c>
      <c r="BI61" s="512">
        <f>SUM(BI20:BI25)</f>
        <v>20000</v>
      </c>
      <c r="BJ61" s="508">
        <f>SUM(BJ20:BJ25)</f>
        <v>5200</v>
      </c>
      <c r="BK61" s="508">
        <f>SUM(BK20:BK25)</f>
        <v>395615.28620445856</v>
      </c>
      <c r="BL61" s="508">
        <f>SUM(BL20:BL25)</f>
        <v>359</v>
      </c>
      <c r="BM61" s="508">
        <f t="shared" si="45"/>
        <v>359</v>
      </c>
      <c r="BN61" s="513">
        <f t="shared" si="60"/>
        <v>9.0744724109185368E-2</v>
      </c>
      <c r="BO61" s="508">
        <f>SUM(BO20:BO25)</f>
        <v>0</v>
      </c>
      <c r="BP61" s="514">
        <f t="shared" si="61"/>
        <v>0</v>
      </c>
      <c r="BR61" s="515"/>
    </row>
    <row r="62" spans="1:70" ht="13.5" hidden="1" thickTop="1" x14ac:dyDescent="0.25">
      <c r="A62" s="1179" t="s">
        <v>225</v>
      </c>
      <c r="B62" s="1180"/>
      <c r="C62" s="1181">
        <f>D26</f>
        <v>17220</v>
      </c>
      <c r="D62" s="1182"/>
      <c r="E62" s="516">
        <v>1717295.6642218786</v>
      </c>
      <c r="F62" s="495">
        <f t="shared" si="46"/>
        <v>99.726809768982505</v>
      </c>
      <c r="G62" s="496">
        <f t="shared" si="47"/>
        <v>3.7836815962288961</v>
      </c>
      <c r="H62" s="472">
        <v>42562</v>
      </c>
      <c r="I62" s="497">
        <v>64977</v>
      </c>
      <c r="J62" s="516">
        <v>1717295.6642218786</v>
      </c>
      <c r="K62" s="498">
        <f t="shared" si="48"/>
        <v>3.783681596228896E-2</v>
      </c>
      <c r="L62" s="499">
        <f>SUM(L26:L34)</f>
        <v>22415</v>
      </c>
      <c r="M62" s="1181">
        <f>N26</f>
        <v>17220</v>
      </c>
      <c r="N62" s="1182"/>
      <c r="O62" s="500">
        <f t="shared" si="49"/>
        <v>97.255148909516763</v>
      </c>
      <c r="P62" s="501">
        <f t="shared" si="50"/>
        <v>1.3384217728981131</v>
      </c>
      <c r="Q62" s="502">
        <f>SUM(Q26:Q34)</f>
        <v>1674733.6642218786</v>
      </c>
      <c r="R62" s="681">
        <f t="shared" si="51"/>
        <v>1.3384217728981131</v>
      </c>
      <c r="S62" s="499">
        <f>SUM(S26:S34)</f>
        <v>14522</v>
      </c>
      <c r="T62" s="499">
        <f>SUM(T26:T34)</f>
        <v>33949</v>
      </c>
      <c r="U62" s="499">
        <f>SUM(U26:U34)</f>
        <v>36937</v>
      </c>
      <c r="V62" s="500">
        <f t="shared" si="52"/>
        <v>95.110143102315831</v>
      </c>
      <c r="W62" s="503">
        <f t="shared" si="53"/>
        <v>1637796.6642218786</v>
      </c>
      <c r="X62" s="227">
        <f t="shared" si="38"/>
        <v>2.0728458386578321</v>
      </c>
      <c r="Y62" s="517">
        <f>SUM(Y26:Y34)</f>
        <v>19427</v>
      </c>
      <c r="Z62" s="495">
        <f t="shared" si="54"/>
        <v>1.1861667827507645</v>
      </c>
      <c r="AA62" s="499">
        <f>SUM(AA26:AA34)</f>
        <v>2294</v>
      </c>
      <c r="AB62" s="499">
        <f>SUM(AB26:AB34)</f>
        <v>21721</v>
      </c>
      <c r="AC62" s="499">
        <f>SUM(AC26:AC34)</f>
        <v>8973</v>
      </c>
      <c r="AD62" s="500">
        <f t="shared" si="39"/>
        <v>93.848760988494689</v>
      </c>
      <c r="AE62" s="503">
        <f t="shared" si="55"/>
        <v>1616075.6642218786</v>
      </c>
      <c r="AF62" s="227">
        <f t="shared" si="21"/>
        <v>0.55523390387295968</v>
      </c>
      <c r="AG62" s="517">
        <f>SUM(AG26:AG34)</f>
        <v>6679</v>
      </c>
      <c r="AH62" s="668">
        <f t="shared" si="56"/>
        <v>0.41328510464365292</v>
      </c>
      <c r="AI62" s="500">
        <f t="shared" si="40"/>
        <v>-0.15225499014734867</v>
      </c>
      <c r="AJ62" s="505">
        <f t="shared" si="41"/>
        <v>-0.92513666825446017</v>
      </c>
      <c r="AK62" s="506">
        <f>SUM(AK26:AK34)</f>
        <v>0</v>
      </c>
      <c r="AL62" s="502">
        <f>SUM(AL26:AL34)</f>
        <v>17000</v>
      </c>
      <c r="AM62" s="507">
        <f>SUM(AM26:AM34)</f>
        <v>17000</v>
      </c>
      <c r="AN62" s="518">
        <v>6679</v>
      </c>
      <c r="AO62" s="499">
        <f>SUM(AO26:AO34)</f>
        <v>5438</v>
      </c>
      <c r="AP62" s="507">
        <f>SUM(AP26:AP34)</f>
        <v>12117</v>
      </c>
      <c r="AQ62" s="508">
        <f>SUM(AQ26:AQ34)</f>
        <v>1620958.6642218786</v>
      </c>
      <c r="AR62" s="227">
        <f t="shared" si="25"/>
        <v>1.0546228215021292</v>
      </c>
      <c r="AS62" s="509">
        <f>SUM(AS26:AS34)</f>
        <v>11657</v>
      </c>
      <c r="AT62" s="195"/>
      <c r="AU62" s="249">
        <f t="shared" si="57"/>
        <v>0.71914233578533604</v>
      </c>
      <c r="AV62" s="195"/>
      <c r="AW62" s="234">
        <f t="shared" si="42"/>
        <v>0.30585723114168312</v>
      </c>
      <c r="AX62" s="510"/>
      <c r="AY62" s="234">
        <v>-0.8076305053548396</v>
      </c>
      <c r="AZ62" s="489"/>
      <c r="BA62" s="508">
        <f t="shared" si="43"/>
        <v>1620958.6642218786</v>
      </c>
      <c r="BB62" s="508">
        <f>SUM(BB26:BB34)</f>
        <v>32000</v>
      </c>
      <c r="BC62" s="508">
        <f>SUM(BC26:BC34)</f>
        <v>0</v>
      </c>
      <c r="BD62" s="508">
        <f t="shared" si="58"/>
        <v>1652958.6642218786</v>
      </c>
      <c r="BE62" s="508">
        <f>SUM(BE26:BE34)</f>
        <v>8228</v>
      </c>
      <c r="BF62" s="511">
        <f t="shared" si="44"/>
        <v>0.89645314917632823</v>
      </c>
      <c r="BG62" s="653">
        <v>6590</v>
      </c>
      <c r="BH62" s="256">
        <f t="shared" si="59"/>
        <v>0.39867905608530191</v>
      </c>
      <c r="BI62" s="512">
        <f>SUM(BI26:BI34)</f>
        <v>5000</v>
      </c>
      <c r="BJ62" s="508">
        <f>SUM(BJ26:BJ34)</f>
        <v>10000</v>
      </c>
      <c r="BK62" s="508">
        <f>SUM(BK26:BK34)</f>
        <v>1647958.6642218786</v>
      </c>
      <c r="BL62" s="508">
        <f>SUM(BL26:BL34)</f>
        <v>3410</v>
      </c>
      <c r="BM62" s="508">
        <f t="shared" si="45"/>
        <v>3410</v>
      </c>
      <c r="BN62" s="513">
        <f t="shared" si="60"/>
        <v>0.20692266584308469</v>
      </c>
      <c r="BO62" s="508">
        <f>SUM(BO26:BO34)</f>
        <v>0</v>
      </c>
      <c r="BP62" s="514">
        <f t="shared" si="61"/>
        <v>0</v>
      </c>
      <c r="BR62" s="515"/>
    </row>
    <row r="63" spans="1:70" ht="14.25" hidden="1" thickTop="1" thickBot="1" x14ac:dyDescent="0.3">
      <c r="A63" s="1173" t="s">
        <v>226</v>
      </c>
      <c r="B63" s="1174"/>
      <c r="C63" s="1175">
        <f>D35</f>
        <v>6140</v>
      </c>
      <c r="D63" s="1176"/>
      <c r="E63" s="519">
        <v>315118.99996839411</v>
      </c>
      <c r="F63" s="520">
        <f t="shared" si="46"/>
        <v>51.322312698435525</v>
      </c>
      <c r="G63" s="521">
        <f t="shared" si="47"/>
        <v>10.832098351233528</v>
      </c>
      <c r="H63" s="519">
        <v>9620</v>
      </c>
      <c r="I63" s="522">
        <v>34134</v>
      </c>
      <c r="J63" s="519">
        <v>315118.99996839411</v>
      </c>
      <c r="K63" s="523">
        <f t="shared" si="48"/>
        <v>0.10832098351233528</v>
      </c>
      <c r="L63" s="524">
        <f>SUM(L35:L42)</f>
        <v>24514</v>
      </c>
      <c r="M63" s="1175">
        <f>N35</f>
        <v>6140</v>
      </c>
      <c r="N63" s="1176"/>
      <c r="O63" s="525">
        <f t="shared" si="49"/>
        <v>49.755537454135847</v>
      </c>
      <c r="P63" s="526">
        <f t="shared" si="50"/>
        <v>8.0242488527085634</v>
      </c>
      <c r="Q63" s="527">
        <f>SUM(Q35:Q42)</f>
        <v>305498.99996839411</v>
      </c>
      <c r="R63" s="682">
        <f t="shared" si="51"/>
        <v>8.0242488527085634</v>
      </c>
      <c r="S63" s="524">
        <f>SUM(S35:S42)</f>
        <v>8213</v>
      </c>
      <c r="T63" s="524">
        <f>SUM(T35:T42)</f>
        <v>25342</v>
      </c>
      <c r="U63" s="524">
        <f>SUM(U35:U42)</f>
        <v>32727</v>
      </c>
      <c r="V63" s="525">
        <f t="shared" si="52"/>
        <v>44.425407160976242</v>
      </c>
      <c r="W63" s="528">
        <f t="shared" si="53"/>
        <v>272771.99996839411</v>
      </c>
      <c r="X63" s="227">
        <f t="shared" si="38"/>
        <v>9.2905430186882665</v>
      </c>
      <c r="Y63" s="529">
        <f>SUM(Y35:Y42)</f>
        <v>17129</v>
      </c>
      <c r="Z63" s="520">
        <f t="shared" si="54"/>
        <v>6.2796034790904951</v>
      </c>
      <c r="AA63" s="524">
        <f>SUM(AA35:AA42)</f>
        <v>2023</v>
      </c>
      <c r="AB63" s="524">
        <f>SUM(AB35:AB42)</f>
        <v>19152</v>
      </c>
      <c r="AC63" s="524">
        <f>SUM(AC35:AC42)</f>
        <v>8945</v>
      </c>
      <c r="AD63" s="525">
        <f t="shared" si="39"/>
        <v>41.306188919933895</v>
      </c>
      <c r="AE63" s="528">
        <f t="shared" si="55"/>
        <v>253619.99996839411</v>
      </c>
      <c r="AF63" s="227">
        <f t="shared" si="21"/>
        <v>3.5269300532744725</v>
      </c>
      <c r="AG63" s="529">
        <f>SUM(AG35:AG42)</f>
        <v>6922</v>
      </c>
      <c r="AH63" s="669">
        <f t="shared" si="56"/>
        <v>2.7292800255747229</v>
      </c>
      <c r="AI63" s="525">
        <f t="shared" si="40"/>
        <v>-1.7446453736180683</v>
      </c>
      <c r="AJ63" s="530">
        <f t="shared" si="41"/>
        <v>-5.2949688271338404</v>
      </c>
      <c r="AK63" s="531">
        <f>SUM(AK35:AK42)</f>
        <v>26000</v>
      </c>
      <c r="AL63" s="527">
        <f>SUM(AL35:AL42)</f>
        <v>20000</v>
      </c>
      <c r="AM63" s="532">
        <f>SUM(AM35:AM42)</f>
        <v>46000</v>
      </c>
      <c r="AN63" s="533">
        <v>6922</v>
      </c>
      <c r="AO63" s="524">
        <f>SUM(AO35:AO42)</f>
        <v>5481</v>
      </c>
      <c r="AP63" s="532">
        <f>SUM(AP35:AP42)</f>
        <v>12403</v>
      </c>
      <c r="AQ63" s="534">
        <f>SUM(AQ35:AQ42)</f>
        <v>287216.99996839411</v>
      </c>
      <c r="AR63" s="227">
        <f t="shared" si="25"/>
        <v>4.793588123793179</v>
      </c>
      <c r="AS63" s="535">
        <f>SUM(AS35:AS42)</f>
        <v>8287</v>
      </c>
      <c r="AT63" s="195"/>
      <c r="AU63" s="278">
        <f t="shared" si="57"/>
        <v>2.8852748969984079</v>
      </c>
      <c r="AV63" s="195"/>
      <c r="AW63" s="536">
        <f t="shared" si="42"/>
        <v>0.15599487142368496</v>
      </c>
      <c r="AX63" s="510"/>
      <c r="AY63" s="536">
        <v>-11.350502820571581</v>
      </c>
      <c r="AZ63" s="489"/>
      <c r="BA63" s="534">
        <f t="shared" si="43"/>
        <v>287216.99996839411</v>
      </c>
      <c r="BB63" s="534">
        <f>SUM(BB35:BB42)</f>
        <v>26000</v>
      </c>
      <c r="BC63" s="534">
        <f>SUM(BC35:BC42)</f>
        <v>0</v>
      </c>
      <c r="BD63" s="534">
        <f t="shared" si="58"/>
        <v>313216.99996839411</v>
      </c>
      <c r="BE63" s="534">
        <f>SUM(BE35:BE42)</f>
        <v>5259</v>
      </c>
      <c r="BF63" s="537">
        <f t="shared" si="44"/>
        <v>4.3867350754864729</v>
      </c>
      <c r="BG63" s="654">
        <v>8481</v>
      </c>
      <c r="BH63" s="641">
        <f t="shared" si="59"/>
        <v>2.7077074363319342</v>
      </c>
      <c r="BI63" s="538">
        <f>SUM(BI35:BI42)</f>
        <v>5000</v>
      </c>
      <c r="BJ63" s="534">
        <f>SUM(BJ35:BJ42)</f>
        <v>10200</v>
      </c>
      <c r="BK63" s="534">
        <f>SUM(BK35:BK42)</f>
        <v>308016.99996839411</v>
      </c>
      <c r="BL63" s="534">
        <f>SUM(BL35:BL42)</f>
        <v>1719</v>
      </c>
      <c r="BM63" s="534">
        <f t="shared" si="45"/>
        <v>1719</v>
      </c>
      <c r="BN63" s="539">
        <f t="shared" si="60"/>
        <v>1.9557362095657473</v>
      </c>
      <c r="BO63" s="534">
        <f>SUM(BO35:BO42)</f>
        <v>4305</v>
      </c>
      <c r="BP63" s="540">
        <f t="shared" si="61"/>
        <v>1.3976501298440474</v>
      </c>
      <c r="BR63" s="541"/>
    </row>
    <row r="64" spans="1:70" ht="14.25" hidden="1" thickTop="1" thickBot="1" x14ac:dyDescent="0.3">
      <c r="A64" s="1177" t="s">
        <v>227</v>
      </c>
      <c r="B64" s="1178"/>
      <c r="C64" s="1163">
        <f>SUM(C58:C63)</f>
        <v>44910</v>
      </c>
      <c r="D64" s="1164"/>
      <c r="E64" s="542">
        <v>4002292.1846841965</v>
      </c>
      <c r="F64" s="543">
        <f t="shared" si="46"/>
        <v>89.118062451217909</v>
      </c>
      <c r="G64" s="544">
        <f t="shared" si="47"/>
        <v>4.8761057662610137</v>
      </c>
      <c r="H64" s="545">
        <v>110055</v>
      </c>
      <c r="I64" s="546">
        <v>195156</v>
      </c>
      <c r="J64" s="542">
        <v>4002292.1846841965</v>
      </c>
      <c r="K64" s="547">
        <f t="shared" si="48"/>
        <v>4.8761057662610137E-2</v>
      </c>
      <c r="L64" s="548">
        <f>SUM(L58:L63)</f>
        <v>85101</v>
      </c>
      <c r="M64" s="1163">
        <f>SUM(M58:M63)</f>
        <v>44910</v>
      </c>
      <c r="N64" s="1164"/>
      <c r="O64" s="549">
        <f t="shared" si="49"/>
        <v>86.6674946489467</v>
      </c>
      <c r="P64" s="550">
        <f t="shared" si="50"/>
        <v>2.1864289343637422</v>
      </c>
      <c r="Q64" s="551">
        <f>SUM(Q58:Q63)</f>
        <v>3892237.1846841965</v>
      </c>
      <c r="R64" s="683">
        <f t="shared" si="51"/>
        <v>2.1864289343637422</v>
      </c>
      <c r="S64" s="552">
        <f>SUM(S58:S63)</f>
        <v>43850</v>
      </c>
      <c r="T64" s="548">
        <f>SUM(T58:T63)</f>
        <v>123434</v>
      </c>
      <c r="U64" s="548">
        <f>SUM(U58:U63)</f>
        <v>128951</v>
      </c>
      <c r="V64" s="549">
        <f t="shared" si="52"/>
        <v>83.796174230331701</v>
      </c>
      <c r="W64" s="553">
        <f>SUM(W58:W63)</f>
        <v>3763286.1846841965</v>
      </c>
      <c r="X64" s="227">
        <f t="shared" si="38"/>
        <v>3.2799525186883498</v>
      </c>
      <c r="Y64" s="554">
        <f>SUM(Y58:Y63)</f>
        <v>79584</v>
      </c>
      <c r="Z64" s="543">
        <f t="shared" si="54"/>
        <v>2.1147474864890841</v>
      </c>
      <c r="AA64" s="548">
        <f>SUM(AA58:AA63)</f>
        <v>9398</v>
      </c>
      <c r="AB64" s="548">
        <f>SUM(AB58:AB63)</f>
        <v>88982</v>
      </c>
      <c r="AC64" s="548">
        <f>SUM(AC58:AC63)</f>
        <v>47885</v>
      </c>
      <c r="AD64" s="549">
        <f t="shared" si="39"/>
        <v>81.814833771636529</v>
      </c>
      <c r="AE64" s="555">
        <f t="shared" si="55"/>
        <v>3674304.1846841965</v>
      </c>
      <c r="AF64" s="227">
        <f t="shared" si="21"/>
        <v>1.3032399494740166</v>
      </c>
      <c r="AG64" s="556">
        <f>SUM(AG58:AG63)</f>
        <v>38487</v>
      </c>
      <c r="AH64" s="670">
        <f t="shared" si="56"/>
        <v>1.0474636302684865</v>
      </c>
      <c r="AI64" s="549">
        <f t="shared" si="40"/>
        <v>-7.1681447874658133E-2</v>
      </c>
      <c r="AJ64" s="557">
        <f t="shared" si="41"/>
        <v>-1.1389653040952556</v>
      </c>
      <c r="AK64" s="558">
        <f>SUM(AK58:AK63)</f>
        <v>26000</v>
      </c>
      <c r="AL64" s="551">
        <f>SUM(AL58:AL63)</f>
        <v>52000</v>
      </c>
      <c r="AM64" s="559">
        <f>SUM(AM58:AM63)</f>
        <v>78000</v>
      </c>
      <c r="AN64" s="560">
        <v>38487</v>
      </c>
      <c r="AO64" s="548">
        <f>SUM(AO58:AO63)</f>
        <v>30680</v>
      </c>
      <c r="AP64" s="559">
        <f>SUM(AP58:AP63)</f>
        <v>69167</v>
      </c>
      <c r="AQ64" s="561">
        <f>SUM(AQ58:AQ63)</f>
        <v>3683137.1846841965</v>
      </c>
      <c r="AR64" s="227">
        <f t="shared" si="25"/>
        <v>1.9059567015834378</v>
      </c>
      <c r="AS64" s="562">
        <f>SUM(AS58:AS63)</f>
        <v>39519</v>
      </c>
      <c r="AT64" s="195"/>
      <c r="AU64" s="563">
        <f t="shared" si="57"/>
        <v>1.0729711661117092</v>
      </c>
      <c r="AV64" s="195"/>
      <c r="AW64" s="564">
        <f t="shared" si="42"/>
        <v>2.5507535843222628E-2</v>
      </c>
      <c r="AX64" s="565"/>
      <c r="AY64" s="564">
        <v>-1.3149965413529552</v>
      </c>
      <c r="AZ64" s="566"/>
      <c r="BA64" s="561">
        <f t="shared" si="43"/>
        <v>3683137.1846841965</v>
      </c>
      <c r="BB64" s="561">
        <f>SUM(BB58:BB63)</f>
        <v>120000</v>
      </c>
      <c r="BC64" s="561">
        <f>SUM(BC58:BC63)</f>
        <v>0</v>
      </c>
      <c r="BD64" s="561">
        <f t="shared" si="58"/>
        <v>3803137.1846841965</v>
      </c>
      <c r="BE64" s="561">
        <f>SUM(BE58:BE63)</f>
        <v>26985</v>
      </c>
      <c r="BF64" s="464">
        <f t="shared" si="44"/>
        <v>1.7087209018308447</v>
      </c>
      <c r="BG64" s="655">
        <v>38000</v>
      </c>
      <c r="BH64" s="465">
        <f t="shared" si="59"/>
        <v>0.99917510609482341</v>
      </c>
      <c r="BI64" s="567">
        <f>SUM(BI58:BI63)</f>
        <v>60000</v>
      </c>
      <c r="BJ64" s="561">
        <f>SUM(BJ58:BJ63)</f>
        <v>43800</v>
      </c>
      <c r="BK64" s="561">
        <f>SUM(BK58:BK63)</f>
        <v>3819337.1846841965</v>
      </c>
      <c r="BL64" s="561">
        <f>SUM(BL58:BL63)</f>
        <v>5800</v>
      </c>
      <c r="BM64" s="561">
        <f t="shared" si="45"/>
        <v>5800</v>
      </c>
      <c r="BN64" s="568">
        <f t="shared" si="60"/>
        <v>0.2645747026610204</v>
      </c>
      <c r="BO64" s="561">
        <f>SUM(BO58:BO63)</f>
        <v>4305</v>
      </c>
      <c r="BP64" s="569">
        <f t="shared" si="61"/>
        <v>0.11271589262302749</v>
      </c>
      <c r="BR64" s="570"/>
    </row>
    <row r="65" spans="1:71" ht="13.5" hidden="1" thickTop="1" x14ac:dyDescent="0.25">
      <c r="A65" s="1169" t="s">
        <v>228</v>
      </c>
      <c r="B65" s="1170"/>
      <c r="C65" s="1171">
        <f>D43</f>
        <v>4070</v>
      </c>
      <c r="D65" s="1172"/>
      <c r="E65" s="469">
        <v>325148.99996441626</v>
      </c>
      <c r="F65" s="470">
        <f t="shared" si="46"/>
        <v>79.889189180446252</v>
      </c>
      <c r="G65" s="471">
        <f t="shared" si="47"/>
        <v>4.2774235816570458</v>
      </c>
      <c r="H65" s="469">
        <v>3608</v>
      </c>
      <c r="I65" s="473">
        <v>13908</v>
      </c>
      <c r="J65" s="469">
        <v>325148.99996441626</v>
      </c>
      <c r="K65" s="474">
        <f t="shared" si="48"/>
        <v>4.2774235816570458E-2</v>
      </c>
      <c r="L65" s="478">
        <f>SUM(L43:L47)</f>
        <v>10300</v>
      </c>
      <c r="M65" s="1171">
        <f>N43</f>
        <v>4070</v>
      </c>
      <c r="N65" s="1172"/>
      <c r="O65" s="571">
        <f t="shared" si="49"/>
        <v>79.002702693959776</v>
      </c>
      <c r="P65" s="572">
        <f t="shared" si="50"/>
        <v>3.2033239932512068</v>
      </c>
      <c r="Q65" s="478">
        <f>SUM(Q43:Q47)</f>
        <v>321540.99996441626</v>
      </c>
      <c r="R65" s="680">
        <f t="shared" si="51"/>
        <v>3.2033239932512068</v>
      </c>
      <c r="S65" s="475">
        <f>SUM(S43:S47)</f>
        <v>2547</v>
      </c>
      <c r="T65" s="475">
        <f>SUM(T43:T47)</f>
        <v>19617</v>
      </c>
      <c r="U65" s="475">
        <f>SUM(U43:U47)</f>
        <v>12847</v>
      </c>
      <c r="V65" s="476">
        <f t="shared" si="52"/>
        <v>75.846191637448712</v>
      </c>
      <c r="W65" s="479">
        <f t="shared" si="53"/>
        <v>308693.99996441626</v>
      </c>
      <c r="X65" s="227">
        <f t="shared" si="38"/>
        <v>6.354836829436687</v>
      </c>
      <c r="Y65" s="573">
        <f>SUM(Y43:Y47)</f>
        <v>17070</v>
      </c>
      <c r="Z65" s="470">
        <f t="shared" si="54"/>
        <v>5.5297479063304404</v>
      </c>
      <c r="AA65" s="475">
        <f>SUM(AA43:AA47)</f>
        <v>2016</v>
      </c>
      <c r="AB65" s="475">
        <f>SUM(AB43:AB47)</f>
        <v>19086</v>
      </c>
      <c r="AC65" s="475">
        <f>SUM(AC43:AC47)</f>
        <v>5869</v>
      </c>
      <c r="AD65" s="476">
        <f t="shared" si="39"/>
        <v>71.156756748013819</v>
      </c>
      <c r="AE65" s="479">
        <f t="shared" si="55"/>
        <v>289607.99996441626</v>
      </c>
      <c r="AF65" s="227">
        <f t="shared" si="21"/>
        <v>2.0265324164805931</v>
      </c>
      <c r="AG65" s="480">
        <f>SUM(AG43:AG47)</f>
        <v>3853</v>
      </c>
      <c r="AH65" s="667">
        <f t="shared" si="56"/>
        <v>1.3304190493610029</v>
      </c>
      <c r="AI65" s="476">
        <f t="shared" si="40"/>
        <v>2.3264239130792337</v>
      </c>
      <c r="AJ65" s="481">
        <f t="shared" si="41"/>
        <v>-1.8729049438902039</v>
      </c>
      <c r="AK65" s="482">
        <f>SUM(AK43:AK47)</f>
        <v>24000</v>
      </c>
      <c r="AL65" s="478">
        <f>SUM(AL43:AL47)</f>
        <v>0</v>
      </c>
      <c r="AM65" s="483">
        <f>SUM(AM43:AM47)</f>
        <v>24000</v>
      </c>
      <c r="AN65" s="484">
        <v>3853</v>
      </c>
      <c r="AO65" s="475">
        <f>SUM(AO43:AO47)</f>
        <v>2845</v>
      </c>
      <c r="AP65" s="483">
        <f>SUM(AP43:AP47)</f>
        <v>6698</v>
      </c>
      <c r="AQ65" s="485">
        <f>SUM(AQ43:AQ47)</f>
        <v>306909.99996441626</v>
      </c>
      <c r="AR65" s="227">
        <f t="shared" si="25"/>
        <v>1.5271577988802645</v>
      </c>
      <c r="AS65" s="486">
        <f>SUM(AS43:AS47)</f>
        <v>1842</v>
      </c>
      <c r="AT65" s="195"/>
      <c r="AU65" s="574">
        <f t="shared" si="57"/>
        <v>0.60017594741571312</v>
      </c>
      <c r="AV65" s="195"/>
      <c r="AW65" s="575">
        <f t="shared" si="42"/>
        <v>-0.73024310194528974</v>
      </c>
      <c r="AX65" s="576"/>
      <c r="AY65" s="575">
        <v>-2.9993889939414977</v>
      </c>
      <c r="AZ65" s="577"/>
      <c r="BA65" s="485">
        <f t="shared" si="43"/>
        <v>306909.99996441626</v>
      </c>
      <c r="BB65" s="485">
        <f>SUM(BB43:BB47)</f>
        <v>0</v>
      </c>
      <c r="BC65" s="485">
        <f>SUM(BC43:BC47)</f>
        <v>0</v>
      </c>
      <c r="BD65" s="485">
        <f t="shared" si="58"/>
        <v>306909.99996441626</v>
      </c>
      <c r="BE65" s="485">
        <f>SUM(BE43:BE47)</f>
        <v>1279</v>
      </c>
      <c r="BF65" s="490">
        <f t="shared" si="44"/>
        <v>0.83868234997179447</v>
      </c>
      <c r="BG65" s="652">
        <v>1295</v>
      </c>
      <c r="BH65" s="642">
        <f t="shared" si="59"/>
        <v>0.42194780233623697</v>
      </c>
      <c r="BI65" s="491">
        <f>SUM(BI43:BI47)</f>
        <v>20000</v>
      </c>
      <c r="BJ65" s="485">
        <f>SUM(BJ43:BJ47)</f>
        <v>2300</v>
      </c>
      <c r="BK65" s="485">
        <f>SUM(BK43:BK47)</f>
        <v>324609.99996441626</v>
      </c>
      <c r="BL65" s="485">
        <f>SUM(BL43:BL47)</f>
        <v>1005</v>
      </c>
      <c r="BM65" s="485">
        <f t="shared" si="45"/>
        <v>1005</v>
      </c>
      <c r="BN65" s="492">
        <f t="shared" si="60"/>
        <v>0.30960229201508521</v>
      </c>
      <c r="BO65" s="485">
        <f>SUM(BO43:BO47)</f>
        <v>0</v>
      </c>
      <c r="BP65" s="493">
        <f t="shared" si="61"/>
        <v>0</v>
      </c>
      <c r="BR65" s="494"/>
    </row>
    <row r="66" spans="1:71" ht="13.5" hidden="1" thickTop="1" x14ac:dyDescent="0.25">
      <c r="A66" s="1173" t="s">
        <v>203</v>
      </c>
      <c r="B66" s="1174"/>
      <c r="C66" s="1175">
        <f>D48</f>
        <v>4000</v>
      </c>
      <c r="D66" s="1176"/>
      <c r="E66" s="519">
        <v>219784.9999667159</v>
      </c>
      <c r="F66" s="520">
        <f t="shared" si="46"/>
        <v>54.946249991678975</v>
      </c>
      <c r="G66" s="521">
        <f t="shared" si="47"/>
        <v>9.7122187607127977</v>
      </c>
      <c r="H66" s="519">
        <v>1108</v>
      </c>
      <c r="I66" s="522">
        <v>21346</v>
      </c>
      <c r="J66" s="519">
        <v>219784.9999667159</v>
      </c>
      <c r="K66" s="523">
        <f t="shared" si="48"/>
        <v>9.7122187607127985E-2</v>
      </c>
      <c r="L66" s="524">
        <f>SUM(L48:L54)</f>
        <v>20238</v>
      </c>
      <c r="M66" s="1175">
        <f>N48</f>
        <v>4000</v>
      </c>
      <c r="N66" s="1176"/>
      <c r="O66" s="578">
        <f t="shared" si="49"/>
        <v>54.669249991678974</v>
      </c>
      <c r="P66" s="579">
        <f t="shared" si="50"/>
        <v>9.2547455850776998</v>
      </c>
      <c r="Q66" s="527">
        <f>SUM(Q48:Q54)</f>
        <v>218676.9999667159</v>
      </c>
      <c r="R66" s="682">
        <f t="shared" si="51"/>
        <v>9.2547455850776998</v>
      </c>
      <c r="S66" s="524">
        <f>SUM(S48:S54)</f>
        <v>-6621</v>
      </c>
      <c r="T66" s="524">
        <f>SUM(T48:T54)</f>
        <v>-2552</v>
      </c>
      <c r="U66" s="524">
        <f>SUM(U48:U54)</f>
        <v>13617</v>
      </c>
      <c r="V66" s="525">
        <f t="shared" si="52"/>
        <v>51.264999991678977</v>
      </c>
      <c r="W66" s="528">
        <f t="shared" si="53"/>
        <v>205059.9999667159</v>
      </c>
      <c r="X66" s="271">
        <f t="shared" si="38"/>
        <v>-1.2445138010407808</v>
      </c>
      <c r="Y66" s="580">
        <f>SUM(Y48:Y54)</f>
        <v>4069</v>
      </c>
      <c r="Z66" s="520">
        <f t="shared" si="54"/>
        <v>1.9842972791672953</v>
      </c>
      <c r="AA66" s="524">
        <f>SUM(AA48:AA54)</f>
        <v>7883</v>
      </c>
      <c r="AB66" s="524">
        <f>SUM(AB48:AB54)</f>
        <v>11952</v>
      </c>
      <c r="AC66" s="524">
        <f>SUM(AC48:AC54)</f>
        <v>10191</v>
      </c>
      <c r="AD66" s="525">
        <f t="shared" si="39"/>
        <v>48.276999991678977</v>
      </c>
      <c r="AE66" s="528">
        <f t="shared" si="55"/>
        <v>193107.9999667159</v>
      </c>
      <c r="AF66" s="271">
        <f t="shared" si="21"/>
        <v>5.2773577489055459</v>
      </c>
      <c r="AG66" s="529">
        <f>SUM(AG48:AG54)</f>
        <v>2308</v>
      </c>
      <c r="AH66" s="669">
        <f t="shared" si="56"/>
        <v>1.1951861136761848</v>
      </c>
      <c r="AI66" s="525">
        <f t="shared" si="40"/>
        <v>-7.2704483059104046</v>
      </c>
      <c r="AJ66" s="530">
        <f t="shared" si="41"/>
        <v>-8.0595594714015153</v>
      </c>
      <c r="AK66" s="531">
        <f>SUM(AK48:AK54)</f>
        <v>24000</v>
      </c>
      <c r="AL66" s="527">
        <f>SUM(AL48:AL54)</f>
        <v>0</v>
      </c>
      <c r="AM66" s="532">
        <f>SUM(AM48:AM54)</f>
        <v>24000</v>
      </c>
      <c r="AN66" s="533">
        <v>2308</v>
      </c>
      <c r="AO66" s="524">
        <f>SUM(AO48:AO54)</f>
        <v>1827</v>
      </c>
      <c r="AP66" s="532">
        <f>SUM(AP48:AP54)</f>
        <v>4135</v>
      </c>
      <c r="AQ66" s="534">
        <f>SUM(AQ48:AQ54)</f>
        <v>212972.99996671593</v>
      </c>
      <c r="AR66" s="271">
        <f t="shared" si="25"/>
        <v>1.8997713328132306</v>
      </c>
      <c r="AS66" s="535">
        <f>SUM(AS48:AS54)</f>
        <v>2219</v>
      </c>
      <c r="AT66" s="195"/>
      <c r="AU66" s="581">
        <f t="shared" si="57"/>
        <v>1.0419161115947995</v>
      </c>
      <c r="AV66" s="195"/>
      <c r="AW66" s="582">
        <f t="shared" si="42"/>
        <v>-0.1532700020813853</v>
      </c>
      <c r="AX66" s="576"/>
      <c r="AY66" s="583">
        <v>-12.803533463298683</v>
      </c>
      <c r="AZ66" s="577"/>
      <c r="BA66" s="534">
        <f t="shared" si="43"/>
        <v>212972.99996671593</v>
      </c>
      <c r="BB66" s="534">
        <f>SUM(BB48:BB54)</f>
        <v>0</v>
      </c>
      <c r="BC66" s="534">
        <f>SUM(BC48:BC54)</f>
        <v>0</v>
      </c>
      <c r="BD66" s="534">
        <f t="shared" si="58"/>
        <v>212972.99996671593</v>
      </c>
      <c r="BE66" s="534">
        <f>SUM(BE48:BE54)</f>
        <v>1416</v>
      </c>
      <c r="BF66" s="537">
        <f t="shared" si="44"/>
        <v>1.6081850753547489</v>
      </c>
      <c r="BG66" s="654">
        <v>2009</v>
      </c>
      <c r="BH66" s="286">
        <f t="shared" si="59"/>
        <v>0.94331206317888783</v>
      </c>
      <c r="BI66" s="538">
        <f>SUM(BI48:BI54)</f>
        <v>20000</v>
      </c>
      <c r="BJ66" s="534">
        <f>SUM(BJ48:BJ54)</f>
        <v>3900</v>
      </c>
      <c r="BK66" s="534">
        <f>SUM(BK48:BK54)</f>
        <v>229072.99996671593</v>
      </c>
      <c r="BL66" s="534">
        <f>SUM(BL48:BL54)</f>
        <v>1891</v>
      </c>
      <c r="BM66" s="534">
        <f t="shared" si="45"/>
        <v>1891</v>
      </c>
      <c r="BN66" s="539">
        <f t="shared" si="60"/>
        <v>0.82550104127276469</v>
      </c>
      <c r="BO66" s="534">
        <f>SUM(BO48:BO54)</f>
        <v>0</v>
      </c>
      <c r="BP66" s="540">
        <f t="shared" si="61"/>
        <v>0</v>
      </c>
      <c r="BR66" s="541"/>
    </row>
    <row r="67" spans="1:71" ht="14.25" hidden="1" thickTop="1" thickBot="1" x14ac:dyDescent="0.3">
      <c r="A67" s="1161" t="s">
        <v>229</v>
      </c>
      <c r="B67" s="1162"/>
      <c r="C67" s="1163">
        <f>SUM(C65:C66)</f>
        <v>8070</v>
      </c>
      <c r="D67" s="1164"/>
      <c r="E67" s="545">
        <v>544933.99993113219</v>
      </c>
      <c r="F67" s="543">
        <f t="shared" si="46"/>
        <v>67.525898380561614</v>
      </c>
      <c r="G67" s="544">
        <f t="shared" si="47"/>
        <v>6.4694073051883976</v>
      </c>
      <c r="H67" s="545">
        <v>4716</v>
      </c>
      <c r="I67" s="546">
        <v>35254</v>
      </c>
      <c r="J67" s="545">
        <v>544933.99993113219</v>
      </c>
      <c r="K67" s="584">
        <f t="shared" si="48"/>
        <v>6.4694073051883974E-2</v>
      </c>
      <c r="L67" s="548">
        <f>SUM(L65:L66)</f>
        <v>30538</v>
      </c>
      <c r="M67" s="1163">
        <f>SUM(M65:M66)</f>
        <v>8070</v>
      </c>
      <c r="N67" s="1164"/>
      <c r="O67" s="549">
        <f t="shared" si="49"/>
        <v>66.941511763461236</v>
      </c>
      <c r="P67" s="550">
        <f t="shared" si="50"/>
        <v>5.6529030879928159</v>
      </c>
      <c r="Q67" s="551">
        <f>SUM(Q65:Q66)</f>
        <v>540217.99993113219</v>
      </c>
      <c r="R67" s="683">
        <f t="shared" si="51"/>
        <v>5.6529030879928159</v>
      </c>
      <c r="S67" s="548">
        <f>SUM(S65:S66)</f>
        <v>-4074</v>
      </c>
      <c r="T67" s="548">
        <f>SUM(T65:T66)</f>
        <v>17065</v>
      </c>
      <c r="U67" s="548">
        <f>U65+U66</f>
        <v>26464</v>
      </c>
      <c r="V67" s="549">
        <f t="shared" si="52"/>
        <v>63.66220569159011</v>
      </c>
      <c r="W67" s="553">
        <f t="shared" si="53"/>
        <v>513753.99993113219</v>
      </c>
      <c r="X67" s="585">
        <f t="shared" si="38"/>
        <v>3.3216286398329813</v>
      </c>
      <c r="Y67" s="554">
        <f>SUM(Y65:Y66)</f>
        <v>21139</v>
      </c>
      <c r="Z67" s="543">
        <f t="shared" si="54"/>
        <v>4.1146151665648629</v>
      </c>
      <c r="AA67" s="548">
        <f>SUM(AA65:AA66)</f>
        <v>9899</v>
      </c>
      <c r="AB67" s="548">
        <f>SUM(AB65:AB66)</f>
        <v>31038</v>
      </c>
      <c r="AC67" s="548">
        <f>AC65+AC66</f>
        <v>16060</v>
      </c>
      <c r="AD67" s="549">
        <f t="shared" si="39"/>
        <v>59.816109037315016</v>
      </c>
      <c r="AE67" s="553">
        <f t="shared" si="55"/>
        <v>482715.99993113219</v>
      </c>
      <c r="AF67" s="585">
        <f t="shared" si="21"/>
        <v>3.3270080134678026</v>
      </c>
      <c r="AG67" s="556">
        <f>AG65+AG66</f>
        <v>6161</v>
      </c>
      <c r="AH67" s="671">
        <f t="shared" si="56"/>
        <v>1.2763198238465212</v>
      </c>
      <c r="AI67" s="549">
        <f t="shared" si="40"/>
        <v>-1.538287921427953</v>
      </c>
      <c r="AJ67" s="557">
        <f t="shared" si="41"/>
        <v>-4.3765832641462943</v>
      </c>
      <c r="AK67" s="558">
        <f>AK65+AK66</f>
        <v>48000</v>
      </c>
      <c r="AL67" s="551">
        <f>AL65+AL66</f>
        <v>0</v>
      </c>
      <c r="AM67" s="559">
        <f>AM65+AM66</f>
        <v>48000</v>
      </c>
      <c r="AN67" s="560">
        <v>6161</v>
      </c>
      <c r="AO67" s="548">
        <f>AO65+AO66</f>
        <v>4672</v>
      </c>
      <c r="AP67" s="559">
        <f>AP65+AP66</f>
        <v>10833</v>
      </c>
      <c r="AQ67" s="561">
        <f>AQ65+AQ66</f>
        <v>519882.99993113219</v>
      </c>
      <c r="AR67" s="585">
        <f t="shared" si="25"/>
        <v>1.6798010323778316</v>
      </c>
      <c r="AS67" s="562">
        <f>AS65+AS66</f>
        <v>4061</v>
      </c>
      <c r="AT67" s="195"/>
      <c r="AU67" s="563">
        <f t="shared" si="57"/>
        <v>0.78113729445624347</v>
      </c>
      <c r="AV67" s="195"/>
      <c r="AW67" s="564">
        <f t="shared" si="42"/>
        <v>-0.49518252939027774</v>
      </c>
      <c r="AX67" s="565"/>
      <c r="AY67" s="586">
        <v>-6.2942615926579428</v>
      </c>
      <c r="AZ67" s="566"/>
      <c r="BA67" s="561">
        <f t="shared" si="43"/>
        <v>519882.99993113219</v>
      </c>
      <c r="BB67" s="561">
        <f>BB65+BB66</f>
        <v>0</v>
      </c>
      <c r="BC67" s="561">
        <f>BC65+BC66</f>
        <v>0</v>
      </c>
      <c r="BD67" s="561">
        <f t="shared" si="58"/>
        <v>519882.99993113219</v>
      </c>
      <c r="BE67" s="561">
        <f>BE65+BE66</f>
        <v>2695</v>
      </c>
      <c r="BF67" s="464">
        <f t="shared" si="44"/>
        <v>1.153913476838957</v>
      </c>
      <c r="BG67" s="655">
        <v>3304</v>
      </c>
      <c r="BH67" s="643">
        <f t="shared" si="59"/>
        <v>0.63552760918084916</v>
      </c>
      <c r="BI67" s="567">
        <f>BI65+BI66</f>
        <v>40000</v>
      </c>
      <c r="BJ67" s="561">
        <f>BJ65+BJ66</f>
        <v>6200</v>
      </c>
      <c r="BK67" s="561">
        <f>BK65+BK66</f>
        <v>553682.99993113219</v>
      </c>
      <c r="BL67" s="561">
        <f>BL65+BL66</f>
        <v>2896</v>
      </c>
      <c r="BM67" s="561">
        <f t="shared" si="45"/>
        <v>2896</v>
      </c>
      <c r="BN67" s="568">
        <f t="shared" si="60"/>
        <v>0.52304296869512124</v>
      </c>
      <c r="BO67" s="561">
        <f>BO65+BO66</f>
        <v>0</v>
      </c>
      <c r="BP67" s="569">
        <f t="shared" si="61"/>
        <v>0</v>
      </c>
      <c r="BR67" s="570"/>
    </row>
    <row r="68" spans="1:71" ht="14.25" hidden="1" thickTop="1" thickBot="1" x14ac:dyDescent="0.3">
      <c r="A68" s="1165" t="s">
        <v>230</v>
      </c>
      <c r="B68" s="1166"/>
      <c r="C68" s="1167">
        <f>SUM(C64+C67)</f>
        <v>52980</v>
      </c>
      <c r="D68" s="1168"/>
      <c r="E68" s="587">
        <v>4547226.1846153289</v>
      </c>
      <c r="F68" s="588">
        <f t="shared" si="46"/>
        <v>85.829108807386348</v>
      </c>
      <c r="G68" s="589">
        <f t="shared" si="47"/>
        <v>5.067045065397191</v>
      </c>
      <c r="H68" s="590">
        <v>114771</v>
      </c>
      <c r="I68" s="591">
        <v>230410</v>
      </c>
      <c r="J68" s="587">
        <v>4547226.1846153289</v>
      </c>
      <c r="K68" s="592">
        <f t="shared" si="48"/>
        <v>5.067045065397191E-2</v>
      </c>
      <c r="L68" s="593">
        <f>SUM(L64+L67)</f>
        <v>115639</v>
      </c>
      <c r="M68" s="1167">
        <f>SUM(M64+M67)</f>
        <v>52980</v>
      </c>
      <c r="N68" s="1168"/>
      <c r="O68" s="594">
        <f t="shared" si="49"/>
        <v>83.662800766616243</v>
      </c>
      <c r="P68" s="595">
        <f t="shared" si="50"/>
        <v>2.608915266675973</v>
      </c>
      <c r="Q68" s="596">
        <f>SUM(Q64+Q67)</f>
        <v>4432455.1846153289</v>
      </c>
      <c r="R68" s="672">
        <f t="shared" si="51"/>
        <v>2.608915266675973</v>
      </c>
      <c r="S68" s="596">
        <f>SUM(S64+S67)</f>
        <v>39776</v>
      </c>
      <c r="T68" s="593">
        <f>T64+T67</f>
        <v>140499</v>
      </c>
      <c r="U68" s="593">
        <f>U64+U67</f>
        <v>155415</v>
      </c>
      <c r="V68" s="594">
        <f t="shared" si="52"/>
        <v>80.72933530795261</v>
      </c>
      <c r="W68" s="598">
        <f t="shared" si="53"/>
        <v>4277040.1846153289</v>
      </c>
      <c r="X68" s="599">
        <f t="shared" si="38"/>
        <v>3.2849586147303476</v>
      </c>
      <c r="Y68" s="600">
        <f>Y64+Y67</f>
        <v>100723</v>
      </c>
      <c r="Z68" s="597">
        <f t="shared" si="54"/>
        <v>2.3549696905421733</v>
      </c>
      <c r="AA68" s="593">
        <f>AA64+AA67</f>
        <v>19297</v>
      </c>
      <c r="AB68" s="593">
        <f>AB64+AB67</f>
        <v>120020</v>
      </c>
      <c r="AC68" s="593">
        <f>AC64+AC67</f>
        <v>63945</v>
      </c>
      <c r="AD68" s="594">
        <f t="shared" si="39"/>
        <v>78.463952144494698</v>
      </c>
      <c r="AE68" s="598">
        <f t="shared" si="55"/>
        <v>4157020.1846153289</v>
      </c>
      <c r="AF68" s="599">
        <f t="shared" si="21"/>
        <v>1.5382412680278379</v>
      </c>
      <c r="AG68" s="601">
        <f>AG64+AG67</f>
        <v>44648</v>
      </c>
      <c r="AH68" s="672">
        <f t="shared" si="56"/>
        <v>1.074038566501007</v>
      </c>
      <c r="AI68" s="602">
        <f t="shared" si="40"/>
        <v>-0.25394557613379964</v>
      </c>
      <c r="AJ68" s="603">
        <f t="shared" si="41"/>
        <v>-1.5348767001749659</v>
      </c>
      <c r="AK68" s="604">
        <f>AK67+AK64</f>
        <v>74000</v>
      </c>
      <c r="AL68" s="596">
        <f>AL64+AL67</f>
        <v>52000</v>
      </c>
      <c r="AM68" s="605">
        <f>AM64+AM67</f>
        <v>126000</v>
      </c>
      <c r="AN68" s="606">
        <v>44648</v>
      </c>
      <c r="AO68" s="593">
        <f>AO64+AO67</f>
        <v>35352</v>
      </c>
      <c r="AP68" s="605">
        <f>AP64+AP67</f>
        <v>80000</v>
      </c>
      <c r="AQ68" s="607">
        <f>AQ64+AQ67</f>
        <v>4203020.1846153289</v>
      </c>
      <c r="AR68" s="599">
        <f t="shared" si="25"/>
        <v>1.877982891657801</v>
      </c>
      <c r="AS68" s="608">
        <f>AS64+AS67</f>
        <v>43580</v>
      </c>
      <c r="AT68" s="195"/>
      <c r="AU68" s="609">
        <f t="shared" si="57"/>
        <v>1.0368734406634441</v>
      </c>
      <c r="AV68" s="195"/>
      <c r="AW68" s="610">
        <f t="shared" si="42"/>
        <v>-3.7165125837562929E-2</v>
      </c>
      <c r="AX68" s="565"/>
      <c r="AY68" s="456">
        <v>-1.6945692439447768</v>
      </c>
      <c r="AZ68" s="459"/>
      <c r="BA68" s="611">
        <f t="shared" si="43"/>
        <v>4203020.1846153289</v>
      </c>
      <c r="BB68" s="611">
        <f>BB64+BB67</f>
        <v>120000</v>
      </c>
      <c r="BC68" s="611">
        <f>BC64+BC67</f>
        <v>0</v>
      </c>
      <c r="BD68" s="611">
        <f t="shared" si="58"/>
        <v>4323020.1846153289</v>
      </c>
      <c r="BE68" s="611">
        <f>BE64+BE67</f>
        <v>29680</v>
      </c>
      <c r="BF68" s="464">
        <f t="shared" si="44"/>
        <v>1.6420001982090282</v>
      </c>
      <c r="BG68" s="655">
        <v>41304</v>
      </c>
      <c r="BH68" s="612">
        <f t="shared" si="59"/>
        <v>0.95544314474847436</v>
      </c>
      <c r="BI68" s="613">
        <f>BI64+BI67</f>
        <v>100000</v>
      </c>
      <c r="BJ68" s="611">
        <f>BJ64+BJ67</f>
        <v>50000</v>
      </c>
      <c r="BK68" s="611">
        <f>BK64+BK67</f>
        <v>4373020.1846153289</v>
      </c>
      <c r="BL68" s="611">
        <f>BL64+BL67</f>
        <v>8696</v>
      </c>
      <c r="BM68" s="611">
        <f t="shared" si="45"/>
        <v>8696</v>
      </c>
      <c r="BN68" s="614">
        <f t="shared" si="60"/>
        <v>0.29730025133976434</v>
      </c>
      <c r="BO68" s="611">
        <f>BO64+BO67</f>
        <v>4305</v>
      </c>
      <c r="BP68" s="615">
        <f t="shared" si="61"/>
        <v>9.8444549036049961E-2</v>
      </c>
      <c r="BR68" s="616"/>
      <c r="BS68" s="214" t="s">
        <v>296</v>
      </c>
    </row>
    <row r="69" spans="1:71" ht="20.25" customHeight="1" thickTop="1" x14ac:dyDescent="0.25">
      <c r="H69" s="617">
        <f>H68</f>
        <v>114771</v>
      </c>
      <c r="I69" s="617">
        <f>I68</f>
        <v>230410</v>
      </c>
      <c r="K69" s="618">
        <f>K68</f>
        <v>5.067045065397191E-2</v>
      </c>
      <c r="L69" s="619">
        <f>L55</f>
        <v>115639</v>
      </c>
      <c r="P69" s="620">
        <f>P55/100</f>
        <v>2.6089152666759735E-2</v>
      </c>
      <c r="Q69" s="684">
        <f>Q55</f>
        <v>4432455.184615328</v>
      </c>
      <c r="S69" s="617">
        <f>S55</f>
        <v>39776</v>
      </c>
      <c r="T69" s="617">
        <f>T55</f>
        <v>140499</v>
      </c>
      <c r="U69" s="622">
        <f>U55</f>
        <v>155415</v>
      </c>
      <c r="W69" s="621">
        <f>W55</f>
        <v>4277040.184615328</v>
      </c>
      <c r="X69" s="620">
        <f>X55/100</f>
        <v>3.2849586147303482E-2</v>
      </c>
      <c r="Y69" s="623">
        <f>Y55</f>
        <v>100723</v>
      </c>
      <c r="Z69" s="637">
        <f>Z55/100</f>
        <v>2.3549696905421736E-2</v>
      </c>
      <c r="AA69" s="617">
        <f>AA55</f>
        <v>19297</v>
      </c>
      <c r="AB69" s="622">
        <f>AB55</f>
        <v>120020</v>
      </c>
      <c r="AC69" s="617">
        <f>AC55</f>
        <v>63945</v>
      </c>
      <c r="AE69" s="623">
        <f>AE55</f>
        <v>4157020.184615328</v>
      </c>
      <c r="AF69" s="637">
        <f>AF55/100</f>
        <v>1.538241268027838E-2</v>
      </c>
      <c r="AG69" s="673">
        <f>AG55</f>
        <v>44648</v>
      </c>
      <c r="AN69" s="624">
        <f>AG69</f>
        <v>44648</v>
      </c>
      <c r="AO69" s="622">
        <f>AO55</f>
        <v>35352</v>
      </c>
      <c r="AP69" s="625">
        <f>AP55</f>
        <v>80000</v>
      </c>
      <c r="AQ69" s="623">
        <f>AQ55</f>
        <v>4203020.184615328</v>
      </c>
      <c r="AS69" s="617">
        <f>AS55</f>
        <v>43580</v>
      </c>
      <c r="AT69" s="195"/>
      <c r="AV69" s="195"/>
      <c r="AW69" s="626" t="s">
        <v>297</v>
      </c>
      <c r="AY69" s="627" t="s">
        <v>298</v>
      </c>
      <c r="BD69" s="617">
        <f>BD55-BB55</f>
        <v>4203020.184615328</v>
      </c>
      <c r="BE69" s="629">
        <f>BE55</f>
        <v>29680</v>
      </c>
      <c r="BG69" s="656">
        <v>41304</v>
      </c>
      <c r="BH69" s="214"/>
      <c r="BJ69" s="629">
        <f>BJ55</f>
        <v>50000</v>
      </c>
      <c r="BK69" s="624" t="s">
        <v>46</v>
      </c>
    </row>
    <row r="70" spans="1:71" s="632" customFormat="1" x14ac:dyDescent="0.25">
      <c r="A70" s="1159" t="s">
        <v>299</v>
      </c>
      <c r="B70" s="1160"/>
      <c r="C70" s="631"/>
      <c r="D70" s="631"/>
      <c r="E70" s="631"/>
      <c r="F70" s="631"/>
      <c r="G70" s="631"/>
      <c r="H70" s="638">
        <f>H69</f>
        <v>114771</v>
      </c>
      <c r="I70" s="639">
        <f>I69</f>
        <v>230410</v>
      </c>
      <c r="J70" s="640">
        <f>J55</f>
        <v>4547226.184615328</v>
      </c>
      <c r="K70" s="631"/>
      <c r="L70" s="639">
        <f>L69</f>
        <v>115639</v>
      </c>
      <c r="M70" s="631"/>
      <c r="N70" s="631"/>
      <c r="O70" s="631"/>
      <c r="P70" s="631"/>
      <c r="Q70" s="685">
        <f>Q55</f>
        <v>4432455.184615328</v>
      </c>
      <c r="R70" s="631"/>
      <c r="S70" s="631">
        <f>S69</f>
        <v>39776</v>
      </c>
      <c r="T70" s="631">
        <f>T69</f>
        <v>140499</v>
      </c>
      <c r="U70" s="631">
        <f>U69</f>
        <v>155415</v>
      </c>
      <c r="V70" s="631"/>
      <c r="W70" s="640">
        <f>W69</f>
        <v>4277040.184615328</v>
      </c>
      <c r="X70" s="631"/>
      <c r="Y70" s="631">
        <f>Y69</f>
        <v>100723</v>
      </c>
      <c r="Z70" s="636"/>
      <c r="AA70" s="631"/>
      <c r="AB70" s="631">
        <f>AB69</f>
        <v>120020</v>
      </c>
      <c r="AC70" s="631"/>
      <c r="AD70" s="631"/>
      <c r="AE70" s="640">
        <f>AE69</f>
        <v>4157020.184615328</v>
      </c>
      <c r="AF70" s="631"/>
      <c r="AG70" s="686">
        <f>AG69</f>
        <v>44648</v>
      </c>
      <c r="AH70" s="631"/>
      <c r="AI70" s="631"/>
      <c r="AJ70" s="631"/>
      <c r="AK70" s="631"/>
      <c r="AL70" s="631"/>
      <c r="AM70" s="631"/>
      <c r="AN70" s="631">
        <f>AN69</f>
        <v>44648</v>
      </c>
      <c r="AO70" s="631">
        <f>AO69</f>
        <v>35352</v>
      </c>
      <c r="AP70" s="631">
        <f>AP69</f>
        <v>80000</v>
      </c>
      <c r="AQ70" s="631">
        <f>AE70-AP70</f>
        <v>4077020.184615328</v>
      </c>
      <c r="AR70" s="631"/>
      <c r="AS70" s="631"/>
      <c r="AT70" s="631"/>
      <c r="AU70" s="631"/>
      <c r="AV70" s="631"/>
      <c r="AW70" s="631"/>
      <c r="AX70" s="631"/>
      <c r="AY70" s="631"/>
      <c r="AZ70" s="631"/>
      <c r="BA70" s="631">
        <f>AQ70</f>
        <v>4077020.184615328</v>
      </c>
      <c r="BB70" s="631"/>
      <c r="BC70" s="631"/>
      <c r="BD70" s="640">
        <f>BA70</f>
        <v>4077020.184615328</v>
      </c>
      <c r="BE70" s="631">
        <f>BE69</f>
        <v>29680</v>
      </c>
      <c r="BF70" s="631"/>
      <c r="BG70" s="686">
        <v>41304</v>
      </c>
      <c r="BH70" s="631"/>
      <c r="BJ70" s="631">
        <f>BJ69</f>
        <v>50000</v>
      </c>
      <c r="BK70" s="640">
        <f>BD70-BJ70</f>
        <v>4027020.184615328</v>
      </c>
      <c r="BL70" s="631">
        <f>BL55</f>
        <v>8696</v>
      </c>
      <c r="BM70" s="631"/>
      <c r="BN70" s="631"/>
      <c r="BO70" s="631"/>
      <c r="BP70" s="631"/>
      <c r="BQ70" s="631"/>
      <c r="BR70" s="631"/>
      <c r="BS70" s="631"/>
    </row>
    <row r="71" spans="1:71" s="630" customFormat="1" x14ac:dyDescent="0.25">
      <c r="A71" s="214"/>
      <c r="B71" s="214"/>
      <c r="C71" s="214"/>
      <c r="D71" s="214"/>
      <c r="E71" s="214"/>
      <c r="F71" s="214"/>
      <c r="G71" s="214"/>
      <c r="H71" s="214"/>
      <c r="I71" s="214"/>
      <c r="J71" s="214"/>
      <c r="K71" s="214"/>
      <c r="L71" s="214"/>
      <c r="M71" s="214"/>
      <c r="N71" s="214"/>
      <c r="O71" s="214"/>
      <c r="P71" s="214"/>
      <c r="Q71" s="657"/>
      <c r="R71" s="214"/>
      <c r="S71" s="214"/>
      <c r="T71" s="214"/>
      <c r="U71" s="624" t="s">
        <v>46</v>
      </c>
      <c r="V71" s="214"/>
      <c r="W71" s="214"/>
      <c r="X71" s="214"/>
      <c r="Y71" s="214"/>
      <c r="Z71" s="214"/>
      <c r="AA71" s="214"/>
      <c r="AB71" s="214"/>
      <c r="AC71" s="214"/>
      <c r="AD71" s="214"/>
      <c r="AE71" s="214"/>
      <c r="AF71" s="214"/>
      <c r="AG71" s="657"/>
      <c r="AH71" s="214"/>
      <c r="AI71" s="214"/>
      <c r="AJ71" s="214"/>
      <c r="AK71" s="214"/>
      <c r="AL71" s="214"/>
      <c r="AM71" s="214"/>
      <c r="AN71" s="214"/>
      <c r="AO71" s="214"/>
      <c r="AP71" s="214"/>
      <c r="AQ71" s="214"/>
      <c r="AR71" s="214"/>
      <c r="AS71" s="214"/>
      <c r="AT71" s="214"/>
      <c r="AU71" s="214"/>
      <c r="AV71" s="214"/>
      <c r="AW71" s="214"/>
      <c r="AX71" s="214"/>
      <c r="AY71" s="214"/>
      <c r="AZ71" s="628"/>
      <c r="BA71" s="214"/>
      <c r="BB71" s="214"/>
      <c r="BC71" s="214"/>
      <c r="BD71" s="214"/>
      <c r="BE71" s="214"/>
      <c r="BF71" s="214"/>
      <c r="BG71" s="657"/>
      <c r="BH71" s="214"/>
      <c r="BJ71" s="214"/>
      <c r="BK71" s="214"/>
      <c r="BL71" s="214"/>
      <c r="BM71" s="214"/>
      <c r="BN71" s="214"/>
      <c r="BO71" s="214"/>
      <c r="BP71" s="214"/>
      <c r="BQ71" s="214"/>
      <c r="BR71" s="214"/>
      <c r="BS71" s="214"/>
    </row>
    <row r="72" spans="1:71" s="630" customFormat="1" x14ac:dyDescent="0.25">
      <c r="A72" s="214"/>
      <c r="B72" s="214"/>
      <c r="C72" s="214"/>
      <c r="D72" s="214"/>
      <c r="E72" s="214"/>
      <c r="F72" s="214"/>
      <c r="G72" s="214"/>
      <c r="H72" s="214"/>
      <c r="I72" s="214"/>
      <c r="J72" s="214"/>
      <c r="K72" s="214"/>
      <c r="L72" s="214"/>
      <c r="M72" s="214"/>
      <c r="N72" s="214"/>
      <c r="O72" s="214"/>
      <c r="P72" s="214"/>
      <c r="Q72" s="657"/>
      <c r="R72" s="214"/>
      <c r="S72" s="214"/>
      <c r="T72" s="214"/>
      <c r="U72" s="214"/>
      <c r="V72" s="214"/>
      <c r="W72" s="214"/>
      <c r="X72" s="214"/>
      <c r="Y72" s="214"/>
      <c r="Z72" s="214"/>
      <c r="AA72" s="214"/>
      <c r="AB72" s="214"/>
      <c r="AC72" s="214"/>
      <c r="AD72" s="214"/>
      <c r="AE72" s="214"/>
      <c r="AF72" s="214"/>
      <c r="AG72" s="657"/>
      <c r="AH72" s="214"/>
      <c r="AI72" s="214"/>
      <c r="AJ72" s="214"/>
      <c r="AK72" s="214"/>
      <c r="AL72" s="214"/>
      <c r="AM72" s="214"/>
      <c r="AN72" s="214"/>
      <c r="AO72" s="214"/>
      <c r="AP72" s="214"/>
      <c r="AQ72" s="214"/>
      <c r="AR72" s="214"/>
      <c r="AS72" s="214"/>
      <c r="AT72" s="214"/>
      <c r="AU72" s="214"/>
      <c r="AV72" s="214"/>
      <c r="AW72" s="214"/>
      <c r="AX72" s="214"/>
      <c r="AY72" s="214"/>
      <c r="AZ72" s="628"/>
      <c r="BA72" s="214"/>
      <c r="BB72" s="214"/>
      <c r="BC72" s="214"/>
      <c r="BD72" s="214"/>
      <c r="BE72" s="214"/>
      <c r="BF72" s="214"/>
      <c r="BG72" s="657"/>
      <c r="BH72" s="214"/>
      <c r="BJ72" s="214"/>
      <c r="BK72" s="214"/>
      <c r="BL72" s="214"/>
      <c r="BM72" s="214"/>
      <c r="BN72" s="214"/>
      <c r="BO72" s="214"/>
      <c r="BP72" s="214"/>
      <c r="BQ72" s="214"/>
      <c r="BR72" s="214"/>
      <c r="BS72" s="214"/>
    </row>
    <row r="73" spans="1:71" s="630" customFormat="1" x14ac:dyDescent="0.25">
      <c r="A73" s="214"/>
      <c r="B73" s="214"/>
      <c r="C73" s="214"/>
      <c r="D73" s="214"/>
      <c r="E73" s="214"/>
      <c r="F73" s="214"/>
      <c r="G73" s="214"/>
      <c r="H73" s="214"/>
      <c r="I73" s="214"/>
      <c r="J73" s="214"/>
      <c r="K73" s="214"/>
      <c r="L73" s="214"/>
      <c r="M73" s="214"/>
      <c r="N73" s="214"/>
      <c r="O73" s="214"/>
      <c r="P73" s="214"/>
      <c r="Q73" s="657"/>
      <c r="R73" s="214"/>
      <c r="S73" s="214"/>
      <c r="T73" s="214"/>
      <c r="U73" s="214"/>
      <c r="V73" s="214"/>
      <c r="W73" s="214"/>
      <c r="X73" s="214"/>
      <c r="Y73" s="214"/>
      <c r="Z73" s="214"/>
      <c r="AA73" s="214"/>
      <c r="AB73" s="214"/>
      <c r="AC73" s="214"/>
      <c r="AD73" s="214"/>
      <c r="AE73" s="214"/>
      <c r="AF73" s="214"/>
      <c r="AG73" s="657"/>
      <c r="AH73" s="214"/>
      <c r="AI73" s="214"/>
      <c r="AJ73" s="214"/>
      <c r="AK73" s="214"/>
      <c r="AL73" s="214"/>
      <c r="AM73" s="214"/>
      <c r="AN73" s="214"/>
      <c r="AO73" s="214"/>
      <c r="AP73" s="214"/>
      <c r="AQ73" s="214"/>
      <c r="AR73" s="214"/>
      <c r="AS73" s="214"/>
      <c r="AT73" s="214"/>
      <c r="AU73" s="214"/>
      <c r="AV73" s="214"/>
      <c r="AW73" s="214"/>
      <c r="AX73" s="214"/>
      <c r="AY73" s="214"/>
      <c r="AZ73" s="628"/>
      <c r="BA73" s="214"/>
      <c r="BB73" s="214"/>
      <c r="BC73" s="214"/>
      <c r="BD73" s="214"/>
      <c r="BE73" s="214"/>
      <c r="BF73" s="214"/>
      <c r="BG73" s="657"/>
      <c r="BH73" s="214"/>
      <c r="BJ73" s="214"/>
      <c r="BK73" s="214"/>
      <c r="BL73" s="214"/>
      <c r="BM73" s="214"/>
      <c r="BN73" s="214"/>
      <c r="BO73" s="214"/>
      <c r="BP73" s="214"/>
      <c r="BQ73" s="214"/>
      <c r="BR73" s="214"/>
      <c r="BS73" s="214"/>
    </row>
    <row r="74" spans="1:71" s="630" customFormat="1" x14ac:dyDescent="0.25">
      <c r="A74" s="214"/>
      <c r="B74" s="214"/>
      <c r="C74" s="214"/>
      <c r="D74" s="214"/>
      <c r="E74" s="214"/>
      <c r="F74" s="214"/>
      <c r="G74" s="214"/>
      <c r="H74" s="214"/>
      <c r="I74" s="214"/>
      <c r="J74" s="214"/>
      <c r="K74" s="214"/>
      <c r="L74" s="214"/>
      <c r="M74" s="214"/>
      <c r="N74" s="214"/>
      <c r="O74" s="214"/>
      <c r="P74" s="214"/>
      <c r="Q74" s="657"/>
      <c r="R74" s="214"/>
      <c r="S74" s="214"/>
      <c r="T74" s="214"/>
      <c r="U74" s="214"/>
      <c r="V74" s="214"/>
      <c r="W74" s="214"/>
      <c r="X74" s="214"/>
      <c r="Y74" s="214"/>
      <c r="Z74" s="214"/>
      <c r="AA74" s="214"/>
      <c r="AB74" s="214"/>
      <c r="AC74" s="214"/>
      <c r="AD74" s="214"/>
      <c r="AE74" s="214"/>
      <c r="AF74" s="214"/>
      <c r="AG74" s="657"/>
      <c r="AH74" s="214"/>
      <c r="AI74" s="214"/>
      <c r="AJ74" s="214"/>
      <c r="AK74" s="214"/>
      <c r="AL74" s="214"/>
      <c r="AM74" s="214"/>
      <c r="AN74" s="214"/>
      <c r="AO74" s="214"/>
      <c r="AP74" s="214"/>
      <c r="AQ74" s="214"/>
      <c r="AR74" s="214"/>
      <c r="AS74" s="214"/>
      <c r="AT74" s="214"/>
      <c r="AU74" s="214"/>
      <c r="AV74" s="214"/>
      <c r="AW74" s="214"/>
      <c r="AX74" s="214"/>
      <c r="AY74" s="214"/>
      <c r="AZ74" s="628"/>
      <c r="BA74" s="214"/>
      <c r="BB74" s="214"/>
      <c r="BC74" s="214"/>
      <c r="BD74" s="214"/>
      <c r="BE74" s="214"/>
      <c r="BF74" s="214"/>
      <c r="BG74" s="657"/>
      <c r="BH74" s="214"/>
      <c r="BJ74" s="214"/>
      <c r="BK74" s="214"/>
      <c r="BL74" s="214"/>
      <c r="BM74" s="214"/>
      <c r="BN74" s="214"/>
      <c r="BO74" s="214"/>
      <c r="BP74" s="214"/>
      <c r="BQ74" s="214"/>
      <c r="BR74" s="214"/>
      <c r="BS74" s="214"/>
    </row>
    <row r="75" spans="1:71" s="630" customFormat="1" x14ac:dyDescent="0.25">
      <c r="A75" s="214"/>
      <c r="B75" s="214"/>
      <c r="C75" s="214"/>
      <c r="D75" s="214"/>
      <c r="E75" s="214"/>
      <c r="F75" s="214"/>
      <c r="G75" s="214"/>
      <c r="H75" s="214"/>
      <c r="I75" s="214"/>
      <c r="J75" s="214"/>
      <c r="K75" s="214"/>
      <c r="L75" s="214"/>
      <c r="M75" s="214"/>
      <c r="N75" s="214"/>
      <c r="O75" s="214"/>
      <c r="P75" s="214"/>
      <c r="Q75" s="657"/>
      <c r="R75" s="214"/>
      <c r="S75" s="214"/>
      <c r="T75" s="214"/>
      <c r="U75" s="214"/>
      <c r="V75" s="214"/>
      <c r="W75" s="214"/>
      <c r="X75" s="214"/>
      <c r="Y75" s="214"/>
      <c r="Z75" s="214"/>
      <c r="AA75" s="214"/>
      <c r="AB75" s="214"/>
      <c r="AC75" s="214"/>
      <c r="AD75" s="214"/>
      <c r="AE75" s="214"/>
      <c r="AF75" s="214"/>
      <c r="AG75" s="657"/>
      <c r="AH75" s="214"/>
      <c r="AI75" s="214"/>
      <c r="AJ75" s="214"/>
      <c r="AK75" s="214"/>
      <c r="AL75" s="214"/>
      <c r="AM75" s="214"/>
      <c r="AN75" s="214"/>
      <c r="AO75" s="214"/>
      <c r="AP75" s="214"/>
      <c r="AQ75" s="214"/>
      <c r="AR75" s="214"/>
      <c r="AS75" s="214"/>
      <c r="AT75" s="214"/>
      <c r="AU75" s="214"/>
      <c r="AV75" s="214"/>
      <c r="AW75" s="214"/>
      <c r="AX75" s="214"/>
      <c r="AY75" s="214"/>
      <c r="AZ75" s="628"/>
      <c r="BA75" s="214"/>
      <c r="BB75" s="214"/>
      <c r="BC75" s="214"/>
      <c r="BD75" s="214"/>
      <c r="BE75" s="214"/>
      <c r="BF75" s="214"/>
      <c r="BG75" s="657"/>
      <c r="BH75" s="214"/>
      <c r="BJ75" s="214"/>
      <c r="BK75" s="214"/>
      <c r="BL75" s="214"/>
      <c r="BM75" s="214"/>
      <c r="BN75" s="214"/>
      <c r="BO75" s="214"/>
      <c r="BP75" s="214"/>
      <c r="BQ75" s="214"/>
      <c r="BR75" s="214"/>
      <c r="BS75" s="214"/>
    </row>
    <row r="76" spans="1:71" s="630" customFormat="1" x14ac:dyDescent="0.25">
      <c r="A76" s="214"/>
      <c r="B76" s="214"/>
      <c r="C76" s="214"/>
      <c r="D76" s="214"/>
      <c r="E76" s="214"/>
      <c r="F76" s="214"/>
      <c r="G76" s="214"/>
      <c r="H76" s="214"/>
      <c r="I76" s="214"/>
      <c r="J76" s="214"/>
      <c r="K76" s="214"/>
      <c r="L76" s="214"/>
      <c r="M76" s="214"/>
      <c r="N76" s="214"/>
      <c r="O76" s="214"/>
      <c r="P76" s="214"/>
      <c r="Q76" s="657"/>
      <c r="R76" s="214"/>
      <c r="S76" s="214"/>
      <c r="T76" s="214"/>
      <c r="U76" s="214"/>
      <c r="V76" s="214"/>
      <c r="W76" s="214"/>
      <c r="X76" s="214"/>
      <c r="Y76" s="214"/>
      <c r="Z76" s="214"/>
      <c r="AA76" s="214"/>
      <c r="AB76" s="214"/>
      <c r="AC76" s="214"/>
      <c r="AD76" s="214"/>
      <c r="AE76" s="214"/>
      <c r="AF76" s="214"/>
      <c r="AG76" s="657"/>
      <c r="AH76" s="214"/>
      <c r="AI76" s="214"/>
      <c r="AJ76" s="214"/>
      <c r="AK76" s="214"/>
      <c r="AL76" s="214"/>
      <c r="AM76" s="214"/>
      <c r="AN76" s="214"/>
      <c r="AO76" s="214"/>
      <c r="AP76" s="214"/>
      <c r="AQ76" s="214"/>
      <c r="AR76" s="214"/>
      <c r="AS76" s="214"/>
      <c r="AT76" s="214"/>
      <c r="AU76" s="214"/>
      <c r="AV76" s="214"/>
      <c r="AW76" s="214"/>
      <c r="AX76" s="214"/>
      <c r="AY76" s="214"/>
      <c r="AZ76" s="628"/>
      <c r="BA76" s="214"/>
      <c r="BB76" s="214"/>
      <c r="BC76" s="214"/>
      <c r="BD76" s="214"/>
      <c r="BE76" s="214"/>
      <c r="BF76" s="214"/>
      <c r="BG76" s="657"/>
      <c r="BH76" s="214"/>
      <c r="BJ76" s="214"/>
      <c r="BK76" s="214"/>
      <c r="BL76" s="214"/>
      <c r="BM76" s="214"/>
      <c r="BN76" s="214"/>
      <c r="BO76" s="214"/>
      <c r="BP76" s="214"/>
      <c r="BQ76" s="214"/>
      <c r="BR76" s="214"/>
      <c r="BS76" s="214"/>
    </row>
    <row r="77" spans="1:71" s="630" customFormat="1" x14ac:dyDescent="0.25">
      <c r="A77" s="214"/>
      <c r="B77" s="214"/>
      <c r="C77" s="214"/>
      <c r="D77" s="214"/>
      <c r="E77" s="214"/>
      <c r="F77" s="214"/>
      <c r="G77" s="214"/>
      <c r="H77" s="214"/>
      <c r="I77" s="214"/>
      <c r="J77" s="214"/>
      <c r="K77" s="214"/>
      <c r="L77" s="214"/>
      <c r="M77" s="214"/>
      <c r="N77" s="214"/>
      <c r="O77" s="214"/>
      <c r="P77" s="214"/>
      <c r="Q77" s="657"/>
      <c r="R77" s="214"/>
      <c r="S77" s="214"/>
      <c r="T77" s="214"/>
      <c r="U77" s="214"/>
      <c r="V77" s="214"/>
      <c r="W77" s="214"/>
      <c r="X77" s="214"/>
      <c r="Y77" s="214"/>
      <c r="Z77" s="214"/>
      <c r="AA77" s="214"/>
      <c r="AB77" s="214"/>
      <c r="AC77" s="214"/>
      <c r="AD77" s="214"/>
      <c r="AE77" s="214"/>
      <c r="AF77" s="214"/>
      <c r="AG77" s="657"/>
      <c r="AH77" s="214"/>
      <c r="AI77" s="214"/>
      <c r="AJ77" s="214"/>
      <c r="AK77" s="214"/>
      <c r="AL77" s="214"/>
      <c r="AM77" s="214"/>
      <c r="AN77" s="214"/>
      <c r="AO77" s="214"/>
      <c r="AP77" s="214"/>
      <c r="AQ77" s="214"/>
      <c r="AR77" s="214"/>
      <c r="AS77" s="214"/>
      <c r="AT77" s="214"/>
      <c r="AU77" s="214"/>
      <c r="AV77" s="214"/>
      <c r="AW77" s="214"/>
      <c r="AX77" s="214"/>
      <c r="AY77" s="214"/>
      <c r="AZ77" s="628"/>
      <c r="BA77" s="214"/>
      <c r="BB77" s="214"/>
      <c r="BC77" s="214"/>
      <c r="BD77" s="214"/>
      <c r="BE77" s="214"/>
      <c r="BF77" s="214"/>
      <c r="BG77" s="657"/>
      <c r="BH77" s="214"/>
      <c r="BJ77" s="214"/>
      <c r="BK77" s="214"/>
      <c r="BL77" s="214"/>
      <c r="BM77" s="214"/>
      <c r="BN77" s="214"/>
      <c r="BO77" s="214"/>
      <c r="BP77" s="214"/>
      <c r="BQ77" s="214"/>
      <c r="BR77" s="214"/>
      <c r="BS77" s="214"/>
    </row>
    <row r="78" spans="1:71" s="630" customFormat="1" x14ac:dyDescent="0.25">
      <c r="A78" s="214"/>
      <c r="B78" s="214"/>
      <c r="C78" s="214"/>
      <c r="D78" s="214"/>
      <c r="E78" s="214"/>
      <c r="F78" s="214"/>
      <c r="G78" s="214"/>
      <c r="H78" s="214"/>
      <c r="I78" s="214"/>
      <c r="J78" s="214"/>
      <c r="K78" s="214"/>
      <c r="L78" s="214"/>
      <c r="M78" s="214"/>
      <c r="N78" s="214"/>
      <c r="O78" s="214"/>
      <c r="P78" s="214"/>
      <c r="Q78" s="657"/>
      <c r="R78" s="214"/>
      <c r="S78" s="214"/>
      <c r="T78" s="214"/>
      <c r="U78" s="214"/>
      <c r="V78" s="214"/>
      <c r="W78" s="214"/>
      <c r="X78" s="214"/>
      <c r="Y78" s="214"/>
      <c r="Z78" s="214"/>
      <c r="AA78" s="214"/>
      <c r="AB78" s="214"/>
      <c r="AC78" s="214"/>
      <c r="AD78" s="214"/>
      <c r="AE78" s="214"/>
      <c r="AF78" s="214"/>
      <c r="AG78" s="657"/>
      <c r="AH78" s="214"/>
      <c r="AI78" s="214"/>
      <c r="AJ78" s="214"/>
      <c r="AK78" s="214"/>
      <c r="AL78" s="214"/>
      <c r="AM78" s="214"/>
      <c r="AN78" s="214"/>
      <c r="AO78" s="214"/>
      <c r="AP78" s="214"/>
      <c r="AQ78" s="214"/>
      <c r="AR78" s="214"/>
      <c r="AS78" s="214"/>
      <c r="AT78" s="214"/>
      <c r="AU78" s="214"/>
      <c r="AV78" s="214"/>
      <c r="AW78" s="214"/>
      <c r="AX78" s="214"/>
      <c r="AY78" s="214"/>
      <c r="AZ78" s="628"/>
      <c r="BA78" s="214"/>
      <c r="BB78" s="214"/>
      <c r="BC78" s="214"/>
      <c r="BD78" s="214"/>
      <c r="BE78" s="214"/>
      <c r="BF78" s="214"/>
      <c r="BG78" s="657"/>
      <c r="BH78" s="214"/>
      <c r="BJ78" s="214"/>
      <c r="BK78" s="214"/>
      <c r="BL78" s="214"/>
      <c r="BM78" s="214"/>
      <c r="BN78" s="214"/>
      <c r="BO78" s="214"/>
      <c r="BP78" s="214"/>
      <c r="BQ78" s="214"/>
      <c r="BR78" s="214"/>
      <c r="BS78" s="214"/>
    </row>
    <row r="79" spans="1:71" s="630" customFormat="1" x14ac:dyDescent="0.25">
      <c r="A79" s="214"/>
      <c r="B79" s="214"/>
      <c r="C79" s="214"/>
      <c r="D79" s="214"/>
      <c r="E79" s="214"/>
      <c r="F79" s="214"/>
      <c r="G79" s="214"/>
      <c r="H79" s="214"/>
      <c r="I79" s="214"/>
      <c r="J79" s="214"/>
      <c r="K79" s="214"/>
      <c r="L79" s="214"/>
      <c r="M79" s="214"/>
      <c r="N79" s="214"/>
      <c r="O79" s="214"/>
      <c r="P79" s="214"/>
      <c r="Q79" s="657"/>
      <c r="R79" s="214"/>
      <c r="S79" s="214"/>
      <c r="T79" s="214"/>
      <c r="U79" s="214"/>
      <c r="V79" s="214"/>
      <c r="W79" s="214"/>
      <c r="X79" s="214"/>
      <c r="Y79" s="214"/>
      <c r="Z79" s="214"/>
      <c r="AA79" s="214"/>
      <c r="AB79" s="214"/>
      <c r="AC79" s="214"/>
      <c r="AD79" s="214"/>
      <c r="AE79" s="214"/>
      <c r="AF79" s="214"/>
      <c r="AG79" s="657"/>
      <c r="AH79" s="214"/>
      <c r="AI79" s="214"/>
      <c r="AJ79" s="214"/>
      <c r="AK79" s="214"/>
      <c r="AL79" s="214"/>
      <c r="AM79" s="214"/>
      <c r="AN79" s="214"/>
      <c r="AO79" s="214"/>
      <c r="AP79" s="214"/>
      <c r="AQ79" s="214"/>
      <c r="AR79" s="214"/>
      <c r="AS79" s="214"/>
      <c r="AT79" s="214"/>
      <c r="AU79" s="214"/>
      <c r="AV79" s="214"/>
      <c r="AW79" s="214"/>
      <c r="AX79" s="214"/>
      <c r="AY79" s="214"/>
      <c r="AZ79" s="628"/>
      <c r="BA79" s="214"/>
      <c r="BB79" s="214"/>
      <c r="BC79" s="214"/>
      <c r="BD79" s="214"/>
      <c r="BE79" s="214"/>
      <c r="BF79" s="214"/>
      <c r="BG79" s="657"/>
      <c r="BH79" s="214"/>
      <c r="BJ79" s="214"/>
      <c r="BK79" s="214"/>
      <c r="BL79" s="214"/>
      <c r="BM79" s="214"/>
      <c r="BN79" s="214"/>
      <c r="BO79" s="214"/>
      <c r="BP79" s="214"/>
      <c r="BQ79" s="214"/>
      <c r="BR79" s="214"/>
      <c r="BS79" s="214"/>
    </row>
    <row r="80" spans="1:71" s="630" customFormat="1" x14ac:dyDescent="0.25">
      <c r="A80" s="214"/>
      <c r="B80" s="214"/>
      <c r="C80" s="214"/>
      <c r="D80" s="214"/>
      <c r="E80" s="214"/>
      <c r="F80" s="214"/>
      <c r="G80" s="214"/>
      <c r="H80" s="214"/>
      <c r="I80" s="214"/>
      <c r="J80" s="214"/>
      <c r="K80" s="214"/>
      <c r="L80" s="214"/>
      <c r="M80" s="214"/>
      <c r="N80" s="214"/>
      <c r="O80" s="214"/>
      <c r="P80" s="214"/>
      <c r="Q80" s="657"/>
      <c r="R80" s="214"/>
      <c r="S80" s="214"/>
      <c r="T80" s="214"/>
      <c r="U80" s="214"/>
      <c r="V80" s="214"/>
      <c r="W80" s="214"/>
      <c r="X80" s="214"/>
      <c r="Y80" s="214"/>
      <c r="Z80" s="214"/>
      <c r="AA80" s="214"/>
      <c r="AB80" s="214"/>
      <c r="AC80" s="214"/>
      <c r="AD80" s="214"/>
      <c r="AE80" s="214"/>
      <c r="AF80" s="214"/>
      <c r="AG80" s="657"/>
      <c r="AH80" s="214"/>
      <c r="AI80" s="214"/>
      <c r="AJ80" s="214"/>
      <c r="AK80" s="214"/>
      <c r="AL80" s="214"/>
      <c r="AM80" s="214"/>
      <c r="AN80" s="214"/>
      <c r="AO80" s="214"/>
      <c r="AP80" s="214"/>
      <c r="AQ80" s="214"/>
      <c r="AR80" s="214"/>
      <c r="AS80" s="214"/>
      <c r="AT80" s="214"/>
      <c r="AU80" s="214"/>
      <c r="AV80" s="214"/>
      <c r="AW80" s="214"/>
      <c r="AX80" s="214"/>
      <c r="AY80" s="214"/>
      <c r="AZ80" s="628"/>
      <c r="BA80" s="214"/>
      <c r="BB80" s="214"/>
      <c r="BC80" s="214"/>
      <c r="BD80" s="214"/>
      <c r="BE80" s="214"/>
      <c r="BF80" s="214"/>
      <c r="BG80" s="657"/>
      <c r="BH80" s="214"/>
      <c r="BJ80" s="214"/>
      <c r="BK80" s="214"/>
      <c r="BL80" s="214"/>
      <c r="BM80" s="214"/>
      <c r="BN80" s="214"/>
      <c r="BO80" s="214"/>
      <c r="BP80" s="214"/>
      <c r="BQ80" s="214"/>
      <c r="BR80" s="214"/>
      <c r="BS80" s="214"/>
    </row>
    <row r="81" spans="1:71" s="630" customFormat="1" x14ac:dyDescent="0.25">
      <c r="A81" s="214"/>
      <c r="B81" s="214"/>
      <c r="C81" s="214"/>
      <c r="D81" s="214"/>
      <c r="E81" s="214"/>
      <c r="F81" s="214"/>
      <c r="G81" s="214"/>
      <c r="H81" s="214"/>
      <c r="I81" s="214"/>
      <c r="J81" s="214"/>
      <c r="K81" s="214"/>
      <c r="L81" s="214"/>
      <c r="M81" s="214"/>
      <c r="N81" s="214"/>
      <c r="O81" s="214"/>
      <c r="P81" s="214"/>
      <c r="Q81" s="657"/>
      <c r="R81" s="214"/>
      <c r="S81" s="214"/>
      <c r="T81" s="214"/>
      <c r="U81" s="214"/>
      <c r="V81" s="214"/>
      <c r="W81" s="214"/>
      <c r="X81" s="214"/>
      <c r="Y81" s="214"/>
      <c r="Z81" s="214"/>
      <c r="AA81" s="214"/>
      <c r="AB81" s="214"/>
      <c r="AC81" s="214"/>
      <c r="AD81" s="214"/>
      <c r="AE81" s="214"/>
      <c r="AF81" s="214"/>
      <c r="AG81" s="657"/>
      <c r="AH81" s="214"/>
      <c r="AI81" s="214"/>
      <c r="AJ81" s="214"/>
      <c r="AK81" s="214"/>
      <c r="AL81" s="214"/>
      <c r="AM81" s="214"/>
      <c r="AN81" s="214"/>
      <c r="AO81" s="214"/>
      <c r="AP81" s="214"/>
      <c r="AQ81" s="214"/>
      <c r="AR81" s="214"/>
      <c r="AS81" s="214"/>
      <c r="AT81" s="214"/>
      <c r="AU81" s="214"/>
      <c r="AV81" s="214"/>
      <c r="AW81" s="214"/>
      <c r="AX81" s="214"/>
      <c r="AY81" s="214"/>
      <c r="AZ81" s="628"/>
      <c r="BA81" s="214"/>
      <c r="BB81" s="214"/>
      <c r="BC81" s="214"/>
      <c r="BD81" s="214"/>
      <c r="BE81" s="214"/>
      <c r="BF81" s="214"/>
      <c r="BG81" s="657"/>
      <c r="BH81" s="214"/>
      <c r="BJ81" s="214"/>
      <c r="BK81" s="214"/>
      <c r="BL81" s="214"/>
      <c r="BM81" s="214"/>
      <c r="BN81" s="214"/>
      <c r="BO81" s="214"/>
      <c r="BP81" s="214"/>
      <c r="BQ81" s="214"/>
      <c r="BR81" s="214"/>
      <c r="BS81" s="214"/>
    </row>
    <row r="82" spans="1:71" s="630" customFormat="1" x14ac:dyDescent="0.25">
      <c r="A82" s="214"/>
      <c r="B82" s="214"/>
      <c r="C82" s="214"/>
      <c r="D82" s="214"/>
      <c r="E82" s="214"/>
      <c r="F82" s="214"/>
      <c r="G82" s="214"/>
      <c r="H82" s="214"/>
      <c r="I82" s="214"/>
      <c r="J82" s="214"/>
      <c r="K82" s="214"/>
      <c r="L82" s="214"/>
      <c r="M82" s="214"/>
      <c r="N82" s="214"/>
      <c r="O82" s="214"/>
      <c r="P82" s="214"/>
      <c r="Q82" s="657"/>
      <c r="R82" s="214"/>
      <c r="S82" s="214"/>
      <c r="T82" s="214"/>
      <c r="U82" s="214"/>
      <c r="V82" s="214"/>
      <c r="W82" s="214"/>
      <c r="X82" s="214"/>
      <c r="Y82" s="214"/>
      <c r="Z82" s="214"/>
      <c r="AA82" s="214"/>
      <c r="AB82" s="214"/>
      <c r="AC82" s="214"/>
      <c r="AD82" s="214"/>
      <c r="AE82" s="214"/>
      <c r="AF82" s="214"/>
      <c r="AG82" s="657"/>
      <c r="AH82" s="214"/>
      <c r="AI82" s="214"/>
      <c r="AJ82" s="214"/>
      <c r="AK82" s="214"/>
      <c r="AL82" s="214"/>
      <c r="AM82" s="214"/>
      <c r="AN82" s="214"/>
      <c r="AO82" s="214"/>
      <c r="AP82" s="214"/>
      <c r="AQ82" s="214"/>
      <c r="AR82" s="214"/>
      <c r="AS82" s="214"/>
      <c r="AT82" s="214"/>
      <c r="AU82" s="214"/>
      <c r="AV82" s="214"/>
      <c r="AW82" s="214"/>
      <c r="AX82" s="214"/>
      <c r="AY82" s="214"/>
      <c r="AZ82" s="628"/>
      <c r="BA82" s="214"/>
      <c r="BB82" s="214"/>
      <c r="BC82" s="214"/>
      <c r="BD82" s="214"/>
      <c r="BE82" s="214"/>
      <c r="BF82" s="214"/>
      <c r="BG82" s="657"/>
      <c r="BH82" s="214"/>
      <c r="BJ82" s="214"/>
      <c r="BK82" s="214"/>
      <c r="BL82" s="214"/>
      <c r="BM82" s="214"/>
      <c r="BN82" s="214"/>
      <c r="BO82" s="214"/>
      <c r="BP82" s="214"/>
      <c r="BQ82" s="214"/>
      <c r="BR82" s="214"/>
      <c r="BS82" s="214"/>
    </row>
    <row r="83" spans="1:71" s="630" customFormat="1" x14ac:dyDescent="0.25">
      <c r="A83" s="214"/>
      <c r="B83" s="214"/>
      <c r="C83" s="214"/>
      <c r="D83" s="214"/>
      <c r="E83" s="214"/>
      <c r="F83" s="214"/>
      <c r="G83" s="214"/>
      <c r="H83" s="214"/>
      <c r="I83" s="214"/>
      <c r="J83" s="214"/>
      <c r="K83" s="214"/>
      <c r="L83" s="214"/>
      <c r="M83" s="214"/>
      <c r="N83" s="214"/>
      <c r="O83" s="214"/>
      <c r="P83" s="214"/>
      <c r="Q83" s="657"/>
      <c r="R83" s="214"/>
      <c r="S83" s="214"/>
      <c r="T83" s="214"/>
      <c r="U83" s="214"/>
      <c r="V83" s="214"/>
      <c r="W83" s="214"/>
      <c r="X83" s="214"/>
      <c r="Y83" s="214"/>
      <c r="Z83" s="214"/>
      <c r="AA83" s="214"/>
      <c r="AB83" s="214"/>
      <c r="AC83" s="214"/>
      <c r="AD83" s="214"/>
      <c r="AE83" s="214"/>
      <c r="AF83" s="214"/>
      <c r="AG83" s="657"/>
      <c r="AH83" s="214"/>
      <c r="AI83" s="214"/>
      <c r="AJ83" s="214"/>
      <c r="AK83" s="214"/>
      <c r="AL83" s="214"/>
      <c r="AM83" s="214"/>
      <c r="AN83" s="214"/>
      <c r="AO83" s="214"/>
      <c r="AP83" s="214"/>
      <c r="AQ83" s="214"/>
      <c r="AR83" s="214"/>
      <c r="AS83" s="214"/>
      <c r="AT83" s="214"/>
      <c r="AU83" s="214"/>
      <c r="AV83" s="214"/>
      <c r="AW83" s="214"/>
      <c r="AX83" s="214"/>
      <c r="AY83" s="214"/>
      <c r="AZ83" s="628"/>
      <c r="BA83" s="214"/>
      <c r="BB83" s="214"/>
      <c r="BC83" s="214"/>
      <c r="BD83" s="214"/>
      <c r="BE83" s="214"/>
      <c r="BF83" s="214"/>
      <c r="BG83" s="657"/>
      <c r="BH83" s="214"/>
      <c r="BJ83" s="214"/>
      <c r="BK83" s="214"/>
      <c r="BL83" s="214"/>
      <c r="BM83" s="214"/>
      <c r="BN83" s="214"/>
      <c r="BO83" s="214"/>
      <c r="BP83" s="214"/>
      <c r="BQ83" s="214"/>
      <c r="BR83" s="214"/>
      <c r="BS83" s="214"/>
    </row>
    <row r="84" spans="1:71" s="630" customFormat="1" x14ac:dyDescent="0.25">
      <c r="A84" s="214"/>
      <c r="B84" s="214"/>
      <c r="C84" s="214"/>
      <c r="D84" s="214"/>
      <c r="E84" s="214"/>
      <c r="F84" s="214"/>
      <c r="G84" s="214"/>
      <c r="H84" s="214"/>
      <c r="I84" s="214"/>
      <c r="J84" s="214"/>
      <c r="K84" s="214"/>
      <c r="L84" s="214"/>
      <c r="M84" s="214"/>
      <c r="N84" s="214"/>
      <c r="O84" s="214"/>
      <c r="P84" s="214"/>
      <c r="Q84" s="657"/>
      <c r="R84" s="214"/>
      <c r="S84" s="214"/>
      <c r="T84" s="214"/>
      <c r="U84" s="214"/>
      <c r="V84" s="214"/>
      <c r="W84" s="214"/>
      <c r="X84" s="214"/>
      <c r="Y84" s="214"/>
      <c r="Z84" s="214"/>
      <c r="AA84" s="214"/>
      <c r="AB84" s="214"/>
      <c r="AC84" s="214"/>
      <c r="AD84" s="214"/>
      <c r="AE84" s="214"/>
      <c r="AF84" s="214"/>
      <c r="AG84" s="657"/>
      <c r="AH84" s="214"/>
      <c r="AI84" s="214"/>
      <c r="AJ84" s="214"/>
      <c r="AK84" s="214"/>
      <c r="AL84" s="214"/>
      <c r="AM84" s="214"/>
      <c r="AN84" s="214"/>
      <c r="AO84" s="214"/>
      <c r="AP84" s="214"/>
      <c r="AQ84" s="214"/>
      <c r="AR84" s="214"/>
      <c r="AS84" s="214"/>
      <c r="AT84" s="214"/>
      <c r="AU84" s="214"/>
      <c r="AV84" s="214"/>
      <c r="AW84" s="214"/>
      <c r="AX84" s="214"/>
      <c r="AY84" s="214"/>
      <c r="AZ84" s="628"/>
      <c r="BA84" s="214"/>
      <c r="BB84" s="214"/>
      <c r="BC84" s="214"/>
      <c r="BD84" s="214"/>
      <c r="BE84" s="214"/>
      <c r="BF84" s="214"/>
      <c r="BG84" s="657"/>
      <c r="BH84" s="214"/>
      <c r="BJ84" s="214"/>
      <c r="BK84" s="214"/>
      <c r="BL84" s="214"/>
      <c r="BM84" s="214"/>
      <c r="BN84" s="214"/>
      <c r="BO84" s="214"/>
      <c r="BP84" s="214"/>
      <c r="BQ84" s="214"/>
      <c r="BR84" s="214"/>
      <c r="BS84" s="214"/>
    </row>
    <row r="85" spans="1:71" s="630" customFormat="1" x14ac:dyDescent="0.25">
      <c r="A85" s="214"/>
      <c r="B85" s="214"/>
      <c r="C85" s="214"/>
      <c r="D85" s="214"/>
      <c r="E85" s="214"/>
      <c r="F85" s="214"/>
      <c r="G85" s="214"/>
      <c r="H85" s="214"/>
      <c r="I85" s="214"/>
      <c r="J85" s="214"/>
      <c r="K85" s="214"/>
      <c r="L85" s="214"/>
      <c r="M85" s="214"/>
      <c r="N85" s="214"/>
      <c r="O85" s="214"/>
      <c r="P85" s="214"/>
      <c r="Q85" s="657"/>
      <c r="R85" s="214"/>
      <c r="S85" s="214"/>
      <c r="T85" s="214"/>
      <c r="U85" s="214"/>
      <c r="V85" s="214"/>
      <c r="W85" s="214"/>
      <c r="X85" s="214"/>
      <c r="Y85" s="214"/>
      <c r="Z85" s="214"/>
      <c r="AA85" s="214"/>
      <c r="AB85" s="214"/>
      <c r="AC85" s="214"/>
      <c r="AD85" s="214"/>
      <c r="AE85" s="214"/>
      <c r="AF85" s="214"/>
      <c r="AG85" s="657"/>
      <c r="AH85" s="214"/>
      <c r="AI85" s="214"/>
      <c r="AJ85" s="214"/>
      <c r="AK85" s="214"/>
      <c r="AL85" s="214"/>
      <c r="AM85" s="214"/>
      <c r="AN85" s="214"/>
      <c r="AO85" s="214"/>
      <c r="AP85" s="214"/>
      <c r="AQ85" s="214"/>
      <c r="AR85" s="214"/>
      <c r="AS85" s="214"/>
      <c r="AT85" s="214"/>
      <c r="AU85" s="214"/>
      <c r="AV85" s="214"/>
      <c r="AW85" s="214"/>
      <c r="AX85" s="214"/>
      <c r="AY85" s="214"/>
      <c r="AZ85" s="628"/>
      <c r="BA85" s="214"/>
      <c r="BB85" s="214"/>
      <c r="BC85" s="214"/>
      <c r="BD85" s="214"/>
      <c r="BE85" s="214"/>
      <c r="BF85" s="214"/>
      <c r="BG85" s="657"/>
      <c r="BH85" s="214"/>
      <c r="BJ85" s="214"/>
      <c r="BK85" s="214"/>
      <c r="BL85" s="214"/>
      <c r="BM85" s="214"/>
      <c r="BN85" s="214"/>
      <c r="BO85" s="214"/>
      <c r="BP85" s="214"/>
      <c r="BQ85" s="214"/>
      <c r="BR85" s="214"/>
      <c r="BS85" s="214"/>
    </row>
    <row r="86" spans="1:71" s="630" customFormat="1" x14ac:dyDescent="0.25">
      <c r="A86" s="214"/>
      <c r="B86" s="214"/>
      <c r="C86" s="214"/>
      <c r="D86" s="214"/>
      <c r="E86" s="214"/>
      <c r="F86" s="214"/>
      <c r="G86" s="214"/>
      <c r="H86" s="214"/>
      <c r="I86" s="214"/>
      <c r="J86" s="214"/>
      <c r="K86" s="214"/>
      <c r="L86" s="214"/>
      <c r="M86" s="214"/>
      <c r="N86" s="214"/>
      <c r="O86" s="214"/>
      <c r="P86" s="214"/>
      <c r="Q86" s="657"/>
      <c r="R86" s="214"/>
      <c r="S86" s="214"/>
      <c r="T86" s="214"/>
      <c r="U86" s="214"/>
      <c r="V86" s="214"/>
      <c r="W86" s="214"/>
      <c r="X86" s="214"/>
      <c r="Y86" s="214"/>
      <c r="Z86" s="214"/>
      <c r="AA86" s="214"/>
      <c r="AB86" s="214"/>
      <c r="AC86" s="214"/>
      <c r="AD86" s="214"/>
      <c r="AE86" s="214"/>
      <c r="AF86" s="214"/>
      <c r="AG86" s="657"/>
      <c r="AH86" s="214"/>
      <c r="AI86" s="214"/>
      <c r="AJ86" s="214"/>
      <c r="AK86" s="214"/>
      <c r="AL86" s="214"/>
      <c r="AM86" s="214"/>
      <c r="AN86" s="214"/>
      <c r="AO86" s="214"/>
      <c r="AP86" s="214"/>
      <c r="AQ86" s="214"/>
      <c r="AR86" s="214"/>
      <c r="AS86" s="214"/>
      <c r="AT86" s="214"/>
      <c r="AU86" s="214"/>
      <c r="AV86" s="214"/>
      <c r="AW86" s="214"/>
      <c r="AX86" s="214"/>
      <c r="AY86" s="214"/>
      <c r="AZ86" s="628"/>
      <c r="BA86" s="214"/>
      <c r="BB86" s="214"/>
      <c r="BC86" s="214"/>
      <c r="BD86" s="214"/>
      <c r="BE86" s="214"/>
      <c r="BF86" s="214"/>
      <c r="BG86" s="657"/>
      <c r="BH86" s="214"/>
      <c r="BJ86" s="214"/>
      <c r="BK86" s="214"/>
      <c r="BL86" s="214"/>
      <c r="BM86" s="214"/>
      <c r="BN86" s="214"/>
      <c r="BO86" s="214"/>
      <c r="BP86" s="214"/>
      <c r="BQ86" s="214"/>
      <c r="BR86" s="214"/>
      <c r="BS86" s="214"/>
    </row>
    <row r="87" spans="1:71" s="630" customFormat="1" x14ac:dyDescent="0.25">
      <c r="A87" s="214"/>
      <c r="B87" s="214"/>
      <c r="C87" s="214"/>
      <c r="D87" s="214"/>
      <c r="E87" s="214"/>
      <c r="F87" s="214"/>
      <c r="G87" s="214"/>
      <c r="H87" s="214"/>
      <c r="I87" s="214"/>
      <c r="J87" s="214"/>
      <c r="K87" s="214"/>
      <c r="L87" s="214"/>
      <c r="M87" s="214"/>
      <c r="N87" s="214"/>
      <c r="O87" s="214"/>
      <c r="P87" s="214"/>
      <c r="Q87" s="657"/>
      <c r="R87" s="214"/>
      <c r="S87" s="214"/>
      <c r="T87" s="214"/>
      <c r="U87" s="214"/>
      <c r="V87" s="214"/>
      <c r="W87" s="214"/>
      <c r="X87" s="214"/>
      <c r="Y87" s="214"/>
      <c r="Z87" s="214"/>
      <c r="AA87" s="214"/>
      <c r="AB87" s="214"/>
      <c r="AC87" s="214"/>
      <c r="AD87" s="214"/>
      <c r="AE87" s="214"/>
      <c r="AF87" s="214"/>
      <c r="AG87" s="657"/>
      <c r="AH87" s="214"/>
      <c r="AI87" s="214"/>
      <c r="AJ87" s="214"/>
      <c r="AK87" s="214"/>
      <c r="AL87" s="214"/>
      <c r="AM87" s="214"/>
      <c r="AN87" s="214"/>
      <c r="AO87" s="214"/>
      <c r="AP87" s="214"/>
      <c r="AQ87" s="214"/>
      <c r="AR87" s="214"/>
      <c r="AS87" s="214"/>
      <c r="AT87" s="214"/>
      <c r="AU87" s="214"/>
      <c r="AV87" s="214"/>
      <c r="AW87" s="214"/>
      <c r="AX87" s="214"/>
      <c r="AY87" s="214"/>
      <c r="AZ87" s="628"/>
      <c r="BA87" s="214"/>
      <c r="BB87" s="214"/>
      <c r="BC87" s="214"/>
      <c r="BD87" s="214"/>
      <c r="BE87" s="214"/>
      <c r="BF87" s="214"/>
      <c r="BG87" s="657"/>
      <c r="BH87" s="214"/>
      <c r="BJ87" s="214"/>
      <c r="BK87" s="214"/>
      <c r="BL87" s="214"/>
      <c r="BM87" s="214"/>
      <c r="BN87" s="214"/>
      <c r="BO87" s="214"/>
      <c r="BP87" s="214"/>
      <c r="BQ87" s="214"/>
      <c r="BR87" s="214"/>
      <c r="BS87" s="214"/>
    </row>
    <row r="88" spans="1:71" s="630" customFormat="1" x14ac:dyDescent="0.25">
      <c r="A88" s="214"/>
      <c r="B88" s="214"/>
      <c r="C88" s="214"/>
      <c r="D88" s="214"/>
      <c r="E88" s="214"/>
      <c r="F88" s="214"/>
      <c r="G88" s="214"/>
      <c r="H88" s="214"/>
      <c r="I88" s="214"/>
      <c r="J88" s="214"/>
      <c r="K88" s="214"/>
      <c r="L88" s="214"/>
      <c r="M88" s="214"/>
      <c r="N88" s="214"/>
      <c r="O88" s="214"/>
      <c r="P88" s="214"/>
      <c r="Q88" s="657"/>
      <c r="R88" s="214"/>
      <c r="S88" s="214"/>
      <c r="T88" s="214"/>
      <c r="U88" s="214"/>
      <c r="V88" s="214"/>
      <c r="W88" s="214"/>
      <c r="X88" s="214"/>
      <c r="Y88" s="214"/>
      <c r="Z88" s="214"/>
      <c r="AA88" s="214"/>
      <c r="AB88" s="214"/>
      <c r="AC88" s="214"/>
      <c r="AD88" s="214"/>
      <c r="AE88" s="214"/>
      <c r="AF88" s="214"/>
      <c r="AG88" s="657"/>
      <c r="AH88" s="214"/>
      <c r="AI88" s="214"/>
      <c r="AJ88" s="214"/>
      <c r="AK88" s="214"/>
      <c r="AL88" s="214"/>
      <c r="AM88" s="214"/>
      <c r="AN88" s="214"/>
      <c r="AO88" s="214"/>
      <c r="AP88" s="214"/>
      <c r="AQ88" s="214"/>
      <c r="AR88" s="214"/>
      <c r="AS88" s="214"/>
      <c r="AT88" s="214"/>
      <c r="AU88" s="214"/>
      <c r="AV88" s="214"/>
      <c r="AW88" s="214"/>
      <c r="AX88" s="214"/>
      <c r="AY88" s="214"/>
      <c r="AZ88" s="628"/>
      <c r="BA88" s="214"/>
      <c r="BB88" s="214"/>
      <c r="BC88" s="214"/>
      <c r="BD88" s="214"/>
      <c r="BE88" s="214"/>
      <c r="BF88" s="214"/>
      <c r="BG88" s="657"/>
      <c r="BH88" s="214"/>
      <c r="BJ88" s="214"/>
      <c r="BK88" s="214"/>
      <c r="BL88" s="214"/>
      <c r="BM88" s="214"/>
      <c r="BN88" s="214"/>
      <c r="BO88" s="214"/>
      <c r="BP88" s="214"/>
      <c r="BQ88" s="214"/>
      <c r="BR88" s="214"/>
      <c r="BS88" s="214"/>
    </row>
    <row r="89" spans="1:71" s="630" customFormat="1" x14ac:dyDescent="0.25">
      <c r="A89" s="214"/>
      <c r="B89" s="214"/>
      <c r="C89" s="214"/>
      <c r="D89" s="214"/>
      <c r="E89" s="214"/>
      <c r="F89" s="214"/>
      <c r="G89" s="214"/>
      <c r="H89" s="214"/>
      <c r="I89" s="214"/>
      <c r="J89" s="214"/>
      <c r="K89" s="214"/>
      <c r="L89" s="214"/>
      <c r="M89" s="214"/>
      <c r="N89" s="214"/>
      <c r="O89" s="214"/>
      <c r="P89" s="214"/>
      <c r="Q89" s="657"/>
      <c r="R89" s="214"/>
      <c r="S89" s="214"/>
      <c r="T89" s="214"/>
      <c r="U89" s="214"/>
      <c r="V89" s="214"/>
      <c r="W89" s="214"/>
      <c r="X89" s="214"/>
      <c r="Y89" s="214"/>
      <c r="Z89" s="214"/>
      <c r="AA89" s="214"/>
      <c r="AB89" s="214"/>
      <c r="AC89" s="214"/>
      <c r="AD89" s="214"/>
      <c r="AE89" s="214"/>
      <c r="AF89" s="214"/>
      <c r="AG89" s="657"/>
      <c r="AH89" s="214"/>
      <c r="AI89" s="214"/>
      <c r="AJ89" s="214"/>
      <c r="AK89" s="214"/>
      <c r="AL89" s="214"/>
      <c r="AM89" s="214"/>
      <c r="AN89" s="214"/>
      <c r="AO89" s="214"/>
      <c r="AP89" s="214"/>
      <c r="AQ89" s="214"/>
      <c r="AR89" s="214"/>
      <c r="AS89" s="214"/>
      <c r="AT89" s="214"/>
      <c r="AU89" s="214"/>
      <c r="AV89" s="214"/>
      <c r="AW89" s="214"/>
      <c r="AX89" s="214"/>
      <c r="AY89" s="214"/>
      <c r="AZ89" s="628"/>
      <c r="BA89" s="214"/>
      <c r="BB89" s="214"/>
      <c r="BC89" s="214"/>
      <c r="BD89" s="214"/>
      <c r="BE89" s="214"/>
      <c r="BF89" s="214"/>
      <c r="BG89" s="657"/>
      <c r="BH89" s="214"/>
      <c r="BJ89" s="214"/>
      <c r="BK89" s="214"/>
      <c r="BL89" s="214"/>
      <c r="BM89" s="214"/>
      <c r="BN89" s="214"/>
      <c r="BO89" s="214"/>
      <c r="BP89" s="214"/>
      <c r="BQ89" s="214"/>
      <c r="BR89" s="214"/>
      <c r="BS89" s="214"/>
    </row>
    <row r="90" spans="1:71" s="630" customFormat="1" x14ac:dyDescent="0.25">
      <c r="A90" s="214"/>
      <c r="B90" s="214"/>
      <c r="C90" s="214"/>
      <c r="D90" s="214"/>
      <c r="E90" s="214"/>
      <c r="F90" s="214"/>
      <c r="G90" s="214"/>
      <c r="H90" s="214"/>
      <c r="I90" s="214"/>
      <c r="J90" s="214"/>
      <c r="K90" s="214"/>
      <c r="L90" s="214"/>
      <c r="M90" s="214"/>
      <c r="N90" s="214"/>
      <c r="O90" s="214"/>
      <c r="P90" s="214"/>
      <c r="Q90" s="657"/>
      <c r="R90" s="214"/>
      <c r="S90" s="214"/>
      <c r="T90" s="214"/>
      <c r="U90" s="214"/>
      <c r="V90" s="214"/>
      <c r="W90" s="214"/>
      <c r="X90" s="214"/>
      <c r="Y90" s="214"/>
      <c r="Z90" s="214"/>
      <c r="AA90" s="214"/>
      <c r="AB90" s="214"/>
      <c r="AC90" s="214"/>
      <c r="AD90" s="214"/>
      <c r="AE90" s="214"/>
      <c r="AF90" s="214"/>
      <c r="AG90" s="657"/>
      <c r="AH90" s="214"/>
      <c r="AI90" s="214"/>
      <c r="AJ90" s="214"/>
      <c r="AK90" s="214"/>
      <c r="AL90" s="214"/>
      <c r="AM90" s="214"/>
      <c r="AN90" s="214"/>
      <c r="AO90" s="214"/>
      <c r="AP90" s="214"/>
      <c r="AQ90" s="214"/>
      <c r="AR90" s="214"/>
      <c r="AS90" s="214"/>
      <c r="AT90" s="214"/>
      <c r="AU90" s="214"/>
      <c r="AV90" s="214"/>
      <c r="AW90" s="214"/>
      <c r="AX90" s="214"/>
      <c r="AY90" s="214"/>
      <c r="AZ90" s="628"/>
      <c r="BA90" s="214"/>
      <c r="BB90" s="214"/>
      <c r="BC90" s="214"/>
      <c r="BD90" s="214"/>
      <c r="BE90" s="214"/>
      <c r="BF90" s="214"/>
      <c r="BG90" s="657"/>
      <c r="BH90" s="214"/>
      <c r="BJ90" s="214"/>
      <c r="BK90" s="214"/>
      <c r="BL90" s="214"/>
      <c r="BM90" s="214"/>
      <c r="BN90" s="214"/>
      <c r="BO90" s="214"/>
      <c r="BP90" s="214"/>
      <c r="BQ90" s="214"/>
      <c r="BR90" s="214"/>
      <c r="BS90" s="214"/>
    </row>
    <row r="91" spans="1:71" s="630" customFormat="1" x14ac:dyDescent="0.25">
      <c r="A91" s="214"/>
      <c r="B91" s="214"/>
      <c r="C91" s="214"/>
      <c r="D91" s="214"/>
      <c r="E91" s="214"/>
      <c r="F91" s="214"/>
      <c r="G91" s="214"/>
      <c r="H91" s="214"/>
      <c r="I91" s="214"/>
      <c r="J91" s="214"/>
      <c r="K91" s="214"/>
      <c r="L91" s="214"/>
      <c r="M91" s="214"/>
      <c r="N91" s="214"/>
      <c r="O91" s="214"/>
      <c r="P91" s="214"/>
      <c r="Q91" s="657"/>
      <c r="R91" s="214"/>
      <c r="S91" s="214"/>
      <c r="T91" s="214"/>
      <c r="U91" s="214"/>
      <c r="V91" s="214"/>
      <c r="W91" s="214"/>
      <c r="X91" s="214"/>
      <c r="Y91" s="214"/>
      <c r="Z91" s="214"/>
      <c r="AA91" s="214"/>
      <c r="AB91" s="214"/>
      <c r="AC91" s="214"/>
      <c r="AD91" s="214"/>
      <c r="AE91" s="214"/>
      <c r="AF91" s="214"/>
      <c r="AG91" s="657"/>
      <c r="AH91" s="214"/>
      <c r="AI91" s="214"/>
      <c r="AJ91" s="214"/>
      <c r="AK91" s="214"/>
      <c r="AL91" s="214"/>
      <c r="AM91" s="214"/>
      <c r="AN91" s="214"/>
      <c r="AO91" s="214"/>
      <c r="AP91" s="214"/>
      <c r="AQ91" s="214"/>
      <c r="AR91" s="214"/>
      <c r="AS91" s="214"/>
      <c r="AT91" s="214"/>
      <c r="AU91" s="214"/>
      <c r="AV91" s="214"/>
      <c r="AW91" s="214"/>
      <c r="AX91" s="214"/>
      <c r="AY91" s="214"/>
      <c r="AZ91" s="628"/>
      <c r="BA91" s="214"/>
      <c r="BB91" s="214"/>
      <c r="BC91" s="214"/>
      <c r="BD91" s="214"/>
      <c r="BE91" s="214"/>
      <c r="BF91" s="214"/>
      <c r="BG91" s="657"/>
      <c r="BH91" s="214"/>
      <c r="BJ91" s="214"/>
      <c r="BK91" s="214"/>
      <c r="BL91" s="214"/>
      <c r="BM91" s="214"/>
      <c r="BN91" s="214"/>
      <c r="BO91" s="214"/>
      <c r="BP91" s="214"/>
      <c r="BQ91" s="214"/>
      <c r="BR91" s="214"/>
      <c r="BS91" s="214"/>
    </row>
    <row r="92" spans="1:71" s="630" customFormat="1" x14ac:dyDescent="0.25">
      <c r="A92" s="214"/>
      <c r="B92" s="214"/>
      <c r="C92" s="214"/>
      <c r="D92" s="214"/>
      <c r="E92" s="214"/>
      <c r="F92" s="214"/>
      <c r="G92" s="214"/>
      <c r="H92" s="214"/>
      <c r="I92" s="214"/>
      <c r="J92" s="214"/>
      <c r="K92" s="214"/>
      <c r="L92" s="214"/>
      <c r="M92" s="214"/>
      <c r="N92" s="214"/>
      <c r="O92" s="214"/>
      <c r="P92" s="214"/>
      <c r="Q92" s="657"/>
      <c r="R92" s="214"/>
      <c r="S92" s="214"/>
      <c r="T92" s="214"/>
      <c r="U92" s="214"/>
      <c r="V92" s="214"/>
      <c r="W92" s="214"/>
      <c r="X92" s="214"/>
      <c r="Y92" s="214"/>
      <c r="Z92" s="214"/>
      <c r="AA92" s="214"/>
      <c r="AB92" s="214"/>
      <c r="AC92" s="214"/>
      <c r="AD92" s="214"/>
      <c r="AE92" s="214"/>
      <c r="AF92" s="214"/>
      <c r="AG92" s="657"/>
      <c r="AH92" s="214"/>
      <c r="AI92" s="214"/>
      <c r="AJ92" s="214"/>
      <c r="AK92" s="214"/>
      <c r="AL92" s="214"/>
      <c r="AM92" s="214"/>
      <c r="AN92" s="214"/>
      <c r="AO92" s="214"/>
      <c r="AP92" s="214"/>
      <c r="AQ92" s="214"/>
      <c r="AR92" s="214"/>
      <c r="AS92" s="214"/>
      <c r="AT92" s="214"/>
      <c r="AU92" s="214"/>
      <c r="AV92" s="214"/>
      <c r="AW92" s="214"/>
      <c r="AX92" s="214"/>
      <c r="AY92" s="214"/>
      <c r="AZ92" s="628"/>
      <c r="BA92" s="214"/>
      <c r="BB92" s="214"/>
      <c r="BC92" s="214"/>
      <c r="BD92" s="214"/>
      <c r="BE92" s="214"/>
      <c r="BF92" s="214"/>
      <c r="BG92" s="657"/>
      <c r="BH92" s="214"/>
      <c r="BJ92" s="214"/>
      <c r="BK92" s="214"/>
      <c r="BL92" s="214"/>
      <c r="BM92" s="214"/>
      <c r="BN92" s="214"/>
      <c r="BO92" s="214"/>
      <c r="BP92" s="214"/>
      <c r="BQ92" s="214"/>
      <c r="BR92" s="214"/>
      <c r="BS92" s="214"/>
    </row>
    <row r="93" spans="1:71" s="630" customFormat="1" x14ac:dyDescent="0.25">
      <c r="A93" s="214"/>
      <c r="B93" s="214"/>
      <c r="C93" s="214"/>
      <c r="D93" s="214"/>
      <c r="E93" s="214"/>
      <c r="F93" s="214"/>
      <c r="G93" s="214"/>
      <c r="H93" s="214"/>
      <c r="I93" s="214"/>
      <c r="J93" s="214"/>
      <c r="K93" s="214"/>
      <c r="L93" s="214"/>
      <c r="M93" s="214"/>
      <c r="N93" s="214"/>
      <c r="O93" s="214"/>
      <c r="P93" s="214"/>
      <c r="Q93" s="657"/>
      <c r="R93" s="214"/>
      <c r="S93" s="214"/>
      <c r="T93" s="214"/>
      <c r="U93" s="214"/>
      <c r="V93" s="214"/>
      <c r="W93" s="214"/>
      <c r="X93" s="214"/>
      <c r="Y93" s="214"/>
      <c r="Z93" s="214"/>
      <c r="AA93" s="214"/>
      <c r="AB93" s="214"/>
      <c r="AC93" s="214"/>
      <c r="AD93" s="214"/>
      <c r="AE93" s="214"/>
      <c r="AF93" s="214"/>
      <c r="AG93" s="657"/>
      <c r="AH93" s="214"/>
      <c r="AI93" s="214"/>
      <c r="AJ93" s="214"/>
      <c r="AK93" s="214"/>
      <c r="AL93" s="214"/>
      <c r="AM93" s="214"/>
      <c r="AN93" s="214"/>
      <c r="AO93" s="214"/>
      <c r="AP93" s="214"/>
      <c r="AQ93" s="214"/>
      <c r="AR93" s="214"/>
      <c r="AS93" s="214"/>
      <c r="AT93" s="214"/>
      <c r="AU93" s="214"/>
      <c r="AV93" s="214"/>
      <c r="AW93" s="214"/>
      <c r="AX93" s="214"/>
      <c r="AY93" s="214"/>
      <c r="AZ93" s="628"/>
      <c r="BA93" s="214"/>
      <c r="BB93" s="214"/>
      <c r="BC93" s="214"/>
      <c r="BD93" s="214"/>
      <c r="BE93" s="214"/>
      <c r="BF93" s="214"/>
      <c r="BG93" s="657"/>
      <c r="BH93" s="214"/>
      <c r="BJ93" s="214"/>
      <c r="BK93" s="214"/>
      <c r="BL93" s="214"/>
      <c r="BM93" s="214"/>
      <c r="BN93" s="214"/>
      <c r="BO93" s="214"/>
      <c r="BP93" s="214"/>
      <c r="BQ93" s="214"/>
      <c r="BR93" s="214"/>
      <c r="BS93" s="214"/>
    </row>
    <row r="94" spans="1:71" s="630" customFormat="1" x14ac:dyDescent="0.25">
      <c r="A94" s="214"/>
      <c r="B94" s="214"/>
      <c r="C94" s="214"/>
      <c r="D94" s="214"/>
      <c r="E94" s="214"/>
      <c r="F94" s="214"/>
      <c r="G94" s="214"/>
      <c r="H94" s="214"/>
      <c r="I94" s="214"/>
      <c r="J94" s="214"/>
      <c r="K94" s="214"/>
      <c r="L94" s="214"/>
      <c r="M94" s="214"/>
      <c r="N94" s="214"/>
      <c r="O94" s="214"/>
      <c r="P94" s="214"/>
      <c r="Q94" s="657"/>
      <c r="R94" s="214"/>
      <c r="S94" s="214"/>
      <c r="T94" s="214"/>
      <c r="U94" s="214"/>
      <c r="V94" s="214"/>
      <c r="W94" s="214"/>
      <c r="X94" s="214"/>
      <c r="Y94" s="214"/>
      <c r="Z94" s="214"/>
      <c r="AA94" s="214"/>
      <c r="AB94" s="214"/>
      <c r="AC94" s="214"/>
      <c r="AD94" s="214"/>
      <c r="AE94" s="214"/>
      <c r="AF94" s="214"/>
      <c r="AG94" s="657"/>
      <c r="AH94" s="214"/>
      <c r="AI94" s="214"/>
      <c r="AJ94" s="214"/>
      <c r="AK94" s="214"/>
      <c r="AL94" s="214"/>
      <c r="AM94" s="214"/>
      <c r="AN94" s="214"/>
      <c r="AO94" s="214"/>
      <c r="AP94" s="214"/>
      <c r="AQ94" s="214"/>
      <c r="AR94" s="214"/>
      <c r="AS94" s="214"/>
      <c r="AT94" s="214"/>
      <c r="AU94" s="214"/>
      <c r="AV94" s="214"/>
      <c r="AW94" s="214"/>
      <c r="AX94" s="214"/>
      <c r="AY94" s="214"/>
      <c r="AZ94" s="628"/>
      <c r="BA94" s="214"/>
      <c r="BB94" s="214"/>
      <c r="BC94" s="214"/>
      <c r="BD94" s="214"/>
      <c r="BE94" s="214"/>
      <c r="BF94" s="214"/>
      <c r="BG94" s="657"/>
      <c r="BH94" s="214"/>
      <c r="BJ94" s="214"/>
      <c r="BK94" s="214"/>
      <c r="BL94" s="214"/>
      <c r="BM94" s="214"/>
      <c r="BN94" s="214"/>
      <c r="BO94" s="214"/>
      <c r="BP94" s="214"/>
      <c r="BQ94" s="214"/>
      <c r="BR94" s="214"/>
      <c r="BS94" s="214"/>
    </row>
    <row r="95" spans="1:71" s="630" customFormat="1" x14ac:dyDescent="0.25">
      <c r="A95" s="214"/>
      <c r="B95" s="214"/>
      <c r="C95" s="214"/>
      <c r="D95" s="214"/>
      <c r="E95" s="214"/>
      <c r="F95" s="214"/>
      <c r="G95" s="214"/>
      <c r="H95" s="214"/>
      <c r="I95" s="214"/>
      <c r="J95" s="214"/>
      <c r="K95" s="214"/>
      <c r="L95" s="214"/>
      <c r="M95" s="214"/>
      <c r="N95" s="214"/>
      <c r="O95" s="214"/>
      <c r="P95" s="214"/>
      <c r="Q95" s="657"/>
      <c r="R95" s="214"/>
      <c r="S95" s="214"/>
      <c r="T95" s="214"/>
      <c r="U95" s="214"/>
      <c r="V95" s="214"/>
      <c r="W95" s="214"/>
      <c r="X95" s="214"/>
      <c r="Y95" s="214"/>
      <c r="Z95" s="214"/>
      <c r="AA95" s="214"/>
      <c r="AB95" s="214"/>
      <c r="AC95" s="214"/>
      <c r="AD95" s="214"/>
      <c r="AE95" s="214"/>
      <c r="AF95" s="214"/>
      <c r="AG95" s="657"/>
      <c r="AH95" s="214"/>
      <c r="AI95" s="214"/>
      <c r="AJ95" s="214"/>
      <c r="AK95" s="214"/>
      <c r="AL95" s="214"/>
      <c r="AM95" s="214"/>
      <c r="AN95" s="214"/>
      <c r="AO95" s="214"/>
      <c r="AP95" s="214"/>
      <c r="AQ95" s="214"/>
      <c r="AR95" s="214"/>
      <c r="AS95" s="214"/>
      <c r="AT95" s="214"/>
      <c r="AU95" s="214"/>
      <c r="AV95" s="214"/>
      <c r="AW95" s="214"/>
      <c r="AX95" s="214"/>
      <c r="AY95" s="214"/>
      <c r="AZ95" s="628"/>
      <c r="BA95" s="214"/>
      <c r="BB95" s="214"/>
      <c r="BC95" s="214"/>
      <c r="BD95" s="214"/>
      <c r="BE95" s="214"/>
      <c r="BF95" s="214"/>
      <c r="BG95" s="657"/>
      <c r="BH95" s="214"/>
      <c r="BJ95" s="214"/>
      <c r="BK95" s="214"/>
      <c r="BL95" s="214"/>
      <c r="BM95" s="214"/>
      <c r="BN95" s="214"/>
      <c r="BO95" s="214"/>
      <c r="BP95" s="214"/>
      <c r="BQ95" s="214"/>
      <c r="BR95" s="214"/>
      <c r="BS95" s="214"/>
    </row>
    <row r="96" spans="1:71" s="630" customFormat="1" x14ac:dyDescent="0.25">
      <c r="A96" s="214"/>
      <c r="B96" s="214"/>
      <c r="C96" s="214"/>
      <c r="D96" s="214"/>
      <c r="E96" s="214"/>
      <c r="F96" s="214"/>
      <c r="G96" s="214"/>
      <c r="H96" s="214"/>
      <c r="I96" s="214"/>
      <c r="J96" s="214"/>
      <c r="K96" s="214"/>
      <c r="L96" s="214"/>
      <c r="M96" s="214"/>
      <c r="N96" s="214"/>
      <c r="O96" s="214"/>
      <c r="P96" s="214"/>
      <c r="Q96" s="657"/>
      <c r="R96" s="214"/>
      <c r="S96" s="214"/>
      <c r="T96" s="214"/>
      <c r="U96" s="214"/>
      <c r="V96" s="214"/>
      <c r="W96" s="214"/>
      <c r="X96" s="214"/>
      <c r="Y96" s="214"/>
      <c r="Z96" s="214"/>
      <c r="AA96" s="214"/>
      <c r="AB96" s="214"/>
      <c r="AC96" s="214"/>
      <c r="AD96" s="214"/>
      <c r="AE96" s="214"/>
      <c r="AF96" s="214"/>
      <c r="AG96" s="657"/>
      <c r="AH96" s="214"/>
      <c r="AI96" s="214"/>
      <c r="AJ96" s="214"/>
      <c r="AK96" s="214"/>
      <c r="AL96" s="214"/>
      <c r="AM96" s="214"/>
      <c r="AN96" s="214"/>
      <c r="AO96" s="214"/>
      <c r="AP96" s="214"/>
      <c r="AQ96" s="214"/>
      <c r="AR96" s="214"/>
      <c r="AS96" s="214"/>
      <c r="AT96" s="214"/>
      <c r="AU96" s="214"/>
      <c r="AV96" s="214"/>
      <c r="AW96" s="214"/>
      <c r="AX96" s="214"/>
      <c r="AY96" s="214"/>
      <c r="AZ96" s="628"/>
      <c r="BA96" s="214"/>
      <c r="BB96" s="214"/>
      <c r="BC96" s="214"/>
      <c r="BD96" s="214"/>
      <c r="BE96" s="214"/>
      <c r="BF96" s="214"/>
      <c r="BG96" s="657"/>
      <c r="BH96" s="214"/>
      <c r="BJ96" s="214"/>
      <c r="BK96" s="214"/>
      <c r="BL96" s="214"/>
      <c r="BM96" s="214"/>
      <c r="BN96" s="214"/>
      <c r="BO96" s="214"/>
      <c r="BP96" s="214"/>
      <c r="BQ96" s="214"/>
      <c r="BR96" s="214"/>
      <c r="BS96" s="214"/>
    </row>
    <row r="97" spans="1:71" s="630" customFormat="1" x14ac:dyDescent="0.25">
      <c r="A97" s="214"/>
      <c r="B97" s="214"/>
      <c r="C97" s="214"/>
      <c r="D97" s="214"/>
      <c r="E97" s="214"/>
      <c r="F97" s="214"/>
      <c r="G97" s="214"/>
      <c r="H97" s="214"/>
      <c r="I97" s="214"/>
      <c r="J97" s="214"/>
      <c r="K97" s="214"/>
      <c r="L97" s="214"/>
      <c r="M97" s="214"/>
      <c r="N97" s="214"/>
      <c r="O97" s="214"/>
      <c r="P97" s="214"/>
      <c r="Q97" s="657"/>
      <c r="R97" s="214"/>
      <c r="S97" s="214"/>
      <c r="T97" s="214"/>
      <c r="U97" s="214"/>
      <c r="V97" s="214"/>
      <c r="W97" s="214"/>
      <c r="X97" s="214"/>
      <c r="Y97" s="214"/>
      <c r="Z97" s="214"/>
      <c r="AA97" s="214"/>
      <c r="AB97" s="214"/>
      <c r="AC97" s="214"/>
      <c r="AD97" s="214"/>
      <c r="AE97" s="214"/>
      <c r="AF97" s="214"/>
      <c r="AG97" s="657"/>
      <c r="AH97" s="214"/>
      <c r="AI97" s="214"/>
      <c r="AJ97" s="214"/>
      <c r="AK97" s="214"/>
      <c r="AL97" s="214"/>
      <c r="AM97" s="214"/>
      <c r="AN97" s="214"/>
      <c r="AO97" s="214"/>
      <c r="AP97" s="214"/>
      <c r="AQ97" s="214"/>
      <c r="AR97" s="214"/>
      <c r="AS97" s="214"/>
      <c r="AT97" s="214"/>
      <c r="AU97" s="214"/>
      <c r="AV97" s="214"/>
      <c r="AW97" s="214"/>
      <c r="AX97" s="214"/>
      <c r="AY97" s="214"/>
      <c r="AZ97" s="628"/>
      <c r="BA97" s="214"/>
      <c r="BB97" s="214"/>
      <c r="BC97" s="214"/>
      <c r="BD97" s="214"/>
      <c r="BE97" s="214"/>
      <c r="BF97" s="214"/>
      <c r="BG97" s="657"/>
      <c r="BH97" s="214"/>
      <c r="BJ97" s="214"/>
      <c r="BK97" s="214"/>
      <c r="BL97" s="214"/>
      <c r="BM97" s="214"/>
      <c r="BN97" s="214"/>
      <c r="BO97" s="214"/>
      <c r="BP97" s="214"/>
      <c r="BQ97" s="214"/>
      <c r="BR97" s="214"/>
      <c r="BS97" s="214"/>
    </row>
    <row r="98" spans="1:71" s="630" customFormat="1" x14ac:dyDescent="0.25">
      <c r="A98" s="214"/>
      <c r="B98" s="214"/>
      <c r="C98" s="214"/>
      <c r="D98" s="214"/>
      <c r="E98" s="214"/>
      <c r="F98" s="214"/>
      <c r="G98" s="214"/>
      <c r="H98" s="214"/>
      <c r="I98" s="214"/>
      <c r="J98" s="214"/>
      <c r="K98" s="214"/>
      <c r="L98" s="214"/>
      <c r="M98" s="214"/>
      <c r="N98" s="214"/>
      <c r="O98" s="214"/>
      <c r="P98" s="214"/>
      <c r="Q98" s="657"/>
      <c r="R98" s="214"/>
      <c r="S98" s="214"/>
      <c r="T98" s="214"/>
      <c r="U98" s="214"/>
      <c r="V98" s="214"/>
      <c r="W98" s="214"/>
      <c r="X98" s="214"/>
      <c r="Y98" s="214"/>
      <c r="Z98" s="214"/>
      <c r="AA98" s="214"/>
      <c r="AB98" s="214"/>
      <c r="AC98" s="214"/>
      <c r="AD98" s="214"/>
      <c r="AE98" s="214"/>
      <c r="AF98" s="214"/>
      <c r="AG98" s="657"/>
      <c r="AH98" s="214"/>
      <c r="AI98" s="214"/>
      <c r="AJ98" s="214"/>
      <c r="AK98" s="214"/>
      <c r="AL98" s="214"/>
      <c r="AM98" s="214"/>
      <c r="AN98" s="214"/>
      <c r="AO98" s="214"/>
      <c r="AP98" s="214"/>
      <c r="AQ98" s="214"/>
      <c r="AR98" s="214"/>
      <c r="AS98" s="214"/>
      <c r="AT98" s="214"/>
      <c r="AU98" s="214"/>
      <c r="AV98" s="214"/>
      <c r="AW98" s="214"/>
      <c r="AX98" s="214"/>
      <c r="AY98" s="214"/>
      <c r="AZ98" s="628"/>
      <c r="BA98" s="214"/>
      <c r="BB98" s="214"/>
      <c r="BC98" s="214"/>
      <c r="BD98" s="214"/>
      <c r="BE98" s="214"/>
      <c r="BF98" s="214"/>
      <c r="BG98" s="657"/>
      <c r="BH98" s="214"/>
      <c r="BJ98" s="214"/>
      <c r="BK98" s="214"/>
      <c r="BL98" s="214"/>
      <c r="BM98" s="214"/>
      <c r="BN98" s="214"/>
      <c r="BO98" s="214"/>
      <c r="BP98" s="214"/>
      <c r="BQ98" s="214"/>
      <c r="BR98" s="214"/>
      <c r="BS98" s="214"/>
    </row>
    <row r="99" spans="1:71" s="630" customFormat="1" x14ac:dyDescent="0.25">
      <c r="A99" s="214"/>
      <c r="B99" s="214"/>
      <c r="C99" s="214"/>
      <c r="D99" s="214"/>
      <c r="E99" s="214"/>
      <c r="F99" s="214"/>
      <c r="G99" s="214"/>
      <c r="H99" s="214"/>
      <c r="I99" s="214"/>
      <c r="J99" s="214"/>
      <c r="K99" s="214"/>
      <c r="L99" s="214"/>
      <c r="M99" s="214"/>
      <c r="N99" s="214"/>
      <c r="O99" s="214"/>
      <c r="P99" s="214"/>
      <c r="Q99" s="657"/>
      <c r="R99" s="214"/>
      <c r="S99" s="214"/>
      <c r="T99" s="214"/>
      <c r="U99" s="214"/>
      <c r="V99" s="214"/>
      <c r="W99" s="214"/>
      <c r="X99" s="214"/>
      <c r="Y99" s="214"/>
      <c r="Z99" s="214"/>
      <c r="AA99" s="214"/>
      <c r="AB99" s="214"/>
      <c r="AC99" s="214"/>
      <c r="AD99" s="214"/>
      <c r="AE99" s="214"/>
      <c r="AF99" s="214"/>
      <c r="AG99" s="657"/>
      <c r="AH99" s="214"/>
      <c r="AI99" s="214"/>
      <c r="AJ99" s="214"/>
      <c r="AK99" s="214"/>
      <c r="AL99" s="214"/>
      <c r="AM99" s="214"/>
      <c r="AN99" s="214"/>
      <c r="AO99" s="214"/>
      <c r="AP99" s="214"/>
      <c r="AQ99" s="214"/>
      <c r="AR99" s="214"/>
      <c r="AS99" s="214"/>
      <c r="AT99" s="214"/>
      <c r="AU99" s="214"/>
      <c r="AV99" s="214"/>
      <c r="AW99" s="214"/>
      <c r="AX99" s="214"/>
      <c r="AY99" s="214"/>
      <c r="AZ99" s="628"/>
      <c r="BA99" s="214"/>
      <c r="BB99" s="214"/>
      <c r="BC99" s="214"/>
      <c r="BD99" s="214"/>
      <c r="BE99" s="214"/>
      <c r="BF99" s="214"/>
      <c r="BG99" s="657"/>
      <c r="BH99" s="214"/>
      <c r="BJ99" s="214"/>
      <c r="BK99" s="214"/>
      <c r="BL99" s="214"/>
      <c r="BM99" s="214"/>
      <c r="BN99" s="214"/>
      <c r="BO99" s="214"/>
      <c r="BP99" s="214"/>
      <c r="BQ99" s="214"/>
      <c r="BR99" s="214"/>
      <c r="BS99" s="214"/>
    </row>
    <row r="100" spans="1:71" s="630" customFormat="1" x14ac:dyDescent="0.25">
      <c r="A100" s="214"/>
      <c r="B100" s="214"/>
      <c r="C100" s="214"/>
      <c r="D100" s="214"/>
      <c r="E100" s="214"/>
      <c r="F100" s="214"/>
      <c r="G100" s="214"/>
      <c r="H100" s="214"/>
      <c r="I100" s="214"/>
      <c r="J100" s="214"/>
      <c r="K100" s="214"/>
      <c r="L100" s="214"/>
      <c r="M100" s="214"/>
      <c r="N100" s="214"/>
      <c r="O100" s="214"/>
      <c r="P100" s="214"/>
      <c r="Q100" s="657"/>
      <c r="R100" s="214"/>
      <c r="S100" s="214"/>
      <c r="T100" s="214"/>
      <c r="U100" s="214"/>
      <c r="V100" s="214"/>
      <c r="W100" s="214"/>
      <c r="X100" s="214"/>
      <c r="Y100" s="214"/>
      <c r="Z100" s="214"/>
      <c r="AA100" s="214"/>
      <c r="AB100" s="214"/>
      <c r="AC100" s="214"/>
      <c r="AD100" s="214"/>
      <c r="AE100" s="214"/>
      <c r="AF100" s="214"/>
      <c r="AG100" s="657"/>
      <c r="AH100" s="214"/>
      <c r="AI100" s="214"/>
      <c r="AJ100" s="214"/>
      <c r="AK100" s="214"/>
      <c r="AL100" s="214"/>
      <c r="AM100" s="214"/>
      <c r="AN100" s="214"/>
      <c r="AO100" s="214"/>
      <c r="AP100" s="214"/>
      <c r="AQ100" s="214"/>
      <c r="AR100" s="214"/>
      <c r="AS100" s="214"/>
      <c r="AT100" s="214"/>
      <c r="AU100" s="214"/>
      <c r="AV100" s="214"/>
      <c r="AW100" s="214"/>
      <c r="AX100" s="214"/>
      <c r="AY100" s="214"/>
      <c r="AZ100" s="628"/>
      <c r="BA100" s="214"/>
      <c r="BB100" s="214"/>
      <c r="BC100" s="214"/>
      <c r="BD100" s="214"/>
      <c r="BE100" s="214"/>
      <c r="BF100" s="214"/>
      <c r="BG100" s="657"/>
      <c r="BH100" s="214"/>
      <c r="BJ100" s="214"/>
      <c r="BK100" s="214"/>
      <c r="BL100" s="214"/>
      <c r="BM100" s="214"/>
      <c r="BN100" s="214"/>
      <c r="BO100" s="214"/>
      <c r="BP100" s="214"/>
      <c r="BQ100" s="214"/>
      <c r="BR100" s="214"/>
      <c r="BS100" s="214"/>
    </row>
    <row r="101" spans="1:71" s="630" customFormat="1" x14ac:dyDescent="0.25">
      <c r="A101" s="214"/>
      <c r="B101" s="214"/>
      <c r="C101" s="214"/>
      <c r="D101" s="214"/>
      <c r="E101" s="214"/>
      <c r="F101" s="214"/>
      <c r="G101" s="214"/>
      <c r="H101" s="214"/>
      <c r="I101" s="214"/>
      <c r="J101" s="214"/>
      <c r="K101" s="214"/>
      <c r="L101" s="214"/>
      <c r="M101" s="214"/>
      <c r="N101" s="214"/>
      <c r="O101" s="214"/>
      <c r="P101" s="214"/>
      <c r="Q101" s="657"/>
      <c r="R101" s="214"/>
      <c r="S101" s="214"/>
      <c r="T101" s="214"/>
      <c r="U101" s="214"/>
      <c r="V101" s="214"/>
      <c r="W101" s="214"/>
      <c r="X101" s="214"/>
      <c r="Y101" s="214"/>
      <c r="Z101" s="214"/>
      <c r="AA101" s="214"/>
      <c r="AB101" s="214"/>
      <c r="AC101" s="214"/>
      <c r="AD101" s="214"/>
      <c r="AE101" s="214"/>
      <c r="AF101" s="214"/>
      <c r="AG101" s="657"/>
      <c r="AH101" s="214"/>
      <c r="AI101" s="214"/>
      <c r="AJ101" s="214"/>
      <c r="AK101" s="214"/>
      <c r="AL101" s="214"/>
      <c r="AM101" s="214"/>
      <c r="AN101" s="214"/>
      <c r="AO101" s="214"/>
      <c r="AP101" s="214"/>
      <c r="AQ101" s="214"/>
      <c r="AR101" s="214"/>
      <c r="AS101" s="214"/>
      <c r="AT101" s="214"/>
      <c r="AU101" s="214"/>
      <c r="AV101" s="214"/>
      <c r="AW101" s="214"/>
      <c r="AX101" s="214"/>
      <c r="AY101" s="214"/>
      <c r="AZ101" s="628"/>
      <c r="BA101" s="214"/>
      <c r="BB101" s="214"/>
      <c r="BC101" s="214"/>
      <c r="BD101" s="214"/>
      <c r="BE101" s="214"/>
      <c r="BF101" s="214"/>
      <c r="BG101" s="657"/>
      <c r="BH101" s="214"/>
      <c r="BJ101" s="214"/>
      <c r="BK101" s="214"/>
      <c r="BL101" s="214"/>
      <c r="BM101" s="214"/>
      <c r="BN101" s="214"/>
      <c r="BO101" s="214"/>
      <c r="BP101" s="214"/>
      <c r="BQ101" s="214"/>
      <c r="BR101" s="214"/>
      <c r="BS101" s="214"/>
    </row>
    <row r="102" spans="1:71" s="630" customFormat="1" x14ac:dyDescent="0.25">
      <c r="A102" s="214"/>
      <c r="B102" s="214"/>
      <c r="C102" s="214"/>
      <c r="D102" s="214"/>
      <c r="E102" s="214"/>
      <c r="F102" s="214"/>
      <c r="G102" s="214"/>
      <c r="H102" s="214"/>
      <c r="I102" s="214"/>
      <c r="J102" s="214"/>
      <c r="K102" s="214"/>
      <c r="L102" s="214"/>
      <c r="M102" s="214"/>
      <c r="N102" s="214"/>
      <c r="O102" s="214"/>
      <c r="P102" s="214"/>
      <c r="Q102" s="657"/>
      <c r="R102" s="214"/>
      <c r="S102" s="214"/>
      <c r="T102" s="214"/>
      <c r="U102" s="214"/>
      <c r="V102" s="214"/>
      <c r="W102" s="214"/>
      <c r="X102" s="214"/>
      <c r="Y102" s="214"/>
      <c r="Z102" s="214"/>
      <c r="AA102" s="214"/>
      <c r="AB102" s="214"/>
      <c r="AC102" s="214"/>
      <c r="AD102" s="214"/>
      <c r="AE102" s="214"/>
      <c r="AF102" s="214"/>
      <c r="AG102" s="657"/>
      <c r="AH102" s="214"/>
      <c r="AI102" s="214"/>
      <c r="AJ102" s="214"/>
      <c r="AK102" s="214"/>
      <c r="AL102" s="214"/>
      <c r="AM102" s="214"/>
      <c r="AN102" s="214"/>
      <c r="AO102" s="214"/>
      <c r="AP102" s="214"/>
      <c r="AQ102" s="214"/>
      <c r="AR102" s="214"/>
      <c r="AS102" s="214"/>
      <c r="AT102" s="214"/>
      <c r="AU102" s="214"/>
      <c r="AV102" s="214"/>
      <c r="AW102" s="214"/>
      <c r="AX102" s="214"/>
      <c r="AY102" s="214"/>
      <c r="AZ102" s="628"/>
      <c r="BA102" s="214"/>
      <c r="BB102" s="214"/>
      <c r="BC102" s="214"/>
      <c r="BD102" s="214"/>
      <c r="BE102" s="214"/>
      <c r="BF102" s="214"/>
      <c r="BG102" s="657"/>
      <c r="BH102" s="214"/>
      <c r="BJ102" s="214"/>
      <c r="BK102" s="214"/>
      <c r="BL102" s="214"/>
      <c r="BM102" s="214"/>
      <c r="BN102" s="214"/>
      <c r="BO102" s="214"/>
      <c r="BP102" s="214"/>
      <c r="BQ102" s="214"/>
      <c r="BR102" s="214"/>
      <c r="BS102" s="214"/>
    </row>
    <row r="103" spans="1:71" s="630" customFormat="1" x14ac:dyDescent="0.25">
      <c r="A103" s="214"/>
      <c r="B103" s="214"/>
      <c r="C103" s="214"/>
      <c r="D103" s="214"/>
      <c r="E103" s="214"/>
      <c r="F103" s="214"/>
      <c r="G103" s="214"/>
      <c r="H103" s="214"/>
      <c r="I103" s="214"/>
      <c r="J103" s="214"/>
      <c r="K103" s="214"/>
      <c r="L103" s="214"/>
      <c r="M103" s="214"/>
      <c r="N103" s="214"/>
      <c r="O103" s="214"/>
      <c r="P103" s="214"/>
      <c r="Q103" s="657"/>
      <c r="R103" s="214"/>
      <c r="S103" s="214"/>
      <c r="T103" s="214"/>
      <c r="U103" s="214"/>
      <c r="V103" s="214"/>
      <c r="W103" s="214"/>
      <c r="X103" s="214"/>
      <c r="Y103" s="214"/>
      <c r="Z103" s="214"/>
      <c r="AA103" s="214"/>
      <c r="AB103" s="214"/>
      <c r="AC103" s="214"/>
      <c r="AD103" s="214"/>
      <c r="AE103" s="214"/>
      <c r="AF103" s="214"/>
      <c r="AG103" s="657"/>
      <c r="AH103" s="214"/>
      <c r="AI103" s="214"/>
      <c r="AJ103" s="214"/>
      <c r="AK103" s="214"/>
      <c r="AL103" s="214"/>
      <c r="AM103" s="214"/>
      <c r="AN103" s="214"/>
      <c r="AO103" s="214"/>
      <c r="AP103" s="214"/>
      <c r="AQ103" s="214"/>
      <c r="AR103" s="214"/>
      <c r="AS103" s="214"/>
      <c r="AT103" s="214"/>
      <c r="AU103" s="214"/>
      <c r="AV103" s="214"/>
      <c r="AW103" s="214"/>
      <c r="AX103" s="214"/>
      <c r="AY103" s="214"/>
      <c r="AZ103" s="628"/>
      <c r="BA103" s="214"/>
      <c r="BB103" s="214"/>
      <c r="BC103" s="214"/>
      <c r="BD103" s="214"/>
      <c r="BE103" s="214"/>
      <c r="BF103" s="214"/>
      <c r="BG103" s="657"/>
      <c r="BH103" s="214"/>
      <c r="BJ103" s="214"/>
      <c r="BK103" s="214"/>
      <c r="BL103" s="214"/>
      <c r="BM103" s="214"/>
      <c r="BN103" s="214"/>
      <c r="BO103" s="214"/>
      <c r="BP103" s="214"/>
      <c r="BQ103" s="214"/>
      <c r="BR103" s="214"/>
      <c r="BS103" s="214"/>
    </row>
    <row r="104" spans="1:71" s="630" customFormat="1" x14ac:dyDescent="0.25">
      <c r="A104" s="214"/>
      <c r="B104" s="214"/>
      <c r="C104" s="214"/>
      <c r="D104" s="214"/>
      <c r="E104" s="214"/>
      <c r="F104" s="214"/>
      <c r="G104" s="214"/>
      <c r="H104" s="214"/>
      <c r="I104" s="214"/>
      <c r="J104" s="214"/>
      <c r="K104" s="214"/>
      <c r="L104" s="214"/>
      <c r="M104" s="214"/>
      <c r="N104" s="214"/>
      <c r="O104" s="214"/>
      <c r="P104" s="214"/>
      <c r="Q104" s="657"/>
      <c r="R104" s="214"/>
      <c r="S104" s="214"/>
      <c r="T104" s="214"/>
      <c r="U104" s="214"/>
      <c r="V104" s="214"/>
      <c r="W104" s="214"/>
      <c r="X104" s="214"/>
      <c r="Y104" s="214"/>
      <c r="Z104" s="214"/>
      <c r="AA104" s="214"/>
      <c r="AB104" s="214"/>
      <c r="AC104" s="214"/>
      <c r="AD104" s="214"/>
      <c r="AE104" s="214"/>
      <c r="AF104" s="214"/>
      <c r="AG104" s="657"/>
      <c r="AH104" s="214"/>
      <c r="AI104" s="214"/>
      <c r="AJ104" s="214"/>
      <c r="AK104" s="214"/>
      <c r="AL104" s="214"/>
      <c r="AM104" s="214"/>
      <c r="AN104" s="214"/>
      <c r="AO104" s="214"/>
      <c r="AP104" s="214"/>
      <c r="AQ104" s="214"/>
      <c r="AR104" s="214"/>
      <c r="AS104" s="214"/>
      <c r="AT104" s="214"/>
      <c r="AU104" s="214"/>
      <c r="AV104" s="214"/>
      <c r="AW104" s="214"/>
      <c r="AX104" s="214"/>
      <c r="AY104" s="214"/>
      <c r="AZ104" s="628"/>
      <c r="BA104" s="214"/>
      <c r="BB104" s="214"/>
      <c r="BC104" s="214"/>
      <c r="BD104" s="214"/>
      <c r="BE104" s="214"/>
      <c r="BF104" s="214"/>
      <c r="BG104" s="657"/>
      <c r="BH104" s="214"/>
      <c r="BJ104" s="214"/>
      <c r="BK104" s="214"/>
      <c r="BL104" s="214"/>
      <c r="BM104" s="214"/>
      <c r="BN104" s="214"/>
      <c r="BO104" s="214"/>
      <c r="BP104" s="214"/>
      <c r="BQ104" s="214"/>
      <c r="BR104" s="214"/>
      <c r="BS104" s="214"/>
    </row>
    <row r="105" spans="1:71" s="630" customFormat="1" x14ac:dyDescent="0.25">
      <c r="A105" s="214"/>
      <c r="B105" s="214"/>
      <c r="C105" s="214"/>
      <c r="D105" s="214"/>
      <c r="E105" s="214"/>
      <c r="F105" s="214"/>
      <c r="G105" s="214"/>
      <c r="H105" s="214"/>
      <c r="I105" s="214"/>
      <c r="J105" s="214"/>
      <c r="K105" s="214"/>
      <c r="L105" s="214"/>
      <c r="M105" s="214"/>
      <c r="N105" s="214"/>
      <c r="O105" s="214"/>
      <c r="P105" s="214"/>
      <c r="Q105" s="657"/>
      <c r="R105" s="214"/>
      <c r="S105" s="214"/>
      <c r="T105" s="214"/>
      <c r="U105" s="214"/>
      <c r="V105" s="214"/>
      <c r="W105" s="214"/>
      <c r="X105" s="214"/>
      <c r="Y105" s="214"/>
      <c r="Z105" s="214"/>
      <c r="AA105" s="214"/>
      <c r="AB105" s="214"/>
      <c r="AC105" s="214"/>
      <c r="AD105" s="214"/>
      <c r="AE105" s="214"/>
      <c r="AF105" s="214"/>
      <c r="AG105" s="657"/>
      <c r="AH105" s="214"/>
      <c r="AI105" s="214"/>
      <c r="AJ105" s="214"/>
      <c r="AK105" s="214"/>
      <c r="AL105" s="214"/>
      <c r="AM105" s="214"/>
      <c r="AN105" s="214"/>
      <c r="AO105" s="214"/>
      <c r="AP105" s="214"/>
      <c r="AQ105" s="214"/>
      <c r="AR105" s="214"/>
      <c r="AS105" s="214"/>
      <c r="AT105" s="214"/>
      <c r="AU105" s="214"/>
      <c r="AV105" s="214"/>
      <c r="AW105" s="214"/>
      <c r="AX105" s="214"/>
      <c r="AY105" s="214"/>
      <c r="AZ105" s="628"/>
      <c r="BA105" s="214"/>
      <c r="BB105" s="214"/>
      <c r="BC105" s="214"/>
      <c r="BD105" s="214"/>
      <c r="BE105" s="214"/>
      <c r="BF105" s="214"/>
      <c r="BG105" s="657"/>
      <c r="BH105" s="214"/>
      <c r="BJ105" s="214"/>
      <c r="BK105" s="214"/>
      <c r="BL105" s="214"/>
      <c r="BM105" s="214"/>
      <c r="BN105" s="214"/>
      <c r="BO105" s="214"/>
      <c r="BP105" s="214"/>
      <c r="BQ105" s="214"/>
      <c r="BR105" s="214"/>
      <c r="BS105" s="214"/>
    </row>
    <row r="106" spans="1:71" s="630" customFormat="1" x14ac:dyDescent="0.25">
      <c r="A106" s="214"/>
      <c r="B106" s="214"/>
      <c r="C106" s="214"/>
      <c r="D106" s="214"/>
      <c r="E106" s="214"/>
      <c r="F106" s="214"/>
      <c r="G106" s="214"/>
      <c r="H106" s="214"/>
      <c r="I106" s="214"/>
      <c r="J106" s="214"/>
      <c r="K106" s="214"/>
      <c r="L106" s="214"/>
      <c r="M106" s="214"/>
      <c r="N106" s="214"/>
      <c r="O106" s="214"/>
      <c r="P106" s="214"/>
      <c r="Q106" s="657"/>
      <c r="R106" s="214"/>
      <c r="S106" s="214"/>
      <c r="T106" s="214"/>
      <c r="U106" s="214"/>
      <c r="V106" s="214"/>
      <c r="W106" s="214"/>
      <c r="X106" s="214"/>
      <c r="Y106" s="214"/>
      <c r="Z106" s="214"/>
      <c r="AA106" s="214"/>
      <c r="AB106" s="214"/>
      <c r="AC106" s="214"/>
      <c r="AD106" s="214"/>
      <c r="AE106" s="214"/>
      <c r="AF106" s="214"/>
      <c r="AG106" s="657"/>
      <c r="AH106" s="214"/>
      <c r="AI106" s="214"/>
      <c r="AJ106" s="214"/>
      <c r="AK106" s="214"/>
      <c r="AL106" s="214"/>
      <c r="AM106" s="214"/>
      <c r="AN106" s="214"/>
      <c r="AO106" s="214"/>
      <c r="AP106" s="214"/>
      <c r="AQ106" s="214"/>
      <c r="AR106" s="214"/>
      <c r="AS106" s="214"/>
      <c r="AT106" s="214"/>
      <c r="AU106" s="214"/>
      <c r="AV106" s="214"/>
      <c r="AW106" s="214"/>
      <c r="AX106" s="214"/>
      <c r="AY106" s="214"/>
      <c r="AZ106" s="628"/>
      <c r="BA106" s="214"/>
      <c r="BB106" s="214"/>
      <c r="BC106" s="214"/>
      <c r="BD106" s="214"/>
      <c r="BE106" s="214"/>
      <c r="BF106" s="214"/>
      <c r="BG106" s="657"/>
      <c r="BH106" s="214"/>
      <c r="BJ106" s="214"/>
      <c r="BK106" s="214"/>
      <c r="BL106" s="214"/>
      <c r="BM106" s="214"/>
      <c r="BN106" s="214"/>
      <c r="BO106" s="214"/>
      <c r="BP106" s="214"/>
      <c r="BQ106" s="214"/>
      <c r="BR106" s="214"/>
      <c r="BS106" s="214"/>
    </row>
    <row r="107" spans="1:71" s="630" customFormat="1" x14ac:dyDescent="0.25">
      <c r="A107" s="214"/>
      <c r="B107" s="214"/>
      <c r="C107" s="214"/>
      <c r="D107" s="214"/>
      <c r="E107" s="214"/>
      <c r="F107" s="214"/>
      <c r="G107" s="214"/>
      <c r="H107" s="214"/>
      <c r="I107" s="214"/>
      <c r="J107" s="214"/>
      <c r="K107" s="214"/>
      <c r="L107" s="214"/>
      <c r="M107" s="214"/>
      <c r="N107" s="214"/>
      <c r="O107" s="214"/>
      <c r="P107" s="214"/>
      <c r="Q107" s="657"/>
      <c r="R107" s="214"/>
      <c r="S107" s="214"/>
      <c r="T107" s="214"/>
      <c r="U107" s="214"/>
      <c r="V107" s="214"/>
      <c r="W107" s="214"/>
      <c r="X107" s="214"/>
      <c r="Y107" s="214"/>
      <c r="Z107" s="214"/>
      <c r="AA107" s="214"/>
      <c r="AB107" s="214"/>
      <c r="AC107" s="214"/>
      <c r="AD107" s="214"/>
      <c r="AE107" s="214"/>
      <c r="AF107" s="214"/>
      <c r="AG107" s="657"/>
      <c r="AH107" s="214"/>
      <c r="AI107" s="214"/>
      <c r="AJ107" s="214"/>
      <c r="AK107" s="214"/>
      <c r="AL107" s="214"/>
      <c r="AM107" s="214"/>
      <c r="AN107" s="214"/>
      <c r="AO107" s="214"/>
      <c r="AP107" s="214"/>
      <c r="AQ107" s="214"/>
      <c r="AR107" s="214"/>
      <c r="AS107" s="214"/>
      <c r="AT107" s="214"/>
      <c r="AU107" s="214"/>
      <c r="AV107" s="214"/>
      <c r="AW107" s="214"/>
      <c r="AX107" s="214"/>
      <c r="AY107" s="214"/>
      <c r="AZ107" s="628"/>
      <c r="BA107" s="214"/>
      <c r="BB107" s="214"/>
      <c r="BC107" s="214"/>
      <c r="BD107" s="214"/>
      <c r="BE107" s="214"/>
      <c r="BF107" s="214"/>
      <c r="BG107" s="657"/>
      <c r="BH107" s="214"/>
      <c r="BJ107" s="214"/>
      <c r="BK107" s="214"/>
      <c r="BL107" s="214"/>
      <c r="BM107" s="214"/>
      <c r="BN107" s="214"/>
      <c r="BO107" s="214"/>
      <c r="BP107" s="214"/>
      <c r="BQ107" s="214"/>
      <c r="BR107" s="214"/>
      <c r="BS107" s="214"/>
    </row>
    <row r="108" spans="1:71" s="630" customFormat="1" x14ac:dyDescent="0.25">
      <c r="A108" s="214"/>
      <c r="B108" s="214"/>
      <c r="C108" s="214"/>
      <c r="D108" s="214"/>
      <c r="E108" s="214"/>
      <c r="F108" s="214"/>
      <c r="G108" s="214"/>
      <c r="H108" s="214"/>
      <c r="I108" s="214"/>
      <c r="J108" s="214"/>
      <c r="K108" s="214"/>
      <c r="L108" s="214"/>
      <c r="M108" s="214"/>
      <c r="N108" s="214"/>
      <c r="O108" s="214"/>
      <c r="P108" s="214"/>
      <c r="Q108" s="657"/>
      <c r="R108" s="214"/>
      <c r="S108" s="214"/>
      <c r="T108" s="214"/>
      <c r="U108" s="214"/>
      <c r="V108" s="214"/>
      <c r="W108" s="214"/>
      <c r="X108" s="214"/>
      <c r="Y108" s="214"/>
      <c r="Z108" s="214"/>
      <c r="AA108" s="214"/>
      <c r="AB108" s="214"/>
      <c r="AC108" s="214"/>
      <c r="AD108" s="214"/>
      <c r="AE108" s="214"/>
      <c r="AF108" s="214"/>
      <c r="AG108" s="657"/>
      <c r="AH108" s="214"/>
      <c r="AI108" s="214"/>
      <c r="AJ108" s="214"/>
      <c r="AK108" s="214"/>
      <c r="AL108" s="214"/>
      <c r="AM108" s="214"/>
      <c r="AN108" s="214"/>
      <c r="AO108" s="214"/>
      <c r="AP108" s="214"/>
      <c r="AQ108" s="214"/>
      <c r="AR108" s="214"/>
      <c r="AS108" s="214"/>
      <c r="AT108" s="214"/>
      <c r="AU108" s="214"/>
      <c r="AV108" s="214"/>
      <c r="AW108" s="214"/>
      <c r="AX108" s="214"/>
      <c r="AY108" s="214"/>
      <c r="AZ108" s="628"/>
      <c r="BA108" s="214"/>
      <c r="BB108" s="214"/>
      <c r="BC108" s="214"/>
      <c r="BD108" s="214"/>
      <c r="BE108" s="214"/>
      <c r="BF108" s="214"/>
      <c r="BG108" s="657"/>
      <c r="BH108" s="214"/>
      <c r="BJ108" s="214"/>
      <c r="BK108" s="214"/>
      <c r="BL108" s="214"/>
      <c r="BM108" s="214"/>
      <c r="BN108" s="214"/>
      <c r="BO108" s="214"/>
      <c r="BP108" s="214"/>
      <c r="BQ108" s="214"/>
      <c r="BR108" s="214"/>
      <c r="BS108" s="214"/>
    </row>
    <row r="109" spans="1:71" s="630" customFormat="1" x14ac:dyDescent="0.25">
      <c r="A109" s="214"/>
      <c r="B109" s="214"/>
      <c r="C109" s="214"/>
      <c r="D109" s="214"/>
      <c r="E109" s="214"/>
      <c r="F109" s="214"/>
      <c r="G109" s="214"/>
      <c r="H109" s="214"/>
      <c r="I109" s="214"/>
      <c r="J109" s="214"/>
      <c r="K109" s="214"/>
      <c r="L109" s="214"/>
      <c r="M109" s="214"/>
      <c r="N109" s="214"/>
      <c r="O109" s="214"/>
      <c r="P109" s="214"/>
      <c r="Q109" s="657"/>
      <c r="R109" s="214"/>
      <c r="S109" s="214"/>
      <c r="T109" s="214"/>
      <c r="U109" s="214"/>
      <c r="V109" s="214"/>
      <c r="W109" s="214"/>
      <c r="X109" s="214"/>
      <c r="Y109" s="214"/>
      <c r="Z109" s="214"/>
      <c r="AA109" s="214"/>
      <c r="AB109" s="214"/>
      <c r="AC109" s="214"/>
      <c r="AD109" s="214"/>
      <c r="AE109" s="214"/>
      <c r="AF109" s="214"/>
      <c r="AG109" s="657"/>
      <c r="AH109" s="214"/>
      <c r="AI109" s="214"/>
      <c r="AJ109" s="214"/>
      <c r="AK109" s="214"/>
      <c r="AL109" s="214"/>
      <c r="AM109" s="214"/>
      <c r="AN109" s="214"/>
      <c r="AO109" s="214"/>
      <c r="AP109" s="214"/>
      <c r="AQ109" s="214"/>
      <c r="AR109" s="214"/>
      <c r="AS109" s="214"/>
      <c r="AT109" s="214"/>
      <c r="AU109" s="214"/>
      <c r="AV109" s="214"/>
      <c r="AW109" s="214"/>
      <c r="AX109" s="214"/>
      <c r="AY109" s="214"/>
      <c r="AZ109" s="628"/>
      <c r="BA109" s="214"/>
      <c r="BB109" s="214"/>
      <c r="BC109" s="214"/>
      <c r="BD109" s="214"/>
      <c r="BE109" s="214"/>
      <c r="BF109" s="214"/>
      <c r="BG109" s="657"/>
      <c r="BH109" s="214"/>
      <c r="BJ109" s="214"/>
      <c r="BK109" s="214"/>
      <c r="BL109" s="214"/>
      <c r="BM109" s="214"/>
      <c r="BN109" s="214"/>
      <c r="BO109" s="214"/>
      <c r="BP109" s="214"/>
      <c r="BQ109" s="214"/>
      <c r="BR109" s="214"/>
      <c r="BS109" s="214"/>
    </row>
    <row r="110" spans="1:71" s="630" customFormat="1" x14ac:dyDescent="0.25">
      <c r="A110" s="214"/>
      <c r="B110" s="214"/>
      <c r="C110" s="214"/>
      <c r="D110" s="214"/>
      <c r="E110" s="214"/>
      <c r="F110" s="214"/>
      <c r="G110" s="214"/>
      <c r="H110" s="214"/>
      <c r="I110" s="214"/>
      <c r="J110" s="214"/>
      <c r="K110" s="214"/>
      <c r="L110" s="214"/>
      <c r="M110" s="214"/>
      <c r="N110" s="214"/>
      <c r="O110" s="214"/>
      <c r="P110" s="214"/>
      <c r="Q110" s="657"/>
      <c r="R110" s="214"/>
      <c r="S110" s="214"/>
      <c r="T110" s="214"/>
      <c r="U110" s="214"/>
      <c r="V110" s="214"/>
      <c r="W110" s="214"/>
      <c r="X110" s="214"/>
      <c r="Y110" s="214"/>
      <c r="Z110" s="214"/>
      <c r="AA110" s="214"/>
      <c r="AB110" s="214"/>
      <c r="AC110" s="214"/>
      <c r="AD110" s="214"/>
      <c r="AE110" s="214"/>
      <c r="AF110" s="214"/>
      <c r="AG110" s="657"/>
      <c r="AH110" s="214"/>
      <c r="AI110" s="214"/>
      <c r="AJ110" s="214"/>
      <c r="AK110" s="214"/>
      <c r="AL110" s="214"/>
      <c r="AM110" s="214"/>
      <c r="AN110" s="214"/>
      <c r="AO110" s="214"/>
      <c r="AP110" s="214"/>
      <c r="AQ110" s="214"/>
      <c r="AR110" s="214"/>
      <c r="AS110" s="214"/>
      <c r="AT110" s="214"/>
      <c r="AU110" s="214"/>
      <c r="AV110" s="214"/>
      <c r="AW110" s="214"/>
      <c r="AX110" s="214"/>
      <c r="AY110" s="214"/>
      <c r="AZ110" s="628"/>
      <c r="BA110" s="214"/>
      <c r="BB110" s="214"/>
      <c r="BC110" s="214"/>
      <c r="BD110" s="214"/>
      <c r="BE110" s="214"/>
      <c r="BF110" s="214"/>
      <c r="BG110" s="657"/>
      <c r="BH110" s="214"/>
      <c r="BJ110" s="214"/>
      <c r="BK110" s="214"/>
      <c r="BL110" s="214"/>
      <c r="BM110" s="214"/>
      <c r="BN110" s="214"/>
      <c r="BO110" s="214"/>
      <c r="BP110" s="214"/>
      <c r="BQ110" s="214"/>
      <c r="BR110" s="214"/>
      <c r="BS110" s="214"/>
    </row>
    <row r="111" spans="1:71" s="630" customFormat="1" x14ac:dyDescent="0.25">
      <c r="A111" s="214"/>
      <c r="B111" s="214"/>
      <c r="C111" s="214"/>
      <c r="D111" s="214"/>
      <c r="E111" s="214"/>
      <c r="F111" s="214"/>
      <c r="G111" s="214"/>
      <c r="H111" s="214"/>
      <c r="I111" s="214"/>
      <c r="J111" s="214"/>
      <c r="K111" s="214"/>
      <c r="L111" s="214"/>
      <c r="M111" s="214"/>
      <c r="N111" s="214"/>
      <c r="O111" s="214"/>
      <c r="P111" s="214"/>
      <c r="Q111" s="657"/>
      <c r="R111" s="214"/>
      <c r="S111" s="214"/>
      <c r="T111" s="214"/>
      <c r="U111" s="214"/>
      <c r="V111" s="214"/>
      <c r="W111" s="214"/>
      <c r="X111" s="214"/>
      <c r="Y111" s="214"/>
      <c r="Z111" s="214"/>
      <c r="AA111" s="214"/>
      <c r="AB111" s="214"/>
      <c r="AC111" s="214"/>
      <c r="AD111" s="214"/>
      <c r="AE111" s="214"/>
      <c r="AF111" s="214"/>
      <c r="AG111" s="657"/>
      <c r="AH111" s="214"/>
      <c r="AI111" s="214"/>
      <c r="AJ111" s="214"/>
      <c r="AK111" s="214"/>
      <c r="AL111" s="214"/>
      <c r="AM111" s="214"/>
      <c r="AN111" s="214"/>
      <c r="AO111" s="214"/>
      <c r="AP111" s="214"/>
      <c r="AQ111" s="214"/>
      <c r="AR111" s="214"/>
      <c r="AS111" s="214"/>
      <c r="AT111" s="214"/>
      <c r="AU111" s="214"/>
      <c r="AV111" s="214"/>
      <c r="AW111" s="214"/>
      <c r="AX111" s="214"/>
      <c r="AY111" s="214"/>
      <c r="AZ111" s="628"/>
      <c r="BA111" s="214"/>
      <c r="BB111" s="214"/>
      <c r="BC111" s="214"/>
      <c r="BD111" s="214"/>
      <c r="BE111" s="214"/>
      <c r="BF111" s="214"/>
      <c r="BG111" s="657"/>
      <c r="BH111" s="214"/>
      <c r="BJ111" s="214"/>
      <c r="BK111" s="214"/>
      <c r="BL111" s="214"/>
      <c r="BM111" s="214"/>
      <c r="BN111" s="214"/>
      <c r="BO111" s="214"/>
      <c r="BP111" s="214"/>
      <c r="BQ111" s="214"/>
      <c r="BR111" s="214"/>
      <c r="BS111" s="214"/>
    </row>
    <row r="112" spans="1:71" s="630" customFormat="1" x14ac:dyDescent="0.25">
      <c r="A112" s="214"/>
      <c r="B112" s="214"/>
      <c r="C112" s="214"/>
      <c r="D112" s="214"/>
      <c r="E112" s="214"/>
      <c r="F112" s="214"/>
      <c r="G112" s="214"/>
      <c r="H112" s="214"/>
      <c r="I112" s="214"/>
      <c r="J112" s="214"/>
      <c r="K112" s="214"/>
      <c r="L112" s="214"/>
      <c r="M112" s="214"/>
      <c r="N112" s="214"/>
      <c r="O112" s="214"/>
      <c r="P112" s="214"/>
      <c r="Q112" s="657"/>
      <c r="R112" s="214"/>
      <c r="S112" s="214"/>
      <c r="T112" s="214"/>
      <c r="U112" s="214"/>
      <c r="V112" s="214"/>
      <c r="W112" s="214"/>
      <c r="X112" s="214"/>
      <c r="Y112" s="214"/>
      <c r="Z112" s="214"/>
      <c r="AA112" s="214"/>
      <c r="AB112" s="214"/>
      <c r="AC112" s="214"/>
      <c r="AD112" s="214"/>
      <c r="AE112" s="214"/>
      <c r="AF112" s="214"/>
      <c r="AG112" s="657"/>
      <c r="AH112" s="214"/>
      <c r="AI112" s="214"/>
      <c r="AJ112" s="214"/>
      <c r="AK112" s="214"/>
      <c r="AL112" s="214"/>
      <c r="AM112" s="214"/>
      <c r="AN112" s="214"/>
      <c r="AO112" s="214"/>
      <c r="AP112" s="214"/>
      <c r="AQ112" s="214"/>
      <c r="AR112" s="214"/>
      <c r="AS112" s="214"/>
      <c r="AT112" s="214"/>
      <c r="AU112" s="214"/>
      <c r="AV112" s="214"/>
      <c r="AW112" s="214"/>
      <c r="AX112" s="214"/>
      <c r="AY112" s="214"/>
      <c r="AZ112" s="628"/>
      <c r="BA112" s="214"/>
      <c r="BB112" s="214"/>
      <c r="BC112" s="214"/>
      <c r="BD112" s="214"/>
      <c r="BE112" s="214"/>
      <c r="BF112" s="214"/>
      <c r="BG112" s="657"/>
      <c r="BH112" s="214"/>
      <c r="BJ112" s="214"/>
      <c r="BK112" s="214"/>
      <c r="BL112" s="214"/>
      <c r="BM112" s="214"/>
      <c r="BN112" s="214"/>
      <c r="BO112" s="214"/>
      <c r="BP112" s="214"/>
      <c r="BQ112" s="214"/>
      <c r="BR112" s="214"/>
      <c r="BS112" s="214"/>
    </row>
    <row r="113" spans="1:71" s="630" customFormat="1" x14ac:dyDescent="0.25">
      <c r="A113" s="214"/>
      <c r="B113" s="214"/>
      <c r="C113" s="214"/>
      <c r="D113" s="214"/>
      <c r="E113" s="214"/>
      <c r="F113" s="214"/>
      <c r="G113" s="214"/>
      <c r="H113" s="214"/>
      <c r="I113" s="214"/>
      <c r="J113" s="214"/>
      <c r="K113" s="214"/>
      <c r="L113" s="214"/>
      <c r="M113" s="214"/>
      <c r="N113" s="214"/>
      <c r="O113" s="214"/>
      <c r="P113" s="214"/>
      <c r="Q113" s="657"/>
      <c r="R113" s="214"/>
      <c r="S113" s="214"/>
      <c r="T113" s="214"/>
      <c r="U113" s="214"/>
      <c r="V113" s="214"/>
      <c r="W113" s="214"/>
      <c r="X113" s="214"/>
      <c r="Y113" s="214"/>
      <c r="Z113" s="214"/>
      <c r="AA113" s="214"/>
      <c r="AB113" s="214"/>
      <c r="AC113" s="214"/>
      <c r="AD113" s="214"/>
      <c r="AE113" s="214"/>
      <c r="AF113" s="214"/>
      <c r="AG113" s="657"/>
      <c r="AH113" s="214"/>
      <c r="AI113" s="214"/>
      <c r="AJ113" s="214"/>
      <c r="AK113" s="214"/>
      <c r="AL113" s="214"/>
      <c r="AM113" s="214"/>
      <c r="AN113" s="214"/>
      <c r="AO113" s="214"/>
      <c r="AP113" s="214"/>
      <c r="AQ113" s="214"/>
      <c r="AR113" s="214"/>
      <c r="AS113" s="214"/>
      <c r="AT113" s="214"/>
      <c r="AU113" s="214"/>
      <c r="AV113" s="214"/>
      <c r="AW113" s="214"/>
      <c r="AX113" s="214"/>
      <c r="AY113" s="214"/>
      <c r="AZ113" s="628"/>
      <c r="BA113" s="214"/>
      <c r="BB113" s="214"/>
      <c r="BC113" s="214"/>
      <c r="BD113" s="214"/>
      <c r="BE113" s="214"/>
      <c r="BF113" s="214"/>
      <c r="BG113" s="657"/>
      <c r="BH113" s="214"/>
      <c r="BJ113" s="214"/>
      <c r="BK113" s="214"/>
      <c r="BL113" s="214"/>
      <c r="BM113" s="214"/>
      <c r="BN113" s="214"/>
      <c r="BO113" s="214"/>
      <c r="BP113" s="214"/>
      <c r="BQ113" s="214"/>
      <c r="BR113" s="214"/>
      <c r="BS113" s="214"/>
    </row>
    <row r="114" spans="1:71" s="630" customFormat="1" x14ac:dyDescent="0.25">
      <c r="A114" s="214"/>
      <c r="B114" s="214"/>
      <c r="C114" s="214"/>
      <c r="D114" s="214"/>
      <c r="E114" s="214"/>
      <c r="F114" s="214"/>
      <c r="G114" s="214"/>
      <c r="H114" s="214"/>
      <c r="I114" s="214"/>
      <c r="J114" s="214"/>
      <c r="K114" s="214"/>
      <c r="L114" s="214"/>
      <c r="M114" s="214"/>
      <c r="N114" s="214"/>
      <c r="O114" s="214"/>
      <c r="P114" s="214"/>
      <c r="Q114" s="657"/>
      <c r="R114" s="214"/>
      <c r="S114" s="214"/>
      <c r="T114" s="214"/>
      <c r="U114" s="214"/>
      <c r="V114" s="214"/>
      <c r="W114" s="214"/>
      <c r="X114" s="214"/>
      <c r="Y114" s="214"/>
      <c r="Z114" s="214"/>
      <c r="AA114" s="214"/>
      <c r="AB114" s="214"/>
      <c r="AC114" s="214"/>
      <c r="AD114" s="214"/>
      <c r="AE114" s="214"/>
      <c r="AF114" s="214"/>
      <c r="AG114" s="657"/>
      <c r="AH114" s="214"/>
      <c r="AI114" s="214"/>
      <c r="AJ114" s="214"/>
      <c r="AK114" s="214"/>
      <c r="AL114" s="214"/>
      <c r="AM114" s="214"/>
      <c r="AN114" s="214"/>
      <c r="AO114" s="214"/>
      <c r="AP114" s="214"/>
      <c r="AQ114" s="214"/>
      <c r="AR114" s="214"/>
      <c r="AS114" s="214"/>
      <c r="AT114" s="214"/>
      <c r="AU114" s="214"/>
      <c r="AV114" s="214"/>
      <c r="AW114" s="214"/>
      <c r="AX114" s="214"/>
      <c r="AY114" s="214"/>
      <c r="AZ114" s="628"/>
      <c r="BA114" s="214"/>
      <c r="BB114" s="214"/>
      <c r="BC114" s="214"/>
      <c r="BD114" s="214"/>
      <c r="BE114" s="214"/>
      <c r="BF114" s="214"/>
      <c r="BG114" s="657"/>
      <c r="BH114" s="214"/>
      <c r="BJ114" s="214"/>
      <c r="BK114" s="214"/>
      <c r="BL114" s="214"/>
      <c r="BM114" s="214"/>
      <c r="BN114" s="214"/>
      <c r="BO114" s="214"/>
      <c r="BP114" s="214"/>
      <c r="BQ114" s="214"/>
      <c r="BR114" s="214"/>
      <c r="BS114" s="214"/>
    </row>
    <row r="115" spans="1:71" s="630" customFormat="1" x14ac:dyDescent="0.25">
      <c r="A115" s="214"/>
      <c r="B115" s="214"/>
      <c r="C115" s="214"/>
      <c r="D115" s="214"/>
      <c r="E115" s="214"/>
      <c r="F115" s="214"/>
      <c r="G115" s="214"/>
      <c r="H115" s="214"/>
      <c r="I115" s="214"/>
      <c r="J115" s="214"/>
      <c r="K115" s="214"/>
      <c r="L115" s="214"/>
      <c r="M115" s="214"/>
      <c r="N115" s="214"/>
      <c r="O115" s="214"/>
      <c r="P115" s="214"/>
      <c r="Q115" s="657"/>
      <c r="R115" s="214"/>
      <c r="S115" s="214"/>
      <c r="T115" s="214"/>
      <c r="U115" s="214"/>
      <c r="V115" s="214"/>
      <c r="W115" s="214"/>
      <c r="X115" s="214"/>
      <c r="Y115" s="214"/>
      <c r="Z115" s="214"/>
      <c r="AA115" s="214"/>
      <c r="AB115" s="214"/>
      <c r="AC115" s="214"/>
      <c r="AD115" s="214"/>
      <c r="AE115" s="214"/>
      <c r="AF115" s="214"/>
      <c r="AG115" s="657"/>
      <c r="AH115" s="214"/>
      <c r="AI115" s="214"/>
      <c r="AJ115" s="214"/>
      <c r="AK115" s="214"/>
      <c r="AL115" s="214"/>
      <c r="AM115" s="214"/>
      <c r="AN115" s="214"/>
      <c r="AO115" s="214"/>
      <c r="AP115" s="214"/>
      <c r="AQ115" s="214"/>
      <c r="AR115" s="214"/>
      <c r="AS115" s="214"/>
      <c r="AT115" s="214"/>
      <c r="AU115" s="214"/>
      <c r="AV115" s="214"/>
      <c r="AW115" s="214"/>
      <c r="AX115" s="214"/>
      <c r="AY115" s="214"/>
      <c r="AZ115" s="628"/>
      <c r="BA115" s="214"/>
      <c r="BB115" s="214"/>
      <c r="BC115" s="214"/>
      <c r="BD115" s="214"/>
      <c r="BE115" s="214"/>
      <c r="BF115" s="214"/>
      <c r="BG115" s="657"/>
      <c r="BH115" s="214"/>
      <c r="BJ115" s="214"/>
      <c r="BK115" s="214"/>
      <c r="BL115" s="214"/>
      <c r="BM115" s="214"/>
      <c r="BN115" s="214"/>
      <c r="BO115" s="214"/>
      <c r="BP115" s="214"/>
      <c r="BQ115" s="214"/>
      <c r="BR115" s="214"/>
      <c r="BS115" s="214"/>
    </row>
    <row r="116" spans="1:71" s="630" customFormat="1" x14ac:dyDescent="0.25">
      <c r="A116" s="214"/>
      <c r="B116" s="214"/>
      <c r="C116" s="214"/>
      <c r="D116" s="214"/>
      <c r="E116" s="214"/>
      <c r="F116" s="214"/>
      <c r="G116" s="214"/>
      <c r="H116" s="214"/>
      <c r="I116" s="214"/>
      <c r="J116" s="214"/>
      <c r="K116" s="214"/>
      <c r="L116" s="214"/>
      <c r="M116" s="214"/>
      <c r="N116" s="214"/>
      <c r="O116" s="214"/>
      <c r="P116" s="214"/>
      <c r="Q116" s="657"/>
      <c r="R116" s="214"/>
      <c r="S116" s="214"/>
      <c r="T116" s="214"/>
      <c r="U116" s="214"/>
      <c r="V116" s="214"/>
      <c r="W116" s="214"/>
      <c r="X116" s="214"/>
      <c r="Y116" s="214"/>
      <c r="Z116" s="214"/>
      <c r="AA116" s="214"/>
      <c r="AB116" s="214"/>
      <c r="AC116" s="214"/>
      <c r="AD116" s="214"/>
      <c r="AE116" s="214"/>
      <c r="AF116" s="214"/>
      <c r="AG116" s="657"/>
      <c r="AH116" s="214"/>
      <c r="AI116" s="214"/>
      <c r="AJ116" s="214"/>
      <c r="AK116" s="214"/>
      <c r="AL116" s="214"/>
      <c r="AM116" s="214"/>
      <c r="AN116" s="214"/>
      <c r="AO116" s="214"/>
      <c r="AP116" s="214"/>
      <c r="AQ116" s="214"/>
      <c r="AR116" s="214"/>
      <c r="AS116" s="214"/>
      <c r="AT116" s="214"/>
      <c r="AU116" s="214"/>
      <c r="AV116" s="214"/>
      <c r="AW116" s="214"/>
      <c r="AX116" s="214"/>
      <c r="AY116" s="214"/>
      <c r="AZ116" s="628"/>
      <c r="BA116" s="214"/>
      <c r="BB116" s="214"/>
      <c r="BC116" s="214"/>
      <c r="BD116" s="214"/>
      <c r="BE116" s="214"/>
      <c r="BF116" s="214"/>
      <c r="BG116" s="657"/>
      <c r="BH116" s="214"/>
      <c r="BJ116" s="214"/>
      <c r="BK116" s="214"/>
      <c r="BL116" s="214"/>
      <c r="BM116" s="214"/>
      <c r="BN116" s="214"/>
      <c r="BO116" s="214"/>
      <c r="BP116" s="214"/>
      <c r="BQ116" s="214"/>
      <c r="BR116" s="214"/>
      <c r="BS116" s="214"/>
    </row>
    <row r="117" spans="1:71" s="630" customFormat="1" x14ac:dyDescent="0.25">
      <c r="A117" s="214"/>
      <c r="B117" s="214"/>
      <c r="C117" s="214"/>
      <c r="D117" s="214"/>
      <c r="E117" s="214"/>
      <c r="F117" s="214"/>
      <c r="G117" s="214"/>
      <c r="H117" s="214"/>
      <c r="I117" s="214"/>
      <c r="J117" s="214"/>
      <c r="K117" s="214"/>
      <c r="L117" s="214"/>
      <c r="M117" s="214"/>
      <c r="N117" s="214"/>
      <c r="O117" s="214"/>
      <c r="P117" s="214"/>
      <c r="Q117" s="657"/>
      <c r="R117" s="214"/>
      <c r="S117" s="214"/>
      <c r="T117" s="214"/>
      <c r="U117" s="214"/>
      <c r="V117" s="214"/>
      <c r="W117" s="214"/>
      <c r="X117" s="214"/>
      <c r="Y117" s="214"/>
      <c r="Z117" s="214"/>
      <c r="AA117" s="214"/>
      <c r="AB117" s="214"/>
      <c r="AC117" s="214"/>
      <c r="AD117" s="214"/>
      <c r="AE117" s="214"/>
      <c r="AF117" s="214"/>
      <c r="AG117" s="657"/>
      <c r="AH117" s="214"/>
      <c r="AI117" s="214"/>
      <c r="AJ117" s="214"/>
      <c r="AK117" s="214"/>
      <c r="AL117" s="214"/>
      <c r="AM117" s="214"/>
      <c r="AN117" s="214"/>
      <c r="AO117" s="214"/>
      <c r="AP117" s="214"/>
      <c r="AQ117" s="214"/>
      <c r="AR117" s="214"/>
      <c r="AS117" s="214"/>
      <c r="AT117" s="214"/>
      <c r="AU117" s="214"/>
      <c r="AV117" s="214"/>
      <c r="AW117" s="214"/>
      <c r="AX117" s="214"/>
      <c r="AY117" s="214"/>
      <c r="AZ117" s="628"/>
      <c r="BA117" s="214"/>
      <c r="BB117" s="214"/>
      <c r="BC117" s="214"/>
      <c r="BD117" s="214"/>
      <c r="BE117" s="214"/>
      <c r="BF117" s="214"/>
      <c r="BG117" s="657"/>
      <c r="BH117" s="214"/>
      <c r="BJ117" s="214"/>
      <c r="BK117" s="214"/>
      <c r="BL117" s="214"/>
      <c r="BM117" s="214"/>
      <c r="BN117" s="214"/>
      <c r="BO117" s="214"/>
      <c r="BP117" s="214"/>
      <c r="BQ117" s="214"/>
      <c r="BR117" s="214"/>
      <c r="BS117" s="214"/>
    </row>
    <row r="118" spans="1:71" s="630" customFormat="1" x14ac:dyDescent="0.25">
      <c r="A118" s="214"/>
      <c r="B118" s="214"/>
      <c r="C118" s="214"/>
      <c r="D118" s="214"/>
      <c r="E118" s="214"/>
      <c r="F118" s="214"/>
      <c r="G118" s="214"/>
      <c r="H118" s="214"/>
      <c r="I118" s="214"/>
      <c r="J118" s="214"/>
      <c r="K118" s="214"/>
      <c r="L118" s="214"/>
      <c r="M118" s="214"/>
      <c r="N118" s="214"/>
      <c r="O118" s="214"/>
      <c r="P118" s="214"/>
      <c r="Q118" s="657"/>
      <c r="R118" s="214"/>
      <c r="S118" s="214"/>
      <c r="T118" s="214"/>
      <c r="U118" s="214"/>
      <c r="V118" s="214"/>
      <c r="W118" s="214"/>
      <c r="X118" s="214"/>
      <c r="Y118" s="214"/>
      <c r="Z118" s="214"/>
      <c r="AA118" s="214"/>
      <c r="AB118" s="214"/>
      <c r="AC118" s="214"/>
      <c r="AD118" s="214"/>
      <c r="AE118" s="214"/>
      <c r="AF118" s="214"/>
      <c r="AG118" s="657"/>
      <c r="AH118" s="214"/>
      <c r="AI118" s="214"/>
      <c r="AJ118" s="214"/>
      <c r="AK118" s="214"/>
      <c r="AL118" s="214"/>
      <c r="AM118" s="214"/>
      <c r="AN118" s="214"/>
      <c r="AO118" s="214"/>
      <c r="AP118" s="214"/>
      <c r="AQ118" s="214"/>
      <c r="AR118" s="214"/>
      <c r="AS118" s="214"/>
      <c r="AT118" s="214"/>
      <c r="AU118" s="214"/>
      <c r="AV118" s="214"/>
      <c r="AW118" s="214"/>
      <c r="AX118" s="214"/>
      <c r="AY118" s="214"/>
      <c r="AZ118" s="628"/>
      <c r="BA118" s="214"/>
      <c r="BB118" s="214"/>
      <c r="BC118" s="214"/>
      <c r="BD118" s="214"/>
      <c r="BE118" s="214"/>
      <c r="BF118" s="214"/>
      <c r="BG118" s="657"/>
      <c r="BH118" s="214"/>
      <c r="BJ118" s="214"/>
      <c r="BK118" s="214"/>
      <c r="BL118" s="214"/>
      <c r="BM118" s="214"/>
      <c r="BN118" s="214"/>
      <c r="BO118" s="214"/>
      <c r="BP118" s="214"/>
      <c r="BQ118" s="214"/>
      <c r="BR118" s="214"/>
      <c r="BS118" s="214"/>
    </row>
    <row r="119" spans="1:71" s="630" customFormat="1" x14ac:dyDescent="0.25">
      <c r="A119" s="214"/>
      <c r="B119" s="214"/>
      <c r="C119" s="214"/>
      <c r="D119" s="214"/>
      <c r="E119" s="214"/>
      <c r="F119" s="214"/>
      <c r="G119" s="214"/>
      <c r="H119" s="214"/>
      <c r="I119" s="214"/>
      <c r="J119" s="214"/>
      <c r="K119" s="214"/>
      <c r="L119" s="214"/>
      <c r="M119" s="214"/>
      <c r="N119" s="214"/>
      <c r="O119" s="214"/>
      <c r="P119" s="214"/>
      <c r="Q119" s="657"/>
      <c r="R119" s="214"/>
      <c r="S119" s="214"/>
      <c r="T119" s="214"/>
      <c r="U119" s="214"/>
      <c r="V119" s="214"/>
      <c r="W119" s="214"/>
      <c r="X119" s="214"/>
      <c r="Y119" s="214"/>
      <c r="Z119" s="214"/>
      <c r="AA119" s="214"/>
      <c r="AB119" s="214"/>
      <c r="AC119" s="214"/>
      <c r="AD119" s="214"/>
      <c r="AE119" s="214"/>
      <c r="AF119" s="214"/>
      <c r="AG119" s="657"/>
      <c r="AH119" s="214"/>
      <c r="AI119" s="214"/>
      <c r="AJ119" s="214"/>
      <c r="AK119" s="214"/>
      <c r="AL119" s="214"/>
      <c r="AM119" s="214"/>
      <c r="AN119" s="214"/>
      <c r="AO119" s="214"/>
      <c r="AP119" s="214"/>
      <c r="AQ119" s="214"/>
      <c r="AR119" s="214"/>
      <c r="AS119" s="214"/>
      <c r="AT119" s="214"/>
      <c r="AU119" s="214"/>
      <c r="AV119" s="214"/>
      <c r="AW119" s="214"/>
      <c r="AX119" s="214"/>
      <c r="AY119" s="214"/>
      <c r="AZ119" s="628"/>
      <c r="BA119" s="214"/>
      <c r="BB119" s="214"/>
      <c r="BC119" s="214"/>
      <c r="BD119" s="214"/>
      <c r="BE119" s="214"/>
      <c r="BF119" s="214"/>
      <c r="BG119" s="657"/>
      <c r="BH119" s="214"/>
      <c r="BJ119" s="214"/>
      <c r="BK119" s="214"/>
      <c r="BL119" s="214"/>
      <c r="BM119" s="214"/>
      <c r="BN119" s="214"/>
      <c r="BO119" s="214"/>
      <c r="BP119" s="214"/>
      <c r="BQ119" s="214"/>
      <c r="BR119" s="214"/>
      <c r="BS119" s="214"/>
    </row>
    <row r="120" spans="1:71" s="630" customFormat="1" x14ac:dyDescent="0.25">
      <c r="A120" s="214"/>
      <c r="B120" s="214"/>
      <c r="C120" s="214"/>
      <c r="D120" s="214"/>
      <c r="E120" s="214"/>
      <c r="F120" s="214"/>
      <c r="G120" s="214"/>
      <c r="H120" s="214"/>
      <c r="I120" s="214"/>
      <c r="J120" s="214"/>
      <c r="K120" s="214"/>
      <c r="L120" s="214"/>
      <c r="M120" s="214"/>
      <c r="N120" s="214"/>
      <c r="O120" s="214"/>
      <c r="P120" s="214"/>
      <c r="Q120" s="657"/>
      <c r="R120" s="214"/>
      <c r="S120" s="214"/>
      <c r="T120" s="214"/>
      <c r="U120" s="214"/>
      <c r="V120" s="214"/>
      <c r="W120" s="214"/>
      <c r="X120" s="214"/>
      <c r="Y120" s="214"/>
      <c r="Z120" s="214"/>
      <c r="AA120" s="214"/>
      <c r="AB120" s="214"/>
      <c r="AC120" s="214"/>
      <c r="AD120" s="214"/>
      <c r="AE120" s="214"/>
      <c r="AF120" s="214"/>
      <c r="AG120" s="657"/>
      <c r="AH120" s="214"/>
      <c r="AI120" s="214"/>
      <c r="AJ120" s="214"/>
      <c r="AK120" s="214"/>
      <c r="AL120" s="214"/>
      <c r="AM120" s="214"/>
      <c r="AN120" s="214"/>
      <c r="AO120" s="214"/>
      <c r="AP120" s="214"/>
      <c r="AQ120" s="214"/>
      <c r="AR120" s="214"/>
      <c r="AS120" s="214"/>
      <c r="AT120" s="214"/>
      <c r="AU120" s="214"/>
      <c r="AV120" s="214"/>
      <c r="AW120" s="214"/>
      <c r="AX120" s="214"/>
      <c r="AY120" s="214"/>
      <c r="AZ120" s="628"/>
      <c r="BA120" s="214"/>
      <c r="BB120" s="214"/>
      <c r="BC120" s="214"/>
      <c r="BD120" s="214"/>
      <c r="BE120" s="214"/>
      <c r="BF120" s="214"/>
      <c r="BG120" s="657"/>
      <c r="BH120" s="214"/>
      <c r="BJ120" s="214"/>
      <c r="BK120" s="214"/>
      <c r="BL120" s="214"/>
      <c r="BM120" s="214"/>
      <c r="BN120" s="214"/>
      <c r="BO120" s="214"/>
      <c r="BP120" s="214"/>
      <c r="BQ120" s="214"/>
      <c r="BR120" s="214"/>
      <c r="BS120" s="214"/>
    </row>
    <row r="121" spans="1:71" s="630" customFormat="1" x14ac:dyDescent="0.25">
      <c r="A121" s="214"/>
      <c r="B121" s="214"/>
      <c r="C121" s="214"/>
      <c r="D121" s="214"/>
      <c r="E121" s="214"/>
      <c r="F121" s="214"/>
      <c r="G121" s="214"/>
      <c r="H121" s="214"/>
      <c r="I121" s="214"/>
      <c r="J121" s="214"/>
      <c r="K121" s="214"/>
      <c r="L121" s="214"/>
      <c r="M121" s="214"/>
      <c r="N121" s="214"/>
      <c r="O121" s="214"/>
      <c r="P121" s="214"/>
      <c r="Q121" s="657"/>
      <c r="R121" s="214"/>
      <c r="S121" s="214"/>
      <c r="T121" s="214"/>
      <c r="U121" s="214"/>
      <c r="V121" s="214"/>
      <c r="W121" s="214"/>
      <c r="X121" s="214"/>
      <c r="Y121" s="214"/>
      <c r="Z121" s="214"/>
      <c r="AA121" s="214"/>
      <c r="AB121" s="214"/>
      <c r="AC121" s="214"/>
      <c r="AD121" s="214"/>
      <c r="AE121" s="214"/>
      <c r="AF121" s="214"/>
      <c r="AG121" s="657"/>
      <c r="AH121" s="214"/>
      <c r="AI121" s="214"/>
      <c r="AJ121" s="214"/>
      <c r="AK121" s="214"/>
      <c r="AL121" s="214"/>
      <c r="AM121" s="214"/>
      <c r="AN121" s="214"/>
      <c r="AO121" s="214"/>
      <c r="AP121" s="214"/>
      <c r="AQ121" s="214"/>
      <c r="AR121" s="214"/>
      <c r="AS121" s="214"/>
      <c r="AT121" s="214"/>
      <c r="AU121" s="214"/>
      <c r="AV121" s="214"/>
      <c r="AW121" s="214"/>
      <c r="AX121" s="214"/>
      <c r="AY121" s="214"/>
      <c r="AZ121" s="628"/>
      <c r="BA121" s="214"/>
      <c r="BB121" s="214"/>
      <c r="BC121" s="214"/>
      <c r="BD121" s="214"/>
      <c r="BE121" s="214"/>
      <c r="BF121" s="214"/>
      <c r="BG121" s="657"/>
      <c r="BH121" s="214"/>
      <c r="BJ121" s="214"/>
      <c r="BK121" s="214"/>
      <c r="BL121" s="214"/>
      <c r="BM121" s="214"/>
      <c r="BN121" s="214"/>
      <c r="BO121" s="214"/>
      <c r="BP121" s="214"/>
      <c r="BQ121" s="214"/>
      <c r="BR121" s="214"/>
      <c r="BS121" s="214"/>
    </row>
    <row r="122" spans="1:71" s="630" customFormat="1" x14ac:dyDescent="0.25">
      <c r="A122" s="214"/>
      <c r="B122" s="214"/>
      <c r="C122" s="214"/>
      <c r="D122" s="214"/>
      <c r="E122" s="214"/>
      <c r="F122" s="214"/>
      <c r="G122" s="214"/>
      <c r="H122" s="214"/>
      <c r="I122" s="214"/>
      <c r="J122" s="214"/>
      <c r="K122" s="214"/>
      <c r="L122" s="214"/>
      <c r="M122" s="214"/>
      <c r="N122" s="214"/>
      <c r="O122" s="214"/>
      <c r="P122" s="214"/>
      <c r="Q122" s="657"/>
      <c r="R122" s="214"/>
      <c r="S122" s="214"/>
      <c r="T122" s="214"/>
      <c r="U122" s="214"/>
      <c r="V122" s="214"/>
      <c r="W122" s="214"/>
      <c r="X122" s="214"/>
      <c r="Y122" s="214"/>
      <c r="Z122" s="214"/>
      <c r="AA122" s="214"/>
      <c r="AB122" s="214"/>
      <c r="AC122" s="214"/>
      <c r="AD122" s="214"/>
      <c r="AE122" s="214"/>
      <c r="AF122" s="214"/>
      <c r="AG122" s="657"/>
      <c r="AH122" s="214"/>
      <c r="AI122" s="214"/>
      <c r="AJ122" s="214"/>
      <c r="AK122" s="214"/>
      <c r="AL122" s="214"/>
      <c r="AM122" s="214"/>
      <c r="AN122" s="214"/>
      <c r="AO122" s="214"/>
      <c r="AP122" s="214"/>
      <c r="AQ122" s="214"/>
      <c r="AR122" s="214"/>
      <c r="AS122" s="214"/>
      <c r="AT122" s="214"/>
      <c r="AU122" s="214"/>
      <c r="AV122" s="214"/>
      <c r="AW122" s="214"/>
      <c r="AX122" s="214"/>
      <c r="AY122" s="214"/>
      <c r="AZ122" s="628"/>
      <c r="BA122" s="214"/>
      <c r="BB122" s="214"/>
      <c r="BC122" s="214"/>
      <c r="BD122" s="214"/>
      <c r="BE122" s="214"/>
      <c r="BF122" s="214"/>
      <c r="BG122" s="657"/>
      <c r="BH122" s="214"/>
      <c r="BJ122" s="214"/>
      <c r="BK122" s="214"/>
      <c r="BL122" s="214"/>
      <c r="BM122" s="214"/>
      <c r="BN122" s="214"/>
      <c r="BO122" s="214"/>
      <c r="BP122" s="214"/>
      <c r="BQ122" s="214"/>
      <c r="BR122" s="214"/>
      <c r="BS122" s="214"/>
    </row>
    <row r="123" spans="1:71" s="630" customFormat="1" x14ac:dyDescent="0.25">
      <c r="A123" s="214"/>
      <c r="B123" s="214"/>
      <c r="C123" s="214"/>
      <c r="D123" s="214"/>
      <c r="E123" s="214"/>
      <c r="F123" s="214"/>
      <c r="G123" s="214"/>
      <c r="H123" s="214"/>
      <c r="I123" s="214"/>
      <c r="J123" s="214"/>
      <c r="K123" s="214"/>
      <c r="L123" s="214"/>
      <c r="M123" s="214"/>
      <c r="N123" s="214"/>
      <c r="O123" s="214"/>
      <c r="P123" s="214"/>
      <c r="Q123" s="657"/>
      <c r="R123" s="214"/>
      <c r="S123" s="214"/>
      <c r="T123" s="214"/>
      <c r="U123" s="214"/>
      <c r="V123" s="214"/>
      <c r="W123" s="214"/>
      <c r="X123" s="214"/>
      <c r="Y123" s="214"/>
      <c r="Z123" s="214"/>
      <c r="AA123" s="214"/>
      <c r="AB123" s="214"/>
      <c r="AC123" s="214"/>
      <c r="AD123" s="214"/>
      <c r="AE123" s="214"/>
      <c r="AF123" s="214"/>
      <c r="AG123" s="657"/>
      <c r="AH123" s="214"/>
      <c r="AI123" s="214"/>
      <c r="AJ123" s="214"/>
      <c r="AK123" s="214"/>
      <c r="AL123" s="214"/>
      <c r="AM123" s="214"/>
      <c r="AN123" s="214"/>
      <c r="AO123" s="214"/>
      <c r="AP123" s="214"/>
      <c r="AQ123" s="214"/>
      <c r="AR123" s="214"/>
      <c r="AS123" s="214"/>
      <c r="AT123" s="214"/>
      <c r="AU123" s="214"/>
      <c r="AV123" s="214"/>
      <c r="AW123" s="214"/>
      <c r="AX123" s="214"/>
      <c r="AY123" s="214"/>
      <c r="AZ123" s="628"/>
      <c r="BA123" s="214"/>
      <c r="BB123" s="214"/>
      <c r="BC123" s="214"/>
      <c r="BD123" s="214"/>
      <c r="BE123" s="214"/>
      <c r="BF123" s="214"/>
      <c r="BG123" s="657"/>
      <c r="BH123" s="214"/>
      <c r="BJ123" s="214"/>
      <c r="BK123" s="214"/>
      <c r="BL123" s="214"/>
      <c r="BM123" s="214"/>
      <c r="BN123" s="214"/>
      <c r="BO123" s="214"/>
      <c r="BP123" s="214"/>
      <c r="BQ123" s="214"/>
      <c r="BR123" s="214"/>
      <c r="BS123" s="214"/>
    </row>
    <row r="124" spans="1:71" s="630" customFormat="1" x14ac:dyDescent="0.25">
      <c r="A124" s="214"/>
      <c r="B124" s="214"/>
      <c r="C124" s="214"/>
      <c r="D124" s="214"/>
      <c r="E124" s="214"/>
      <c r="F124" s="214"/>
      <c r="G124" s="214"/>
      <c r="H124" s="214"/>
      <c r="I124" s="214"/>
      <c r="J124" s="214"/>
      <c r="K124" s="214"/>
      <c r="L124" s="214"/>
      <c r="M124" s="214"/>
      <c r="N124" s="214"/>
      <c r="O124" s="214"/>
      <c r="P124" s="214"/>
      <c r="Q124" s="657"/>
      <c r="R124" s="214"/>
      <c r="S124" s="214"/>
      <c r="T124" s="214"/>
      <c r="U124" s="214"/>
      <c r="V124" s="214"/>
      <c r="W124" s="214"/>
      <c r="X124" s="214"/>
      <c r="Y124" s="214"/>
      <c r="Z124" s="214"/>
      <c r="AA124" s="214"/>
      <c r="AB124" s="214"/>
      <c r="AC124" s="214"/>
      <c r="AD124" s="214"/>
      <c r="AE124" s="214"/>
      <c r="AF124" s="214"/>
      <c r="AG124" s="657"/>
      <c r="AH124" s="214"/>
      <c r="AI124" s="214"/>
      <c r="AJ124" s="214"/>
      <c r="AK124" s="214"/>
      <c r="AL124" s="214"/>
      <c r="AM124" s="214"/>
      <c r="AN124" s="214"/>
      <c r="AO124" s="214"/>
      <c r="AP124" s="214"/>
      <c r="AQ124" s="214"/>
      <c r="AR124" s="214"/>
      <c r="AS124" s="214"/>
      <c r="AT124" s="214"/>
      <c r="AU124" s="214"/>
      <c r="AV124" s="214"/>
      <c r="AW124" s="214"/>
      <c r="AX124" s="214"/>
      <c r="AY124" s="214"/>
      <c r="AZ124" s="628"/>
      <c r="BA124" s="214"/>
      <c r="BB124" s="214"/>
      <c r="BC124" s="214"/>
      <c r="BD124" s="214"/>
      <c r="BE124" s="214"/>
      <c r="BF124" s="214"/>
      <c r="BG124" s="657"/>
      <c r="BH124" s="214"/>
      <c r="BJ124" s="214"/>
      <c r="BK124" s="214"/>
      <c r="BL124" s="214"/>
      <c r="BM124" s="214"/>
      <c r="BN124" s="214"/>
      <c r="BO124" s="214"/>
      <c r="BP124" s="214"/>
      <c r="BQ124" s="214"/>
      <c r="BR124" s="214"/>
      <c r="BS124" s="214"/>
    </row>
    <row r="125" spans="1:71" s="630" customFormat="1" x14ac:dyDescent="0.25">
      <c r="A125" s="214"/>
      <c r="B125" s="214"/>
      <c r="C125" s="214"/>
      <c r="D125" s="214"/>
      <c r="E125" s="214"/>
      <c r="F125" s="214"/>
      <c r="G125" s="214"/>
      <c r="H125" s="214"/>
      <c r="I125" s="214"/>
      <c r="J125" s="214"/>
      <c r="K125" s="214"/>
      <c r="L125" s="214"/>
      <c r="M125" s="214"/>
      <c r="N125" s="214"/>
      <c r="O125" s="214"/>
      <c r="P125" s="214"/>
      <c r="Q125" s="657"/>
      <c r="R125" s="214"/>
      <c r="S125" s="214"/>
      <c r="T125" s="214"/>
      <c r="U125" s="214"/>
      <c r="V125" s="214"/>
      <c r="W125" s="214"/>
      <c r="X125" s="214"/>
      <c r="Y125" s="214"/>
      <c r="Z125" s="214"/>
      <c r="AA125" s="214"/>
      <c r="AB125" s="214"/>
      <c r="AC125" s="214"/>
      <c r="AD125" s="214"/>
      <c r="AE125" s="214"/>
      <c r="AF125" s="214"/>
      <c r="AG125" s="657"/>
      <c r="AH125" s="214"/>
      <c r="AI125" s="214"/>
      <c r="AJ125" s="214"/>
      <c r="AK125" s="214"/>
      <c r="AL125" s="214"/>
      <c r="AM125" s="214"/>
      <c r="AN125" s="214"/>
      <c r="AO125" s="214"/>
      <c r="AP125" s="214"/>
      <c r="AQ125" s="214"/>
      <c r="AR125" s="214"/>
      <c r="AS125" s="214"/>
      <c r="AT125" s="214"/>
      <c r="AU125" s="214"/>
      <c r="AV125" s="214"/>
      <c r="AW125" s="214"/>
      <c r="AX125" s="214"/>
      <c r="AY125" s="214"/>
      <c r="AZ125" s="628"/>
      <c r="BA125" s="214"/>
      <c r="BB125" s="214"/>
      <c r="BC125" s="214"/>
      <c r="BD125" s="214"/>
      <c r="BE125" s="214"/>
      <c r="BF125" s="214"/>
      <c r="BG125" s="657"/>
      <c r="BH125" s="214"/>
      <c r="BJ125" s="214"/>
      <c r="BK125" s="214"/>
      <c r="BL125" s="214"/>
      <c r="BM125" s="214"/>
      <c r="BN125" s="214"/>
      <c r="BO125" s="214"/>
      <c r="BP125" s="214"/>
      <c r="BQ125" s="214"/>
      <c r="BR125" s="214"/>
      <c r="BS125" s="214"/>
    </row>
    <row r="126" spans="1:71" s="630" customFormat="1" x14ac:dyDescent="0.25">
      <c r="A126" s="214"/>
      <c r="B126" s="214"/>
      <c r="C126" s="214"/>
      <c r="D126" s="214"/>
      <c r="E126" s="214"/>
      <c r="F126" s="214"/>
      <c r="G126" s="214"/>
      <c r="H126" s="214"/>
      <c r="I126" s="214"/>
      <c r="J126" s="214"/>
      <c r="K126" s="214"/>
      <c r="L126" s="214"/>
      <c r="M126" s="214"/>
      <c r="N126" s="214"/>
      <c r="O126" s="214"/>
      <c r="P126" s="214"/>
      <c r="Q126" s="657"/>
      <c r="R126" s="214"/>
      <c r="S126" s="214"/>
      <c r="T126" s="214"/>
      <c r="U126" s="214"/>
      <c r="V126" s="214"/>
      <c r="W126" s="214"/>
      <c r="X126" s="214"/>
      <c r="Y126" s="214"/>
      <c r="Z126" s="214"/>
      <c r="AA126" s="214"/>
      <c r="AB126" s="214"/>
      <c r="AC126" s="214"/>
      <c r="AD126" s="214"/>
      <c r="AE126" s="214"/>
      <c r="AF126" s="214"/>
      <c r="AG126" s="657"/>
      <c r="AH126" s="214"/>
      <c r="AI126" s="214"/>
      <c r="AJ126" s="214"/>
      <c r="AK126" s="214"/>
      <c r="AL126" s="214"/>
      <c r="AM126" s="214"/>
      <c r="AN126" s="214"/>
      <c r="AO126" s="214"/>
      <c r="AP126" s="214"/>
      <c r="AQ126" s="214"/>
      <c r="AR126" s="214"/>
      <c r="AS126" s="214"/>
      <c r="AT126" s="214"/>
      <c r="AU126" s="214"/>
      <c r="AV126" s="214"/>
      <c r="AW126" s="214"/>
      <c r="AX126" s="214"/>
      <c r="AY126" s="214"/>
      <c r="AZ126" s="628"/>
      <c r="BA126" s="214"/>
      <c r="BB126" s="214"/>
      <c r="BC126" s="214"/>
      <c r="BD126" s="214"/>
      <c r="BE126" s="214"/>
      <c r="BF126" s="214"/>
      <c r="BG126" s="657"/>
      <c r="BH126" s="214"/>
      <c r="BJ126" s="214"/>
      <c r="BK126" s="214"/>
      <c r="BL126" s="214"/>
      <c r="BM126" s="214"/>
      <c r="BN126" s="214"/>
      <c r="BO126" s="214"/>
      <c r="BP126" s="214"/>
      <c r="BQ126" s="214"/>
      <c r="BR126" s="214"/>
      <c r="BS126" s="214"/>
    </row>
    <row r="127" spans="1:71" s="630" customFormat="1" x14ac:dyDescent="0.25">
      <c r="A127" s="214"/>
      <c r="B127" s="214"/>
      <c r="C127" s="214"/>
      <c r="D127" s="214"/>
      <c r="E127" s="214"/>
      <c r="F127" s="214"/>
      <c r="G127" s="214"/>
      <c r="H127" s="214"/>
      <c r="I127" s="214"/>
      <c r="J127" s="214"/>
      <c r="K127" s="214"/>
      <c r="L127" s="214"/>
      <c r="M127" s="214"/>
      <c r="N127" s="214"/>
      <c r="O127" s="214"/>
      <c r="P127" s="214"/>
      <c r="Q127" s="657"/>
      <c r="R127" s="214"/>
      <c r="S127" s="214"/>
      <c r="T127" s="214"/>
      <c r="U127" s="214"/>
      <c r="V127" s="214"/>
      <c r="W127" s="214"/>
      <c r="X127" s="214"/>
      <c r="Y127" s="214"/>
      <c r="Z127" s="214"/>
      <c r="AA127" s="214"/>
      <c r="AB127" s="214"/>
      <c r="AC127" s="214"/>
      <c r="AD127" s="214"/>
      <c r="AE127" s="214"/>
      <c r="AF127" s="214"/>
      <c r="AG127" s="657"/>
      <c r="AH127" s="214"/>
      <c r="AI127" s="214"/>
      <c r="AJ127" s="214"/>
      <c r="AK127" s="214"/>
      <c r="AL127" s="214"/>
      <c r="AM127" s="214"/>
      <c r="AN127" s="214"/>
      <c r="AO127" s="214"/>
      <c r="AP127" s="214"/>
      <c r="AQ127" s="214"/>
      <c r="AR127" s="214"/>
      <c r="AS127" s="214"/>
      <c r="AT127" s="214"/>
      <c r="AU127" s="214"/>
      <c r="AV127" s="214"/>
      <c r="AW127" s="214"/>
      <c r="AX127" s="214"/>
      <c r="AY127" s="214"/>
      <c r="AZ127" s="628"/>
      <c r="BA127" s="214"/>
      <c r="BB127" s="214"/>
      <c r="BC127" s="214"/>
      <c r="BD127" s="214"/>
      <c r="BE127" s="214"/>
      <c r="BF127" s="214"/>
      <c r="BG127" s="657"/>
      <c r="BH127" s="214"/>
      <c r="BJ127" s="214"/>
      <c r="BK127" s="214"/>
      <c r="BL127" s="214"/>
      <c r="BM127" s="214"/>
      <c r="BN127" s="214"/>
      <c r="BO127" s="214"/>
      <c r="BP127" s="214"/>
      <c r="BQ127" s="214"/>
      <c r="BR127" s="214"/>
      <c r="BS127" s="214"/>
    </row>
    <row r="128" spans="1:71" s="630" customFormat="1" x14ac:dyDescent="0.25">
      <c r="A128" s="214"/>
      <c r="B128" s="214"/>
      <c r="C128" s="214"/>
      <c r="D128" s="214"/>
      <c r="E128" s="214"/>
      <c r="F128" s="214"/>
      <c r="G128" s="214"/>
      <c r="H128" s="214"/>
      <c r="I128" s="214"/>
      <c r="J128" s="214"/>
      <c r="K128" s="214"/>
      <c r="L128" s="214"/>
      <c r="M128" s="214"/>
      <c r="N128" s="214"/>
      <c r="O128" s="214"/>
      <c r="P128" s="214"/>
      <c r="Q128" s="657"/>
      <c r="R128" s="214"/>
      <c r="S128" s="214"/>
      <c r="T128" s="214"/>
      <c r="U128" s="214"/>
      <c r="V128" s="214"/>
      <c r="W128" s="214"/>
      <c r="X128" s="214"/>
      <c r="Y128" s="214"/>
      <c r="Z128" s="214"/>
      <c r="AA128" s="214"/>
      <c r="AB128" s="214"/>
      <c r="AC128" s="214"/>
      <c r="AD128" s="214"/>
      <c r="AE128" s="214"/>
      <c r="AF128" s="214"/>
      <c r="AG128" s="657"/>
      <c r="AH128" s="214"/>
      <c r="AI128" s="214"/>
      <c r="AJ128" s="214"/>
      <c r="AK128" s="214"/>
      <c r="AL128" s="214"/>
      <c r="AM128" s="214"/>
      <c r="AN128" s="214"/>
      <c r="AO128" s="214"/>
      <c r="AP128" s="214"/>
      <c r="AQ128" s="214"/>
      <c r="AR128" s="214"/>
      <c r="AS128" s="214"/>
      <c r="AT128" s="214"/>
      <c r="AU128" s="214"/>
      <c r="AV128" s="214"/>
      <c r="AW128" s="214"/>
      <c r="AX128" s="214"/>
      <c r="AY128" s="214"/>
      <c r="AZ128" s="628"/>
      <c r="BA128" s="214"/>
      <c r="BB128" s="214"/>
      <c r="BC128" s="214"/>
      <c r="BD128" s="214"/>
      <c r="BE128" s="214"/>
      <c r="BF128" s="214"/>
      <c r="BG128" s="657"/>
      <c r="BH128" s="214"/>
      <c r="BJ128" s="214"/>
      <c r="BK128" s="214"/>
      <c r="BL128" s="214"/>
      <c r="BM128" s="214"/>
      <c r="BN128" s="214"/>
      <c r="BO128" s="214"/>
      <c r="BP128" s="214"/>
      <c r="BQ128" s="214"/>
      <c r="BR128" s="214"/>
      <c r="BS128" s="214"/>
    </row>
    <row r="129" spans="1:71" s="630" customFormat="1" x14ac:dyDescent="0.25">
      <c r="A129" s="214"/>
      <c r="B129" s="214"/>
      <c r="C129" s="214"/>
      <c r="D129" s="214"/>
      <c r="E129" s="214"/>
      <c r="F129" s="214"/>
      <c r="G129" s="214"/>
      <c r="H129" s="214"/>
      <c r="I129" s="214"/>
      <c r="J129" s="214"/>
      <c r="K129" s="214"/>
      <c r="L129" s="214"/>
      <c r="M129" s="214"/>
      <c r="N129" s="214"/>
      <c r="O129" s="214"/>
      <c r="P129" s="214"/>
      <c r="Q129" s="657"/>
      <c r="R129" s="214"/>
      <c r="S129" s="214"/>
      <c r="T129" s="214"/>
      <c r="U129" s="214"/>
      <c r="V129" s="214"/>
      <c r="W129" s="214"/>
      <c r="X129" s="214"/>
      <c r="Y129" s="214"/>
      <c r="Z129" s="214"/>
      <c r="AA129" s="214"/>
      <c r="AB129" s="214"/>
      <c r="AC129" s="214"/>
      <c r="AD129" s="214"/>
      <c r="AE129" s="214"/>
      <c r="AF129" s="214"/>
      <c r="AG129" s="657"/>
      <c r="AH129" s="214"/>
      <c r="AI129" s="214"/>
      <c r="AJ129" s="214"/>
      <c r="AK129" s="214"/>
      <c r="AL129" s="214"/>
      <c r="AM129" s="214"/>
      <c r="AN129" s="214"/>
      <c r="AO129" s="214"/>
      <c r="AP129" s="214"/>
      <c r="AQ129" s="214"/>
      <c r="AR129" s="214"/>
      <c r="AS129" s="214"/>
      <c r="AT129" s="214"/>
      <c r="AU129" s="214"/>
      <c r="AV129" s="214"/>
      <c r="AW129" s="214"/>
      <c r="AX129" s="214"/>
      <c r="AY129" s="214"/>
      <c r="AZ129" s="628"/>
      <c r="BA129" s="214"/>
      <c r="BB129" s="214"/>
      <c r="BC129" s="214"/>
      <c r="BD129" s="214"/>
      <c r="BE129" s="214"/>
      <c r="BF129" s="214"/>
      <c r="BG129" s="657"/>
      <c r="BH129" s="214"/>
      <c r="BJ129" s="214"/>
      <c r="BK129" s="214"/>
      <c r="BL129" s="214"/>
      <c r="BM129" s="214"/>
      <c r="BN129" s="214"/>
      <c r="BO129" s="214"/>
      <c r="BP129" s="214"/>
      <c r="BQ129" s="214"/>
      <c r="BR129" s="214"/>
      <c r="BS129" s="214"/>
    </row>
    <row r="130" spans="1:71" s="630" customFormat="1" x14ac:dyDescent="0.25">
      <c r="A130" s="214"/>
      <c r="B130" s="214"/>
      <c r="C130" s="214"/>
      <c r="D130" s="214"/>
      <c r="E130" s="214"/>
      <c r="F130" s="214"/>
      <c r="G130" s="214"/>
      <c r="H130" s="214"/>
      <c r="I130" s="214"/>
      <c r="J130" s="214"/>
      <c r="K130" s="214"/>
      <c r="L130" s="214"/>
      <c r="M130" s="214"/>
      <c r="N130" s="214"/>
      <c r="O130" s="214"/>
      <c r="P130" s="214"/>
      <c r="Q130" s="657"/>
      <c r="R130" s="214"/>
      <c r="S130" s="214"/>
      <c r="T130" s="214"/>
      <c r="U130" s="214"/>
      <c r="V130" s="214"/>
      <c r="W130" s="214"/>
      <c r="X130" s="214"/>
      <c r="Y130" s="214"/>
      <c r="Z130" s="214"/>
      <c r="AA130" s="214"/>
      <c r="AB130" s="214"/>
      <c r="AC130" s="214"/>
      <c r="AD130" s="214"/>
      <c r="AE130" s="214"/>
      <c r="AF130" s="214"/>
      <c r="AG130" s="657"/>
      <c r="AH130" s="214"/>
      <c r="AI130" s="214"/>
      <c r="AJ130" s="214"/>
      <c r="AK130" s="214"/>
      <c r="AL130" s="214"/>
      <c r="AM130" s="214"/>
      <c r="AN130" s="214"/>
      <c r="AO130" s="214"/>
      <c r="AP130" s="214"/>
      <c r="AQ130" s="214"/>
      <c r="AR130" s="214"/>
      <c r="AS130" s="214"/>
      <c r="AT130" s="214"/>
      <c r="AU130" s="214"/>
      <c r="AV130" s="214"/>
      <c r="AW130" s="214"/>
      <c r="AX130" s="214"/>
      <c r="AY130" s="214"/>
      <c r="AZ130" s="628"/>
      <c r="BA130" s="214"/>
      <c r="BB130" s="214"/>
      <c r="BC130" s="214"/>
      <c r="BD130" s="214"/>
      <c r="BE130" s="214"/>
      <c r="BF130" s="214"/>
      <c r="BG130" s="657"/>
      <c r="BH130" s="214"/>
      <c r="BJ130" s="214"/>
      <c r="BK130" s="214"/>
      <c r="BL130" s="214"/>
      <c r="BM130" s="214"/>
      <c r="BN130" s="214"/>
      <c r="BO130" s="214"/>
      <c r="BP130" s="214"/>
      <c r="BQ130" s="214"/>
      <c r="BR130" s="214"/>
      <c r="BS130" s="214"/>
    </row>
    <row r="131" spans="1:71" s="630" customFormat="1" x14ac:dyDescent="0.25">
      <c r="A131" s="214"/>
      <c r="B131" s="214"/>
      <c r="C131" s="214"/>
      <c r="D131" s="214"/>
      <c r="E131" s="214"/>
      <c r="F131" s="214"/>
      <c r="G131" s="214"/>
      <c r="H131" s="214"/>
      <c r="I131" s="214"/>
      <c r="J131" s="214"/>
      <c r="K131" s="214"/>
      <c r="L131" s="214"/>
      <c r="M131" s="214"/>
      <c r="N131" s="214"/>
      <c r="O131" s="214"/>
      <c r="P131" s="214"/>
      <c r="Q131" s="657"/>
      <c r="R131" s="214"/>
      <c r="S131" s="214"/>
      <c r="T131" s="214"/>
      <c r="U131" s="214"/>
      <c r="V131" s="214"/>
      <c r="W131" s="214"/>
      <c r="X131" s="214"/>
      <c r="Y131" s="214"/>
      <c r="Z131" s="214"/>
      <c r="AA131" s="214"/>
      <c r="AB131" s="214"/>
      <c r="AC131" s="214"/>
      <c r="AD131" s="214"/>
      <c r="AE131" s="214"/>
      <c r="AF131" s="214"/>
      <c r="AG131" s="657"/>
      <c r="AH131" s="214"/>
      <c r="AI131" s="214"/>
      <c r="AJ131" s="214"/>
      <c r="AK131" s="214"/>
      <c r="AL131" s="214"/>
      <c r="AM131" s="214"/>
      <c r="AN131" s="214"/>
      <c r="AO131" s="214"/>
      <c r="AP131" s="214"/>
      <c r="AQ131" s="214"/>
      <c r="AR131" s="214"/>
      <c r="AS131" s="214"/>
      <c r="AT131" s="214"/>
      <c r="AU131" s="214"/>
      <c r="AV131" s="214"/>
      <c r="AW131" s="214"/>
      <c r="AX131" s="214"/>
      <c r="AY131" s="214"/>
      <c r="AZ131" s="628"/>
      <c r="BA131" s="214"/>
      <c r="BB131" s="214"/>
      <c r="BC131" s="214"/>
      <c r="BD131" s="214"/>
      <c r="BE131" s="214"/>
      <c r="BF131" s="214"/>
      <c r="BG131" s="657"/>
      <c r="BH131" s="214"/>
      <c r="BJ131" s="214"/>
      <c r="BK131" s="214"/>
      <c r="BL131" s="214"/>
      <c r="BM131" s="214"/>
      <c r="BN131" s="214"/>
      <c r="BO131" s="214"/>
      <c r="BP131" s="214"/>
      <c r="BQ131" s="214"/>
      <c r="BR131" s="214"/>
      <c r="BS131" s="214"/>
    </row>
    <row r="132" spans="1:71" s="630" customFormat="1" x14ac:dyDescent="0.25">
      <c r="A132" s="214"/>
      <c r="B132" s="214"/>
      <c r="C132" s="214"/>
      <c r="D132" s="214"/>
      <c r="E132" s="214"/>
      <c r="F132" s="214"/>
      <c r="G132" s="214"/>
      <c r="H132" s="214"/>
      <c r="I132" s="214"/>
      <c r="J132" s="214"/>
      <c r="K132" s="214"/>
      <c r="L132" s="214"/>
      <c r="M132" s="214"/>
      <c r="N132" s="214"/>
      <c r="O132" s="214"/>
      <c r="P132" s="214"/>
      <c r="Q132" s="657"/>
      <c r="R132" s="214"/>
      <c r="S132" s="214"/>
      <c r="T132" s="214"/>
      <c r="U132" s="214"/>
      <c r="V132" s="214"/>
      <c r="W132" s="214"/>
      <c r="X132" s="214"/>
      <c r="Y132" s="214"/>
      <c r="Z132" s="214"/>
      <c r="AA132" s="214"/>
      <c r="AB132" s="214"/>
      <c r="AC132" s="214"/>
      <c r="AD132" s="214"/>
      <c r="AE132" s="214"/>
      <c r="AF132" s="214"/>
      <c r="AG132" s="657"/>
      <c r="AH132" s="214"/>
      <c r="AI132" s="214"/>
      <c r="AJ132" s="214"/>
      <c r="AK132" s="214"/>
      <c r="AL132" s="214"/>
      <c r="AM132" s="214"/>
      <c r="AN132" s="214"/>
      <c r="AO132" s="214"/>
      <c r="AP132" s="214"/>
      <c r="AQ132" s="214"/>
      <c r="AR132" s="214"/>
      <c r="AS132" s="214"/>
      <c r="AT132" s="214"/>
      <c r="AU132" s="214"/>
      <c r="AV132" s="214"/>
      <c r="AW132" s="214"/>
      <c r="AX132" s="214"/>
      <c r="AY132" s="214"/>
      <c r="AZ132" s="628"/>
      <c r="BA132" s="214"/>
      <c r="BB132" s="214"/>
      <c r="BC132" s="214"/>
      <c r="BD132" s="214"/>
      <c r="BE132" s="214"/>
      <c r="BF132" s="214"/>
      <c r="BG132" s="657"/>
      <c r="BH132" s="214"/>
      <c r="BJ132" s="214"/>
      <c r="BK132" s="214"/>
      <c r="BL132" s="214"/>
      <c r="BM132" s="214"/>
      <c r="BN132" s="214"/>
      <c r="BO132" s="214"/>
      <c r="BP132" s="214"/>
      <c r="BQ132" s="214"/>
      <c r="BR132" s="214"/>
      <c r="BS132" s="214"/>
    </row>
    <row r="133" spans="1:71" s="630" customFormat="1" x14ac:dyDescent="0.25">
      <c r="A133" s="214"/>
      <c r="B133" s="214"/>
      <c r="C133" s="214"/>
      <c r="D133" s="214"/>
      <c r="E133" s="214"/>
      <c r="F133" s="214"/>
      <c r="G133" s="214"/>
      <c r="H133" s="214"/>
      <c r="I133" s="214"/>
      <c r="J133" s="214"/>
      <c r="K133" s="214"/>
      <c r="L133" s="214"/>
      <c r="M133" s="214"/>
      <c r="N133" s="214"/>
      <c r="O133" s="214"/>
      <c r="P133" s="214"/>
      <c r="Q133" s="657"/>
      <c r="R133" s="214"/>
      <c r="S133" s="214"/>
      <c r="T133" s="214"/>
      <c r="U133" s="214"/>
      <c r="V133" s="214"/>
      <c r="W133" s="214"/>
      <c r="X133" s="214"/>
      <c r="Y133" s="214"/>
      <c r="Z133" s="214"/>
      <c r="AA133" s="214"/>
      <c r="AB133" s="214"/>
      <c r="AC133" s="214"/>
      <c r="AD133" s="214"/>
      <c r="AE133" s="214"/>
      <c r="AF133" s="214"/>
      <c r="AG133" s="657"/>
      <c r="AH133" s="214"/>
      <c r="AI133" s="214"/>
      <c r="AJ133" s="214"/>
      <c r="AK133" s="214"/>
      <c r="AL133" s="214"/>
      <c r="AM133" s="214"/>
      <c r="AN133" s="214"/>
      <c r="AO133" s="214"/>
      <c r="AP133" s="214"/>
      <c r="AQ133" s="214"/>
      <c r="AR133" s="214"/>
      <c r="AS133" s="214"/>
      <c r="AT133" s="214"/>
      <c r="AU133" s="214"/>
      <c r="AV133" s="214"/>
      <c r="AW133" s="214"/>
      <c r="AX133" s="214"/>
      <c r="AY133" s="214"/>
      <c r="AZ133" s="628"/>
      <c r="BA133" s="214"/>
      <c r="BB133" s="214"/>
      <c r="BC133" s="214"/>
      <c r="BD133" s="214"/>
      <c r="BE133" s="214"/>
      <c r="BF133" s="214"/>
      <c r="BG133" s="657"/>
      <c r="BH133" s="214"/>
      <c r="BJ133" s="214"/>
      <c r="BK133" s="214"/>
      <c r="BL133" s="214"/>
      <c r="BM133" s="214"/>
      <c r="BN133" s="214"/>
      <c r="BO133" s="214"/>
      <c r="BP133" s="214"/>
      <c r="BQ133" s="214"/>
      <c r="BR133" s="214"/>
      <c r="BS133" s="214"/>
    </row>
    <row r="134" spans="1:71" s="630" customFormat="1" x14ac:dyDescent="0.25">
      <c r="A134" s="214"/>
      <c r="B134" s="214"/>
      <c r="C134" s="214"/>
      <c r="D134" s="214"/>
      <c r="E134" s="214"/>
      <c r="F134" s="214"/>
      <c r="G134" s="214"/>
      <c r="H134" s="214"/>
      <c r="I134" s="214"/>
      <c r="J134" s="214"/>
      <c r="K134" s="214"/>
      <c r="L134" s="214"/>
      <c r="M134" s="214"/>
      <c r="N134" s="214"/>
      <c r="O134" s="214"/>
      <c r="P134" s="214"/>
      <c r="Q134" s="657"/>
      <c r="R134" s="214"/>
      <c r="S134" s="214"/>
      <c r="T134" s="214"/>
      <c r="U134" s="214"/>
      <c r="V134" s="214"/>
      <c r="W134" s="214"/>
      <c r="X134" s="214"/>
      <c r="Y134" s="214"/>
      <c r="Z134" s="214"/>
      <c r="AA134" s="214"/>
      <c r="AB134" s="214"/>
      <c r="AC134" s="214"/>
      <c r="AD134" s="214"/>
      <c r="AE134" s="214"/>
      <c r="AF134" s="214"/>
      <c r="AG134" s="657"/>
      <c r="AH134" s="214"/>
      <c r="AI134" s="214"/>
      <c r="AJ134" s="214"/>
      <c r="AK134" s="214"/>
      <c r="AL134" s="214"/>
      <c r="AM134" s="214"/>
      <c r="AN134" s="214"/>
      <c r="AO134" s="214"/>
      <c r="AP134" s="214"/>
      <c r="AQ134" s="214"/>
      <c r="AR134" s="214"/>
      <c r="AS134" s="214"/>
      <c r="AT134" s="214"/>
      <c r="AU134" s="214"/>
      <c r="AV134" s="214"/>
      <c r="AW134" s="214"/>
      <c r="AX134" s="214"/>
      <c r="AY134" s="214"/>
      <c r="AZ134" s="628"/>
      <c r="BA134" s="214"/>
      <c r="BB134" s="214"/>
      <c r="BC134" s="214"/>
      <c r="BD134" s="214"/>
      <c r="BE134" s="214"/>
      <c r="BF134" s="214"/>
      <c r="BG134" s="657"/>
      <c r="BH134" s="214"/>
      <c r="BJ134" s="214"/>
      <c r="BK134" s="214"/>
      <c r="BL134" s="214"/>
      <c r="BM134" s="214"/>
      <c r="BN134" s="214"/>
      <c r="BO134" s="214"/>
      <c r="BP134" s="214"/>
      <c r="BQ134" s="214"/>
      <c r="BR134" s="214"/>
      <c r="BS134" s="214"/>
    </row>
    <row r="135" spans="1:71" s="630" customFormat="1" x14ac:dyDescent="0.25">
      <c r="A135" s="214"/>
      <c r="B135" s="214"/>
      <c r="C135" s="214"/>
      <c r="D135" s="214"/>
      <c r="E135" s="214"/>
      <c r="F135" s="214"/>
      <c r="G135" s="214"/>
      <c r="H135" s="214"/>
      <c r="I135" s="214"/>
      <c r="J135" s="214"/>
      <c r="K135" s="214"/>
      <c r="L135" s="214"/>
      <c r="M135" s="214"/>
      <c r="N135" s="214"/>
      <c r="O135" s="214"/>
      <c r="P135" s="214"/>
      <c r="Q135" s="657"/>
      <c r="R135" s="214"/>
      <c r="S135" s="214"/>
      <c r="T135" s="214"/>
      <c r="U135" s="214"/>
      <c r="V135" s="214"/>
      <c r="W135" s="214"/>
      <c r="X135" s="214"/>
      <c r="Y135" s="214"/>
      <c r="Z135" s="214"/>
      <c r="AA135" s="214"/>
      <c r="AB135" s="214"/>
      <c r="AC135" s="214"/>
      <c r="AD135" s="214"/>
      <c r="AE135" s="214"/>
      <c r="AF135" s="214"/>
      <c r="AG135" s="657"/>
      <c r="AH135" s="214"/>
      <c r="AI135" s="214"/>
      <c r="AJ135" s="214"/>
      <c r="AK135" s="214"/>
      <c r="AL135" s="214"/>
      <c r="AM135" s="214"/>
      <c r="AN135" s="214"/>
      <c r="AO135" s="214"/>
      <c r="AP135" s="214"/>
      <c r="AQ135" s="214"/>
      <c r="AR135" s="214"/>
      <c r="AS135" s="214"/>
      <c r="AT135" s="214"/>
      <c r="AU135" s="214"/>
      <c r="AV135" s="214"/>
      <c r="AW135" s="214"/>
      <c r="AX135" s="214"/>
      <c r="AY135" s="214"/>
      <c r="AZ135" s="628"/>
      <c r="BA135" s="214"/>
      <c r="BB135" s="214"/>
      <c r="BC135" s="214"/>
      <c r="BD135" s="214"/>
      <c r="BE135" s="214"/>
      <c r="BF135" s="214"/>
      <c r="BG135" s="657"/>
      <c r="BH135" s="214"/>
      <c r="BJ135" s="214"/>
      <c r="BK135" s="214"/>
      <c r="BL135" s="214"/>
      <c r="BM135" s="214"/>
      <c r="BN135" s="214"/>
      <c r="BO135" s="214"/>
      <c r="BP135" s="214"/>
      <c r="BQ135" s="214"/>
      <c r="BR135" s="214"/>
      <c r="BS135" s="214"/>
    </row>
    <row r="136" spans="1:71" s="630" customFormat="1" x14ac:dyDescent="0.25">
      <c r="A136" s="214"/>
      <c r="B136" s="214"/>
      <c r="C136" s="214"/>
      <c r="D136" s="214"/>
      <c r="E136" s="214"/>
      <c r="F136" s="214"/>
      <c r="G136" s="214"/>
      <c r="H136" s="214"/>
      <c r="I136" s="214"/>
      <c r="J136" s="214"/>
      <c r="K136" s="214"/>
      <c r="L136" s="214"/>
      <c r="M136" s="214"/>
      <c r="N136" s="214"/>
      <c r="O136" s="214"/>
      <c r="P136" s="214"/>
      <c r="Q136" s="657"/>
      <c r="R136" s="214"/>
      <c r="S136" s="214"/>
      <c r="T136" s="214"/>
      <c r="U136" s="214"/>
      <c r="V136" s="214"/>
      <c r="W136" s="214"/>
      <c r="X136" s="214"/>
      <c r="Y136" s="214"/>
      <c r="Z136" s="214"/>
      <c r="AA136" s="214"/>
      <c r="AB136" s="214"/>
      <c r="AC136" s="214"/>
      <c r="AD136" s="214"/>
      <c r="AE136" s="214"/>
      <c r="AF136" s="214"/>
      <c r="AG136" s="657"/>
      <c r="AH136" s="214"/>
      <c r="AI136" s="214"/>
      <c r="AJ136" s="214"/>
      <c r="AK136" s="214"/>
      <c r="AL136" s="214"/>
      <c r="AM136" s="214"/>
      <c r="AN136" s="214"/>
      <c r="AO136" s="214"/>
      <c r="AP136" s="214"/>
      <c r="AQ136" s="214"/>
      <c r="AR136" s="214"/>
      <c r="AS136" s="214"/>
      <c r="AT136" s="214"/>
      <c r="AU136" s="214"/>
      <c r="AV136" s="214"/>
      <c r="AW136" s="214"/>
      <c r="AX136" s="214"/>
      <c r="AY136" s="214"/>
      <c r="AZ136" s="628"/>
      <c r="BA136" s="214"/>
      <c r="BB136" s="214"/>
      <c r="BC136" s="214"/>
      <c r="BD136" s="214"/>
      <c r="BE136" s="214"/>
      <c r="BF136" s="214"/>
      <c r="BG136" s="657"/>
      <c r="BH136" s="214"/>
      <c r="BJ136" s="214"/>
      <c r="BK136" s="214"/>
      <c r="BL136" s="214"/>
      <c r="BM136" s="214"/>
      <c r="BN136" s="214"/>
      <c r="BO136" s="214"/>
      <c r="BP136" s="214"/>
      <c r="BQ136" s="214"/>
      <c r="BR136" s="214"/>
      <c r="BS136" s="214"/>
    </row>
    <row r="137" spans="1:71" s="630" customFormat="1" x14ac:dyDescent="0.25">
      <c r="A137" s="214"/>
      <c r="B137" s="214"/>
      <c r="C137" s="214"/>
      <c r="D137" s="214"/>
      <c r="E137" s="214"/>
      <c r="F137" s="214"/>
      <c r="G137" s="214"/>
      <c r="H137" s="214"/>
      <c r="I137" s="214"/>
      <c r="J137" s="214"/>
      <c r="K137" s="214"/>
      <c r="L137" s="214"/>
      <c r="M137" s="214"/>
      <c r="N137" s="214"/>
      <c r="O137" s="214"/>
      <c r="P137" s="214"/>
      <c r="Q137" s="657"/>
      <c r="R137" s="214"/>
      <c r="S137" s="214"/>
      <c r="T137" s="214"/>
      <c r="U137" s="214"/>
      <c r="V137" s="214"/>
      <c r="W137" s="214"/>
      <c r="X137" s="214"/>
      <c r="Y137" s="214"/>
      <c r="Z137" s="214"/>
      <c r="AA137" s="214"/>
      <c r="AB137" s="214"/>
      <c r="AC137" s="214"/>
      <c r="AD137" s="214"/>
      <c r="AE137" s="214"/>
      <c r="AF137" s="214"/>
      <c r="AG137" s="657"/>
      <c r="AH137" s="214"/>
      <c r="AI137" s="214"/>
      <c r="AJ137" s="214"/>
      <c r="AK137" s="214"/>
      <c r="AL137" s="214"/>
      <c r="AM137" s="214"/>
      <c r="AN137" s="214"/>
      <c r="AO137" s="214"/>
      <c r="AP137" s="214"/>
      <c r="AQ137" s="214"/>
      <c r="AR137" s="214"/>
      <c r="AS137" s="214"/>
      <c r="AT137" s="214"/>
      <c r="AU137" s="214"/>
      <c r="AV137" s="214"/>
      <c r="AW137" s="214"/>
      <c r="AX137" s="214"/>
      <c r="AY137" s="214"/>
      <c r="AZ137" s="628"/>
      <c r="BA137" s="214"/>
      <c r="BB137" s="214"/>
      <c r="BC137" s="214"/>
      <c r="BD137" s="214"/>
      <c r="BE137" s="214"/>
      <c r="BF137" s="214"/>
      <c r="BG137" s="657"/>
      <c r="BH137" s="214"/>
      <c r="BJ137" s="214"/>
      <c r="BK137" s="214"/>
      <c r="BL137" s="214"/>
      <c r="BM137" s="214"/>
      <c r="BN137" s="214"/>
      <c r="BO137" s="214"/>
      <c r="BP137" s="214"/>
      <c r="BQ137" s="214"/>
      <c r="BR137" s="214"/>
      <c r="BS137" s="214"/>
    </row>
    <row r="138" spans="1:71" s="630" customFormat="1" x14ac:dyDescent="0.25">
      <c r="A138" s="214"/>
      <c r="B138" s="214"/>
      <c r="C138" s="214"/>
      <c r="D138" s="214"/>
      <c r="E138" s="214"/>
      <c r="F138" s="214"/>
      <c r="G138" s="214"/>
      <c r="H138" s="214"/>
      <c r="I138" s="214"/>
      <c r="J138" s="214"/>
      <c r="K138" s="214"/>
      <c r="L138" s="214"/>
      <c r="M138" s="214"/>
      <c r="N138" s="214"/>
      <c r="O138" s="214"/>
      <c r="P138" s="214"/>
      <c r="Q138" s="657"/>
      <c r="R138" s="214"/>
      <c r="S138" s="214"/>
      <c r="T138" s="214"/>
      <c r="U138" s="214"/>
      <c r="V138" s="214"/>
      <c r="W138" s="214"/>
      <c r="X138" s="214"/>
      <c r="Y138" s="214"/>
      <c r="Z138" s="214"/>
      <c r="AA138" s="214"/>
      <c r="AB138" s="214"/>
      <c r="AC138" s="214"/>
      <c r="AD138" s="214"/>
      <c r="AE138" s="214"/>
      <c r="AF138" s="214"/>
      <c r="AG138" s="657"/>
      <c r="AH138" s="214"/>
      <c r="AI138" s="214"/>
      <c r="AJ138" s="214"/>
      <c r="AK138" s="214"/>
      <c r="AL138" s="214"/>
      <c r="AM138" s="214"/>
      <c r="AN138" s="214"/>
      <c r="AO138" s="214"/>
      <c r="AP138" s="214"/>
      <c r="AQ138" s="214"/>
      <c r="AR138" s="214"/>
      <c r="AS138" s="214"/>
      <c r="AT138" s="214"/>
      <c r="AU138" s="214"/>
      <c r="AV138" s="214"/>
      <c r="AW138" s="214"/>
      <c r="AX138" s="214"/>
      <c r="AY138" s="214"/>
      <c r="AZ138" s="628"/>
      <c r="BA138" s="214"/>
      <c r="BB138" s="214"/>
      <c r="BC138" s="214"/>
      <c r="BD138" s="214"/>
      <c r="BE138" s="214"/>
      <c r="BF138" s="214"/>
      <c r="BG138" s="657"/>
      <c r="BH138" s="214"/>
      <c r="BJ138" s="214"/>
      <c r="BK138" s="214"/>
      <c r="BL138" s="214"/>
      <c r="BM138" s="214"/>
      <c r="BN138" s="214"/>
      <c r="BO138" s="214"/>
      <c r="BP138" s="214"/>
      <c r="BQ138" s="214"/>
      <c r="BR138" s="214"/>
      <c r="BS138" s="214"/>
    </row>
    <row r="139" spans="1:71" s="630" customFormat="1" x14ac:dyDescent="0.25">
      <c r="A139" s="214"/>
      <c r="B139" s="214"/>
      <c r="C139" s="214"/>
      <c r="D139" s="214"/>
      <c r="E139" s="214"/>
      <c r="F139" s="214"/>
      <c r="G139" s="214"/>
      <c r="H139" s="214"/>
      <c r="I139" s="214"/>
      <c r="J139" s="214"/>
      <c r="K139" s="214"/>
      <c r="L139" s="214"/>
      <c r="M139" s="214"/>
      <c r="N139" s="214"/>
      <c r="O139" s="214"/>
      <c r="P139" s="214"/>
      <c r="Q139" s="657"/>
      <c r="R139" s="214"/>
      <c r="S139" s="214"/>
      <c r="T139" s="214"/>
      <c r="U139" s="214"/>
      <c r="V139" s="214"/>
      <c r="W139" s="214"/>
      <c r="X139" s="214"/>
      <c r="Y139" s="214"/>
      <c r="Z139" s="214"/>
      <c r="AA139" s="214"/>
      <c r="AB139" s="214"/>
      <c r="AC139" s="214"/>
      <c r="AD139" s="214"/>
      <c r="AE139" s="214"/>
      <c r="AF139" s="214"/>
      <c r="AG139" s="657"/>
      <c r="AH139" s="214"/>
      <c r="AI139" s="214"/>
      <c r="AJ139" s="214"/>
      <c r="AK139" s="214"/>
      <c r="AL139" s="214"/>
      <c r="AM139" s="214"/>
      <c r="AN139" s="214"/>
      <c r="AO139" s="214"/>
      <c r="AP139" s="214"/>
      <c r="AQ139" s="214"/>
      <c r="AR139" s="214"/>
      <c r="AS139" s="214"/>
      <c r="AT139" s="214"/>
      <c r="AU139" s="214"/>
      <c r="AV139" s="214"/>
      <c r="AW139" s="214"/>
      <c r="AX139" s="214"/>
      <c r="AY139" s="214"/>
      <c r="AZ139" s="628"/>
      <c r="BA139" s="214"/>
      <c r="BB139" s="214"/>
      <c r="BC139" s="214"/>
      <c r="BD139" s="214"/>
      <c r="BE139" s="214"/>
      <c r="BF139" s="214"/>
      <c r="BG139" s="657"/>
      <c r="BH139" s="214"/>
      <c r="BJ139" s="214"/>
      <c r="BK139" s="214"/>
      <c r="BL139" s="214"/>
      <c r="BM139" s="214"/>
      <c r="BN139" s="214"/>
      <c r="BO139" s="214"/>
      <c r="BP139" s="214"/>
      <c r="BQ139" s="214"/>
      <c r="BR139" s="214"/>
      <c r="BS139" s="214"/>
    </row>
    <row r="140" spans="1:71" s="630" customFormat="1" x14ac:dyDescent="0.25">
      <c r="A140" s="214"/>
      <c r="B140" s="214"/>
      <c r="C140" s="214"/>
      <c r="D140" s="214"/>
      <c r="E140" s="214"/>
      <c r="F140" s="214"/>
      <c r="G140" s="214"/>
      <c r="H140" s="214"/>
      <c r="I140" s="214"/>
      <c r="J140" s="214"/>
      <c r="K140" s="214"/>
      <c r="L140" s="214"/>
      <c r="M140" s="214"/>
      <c r="N140" s="214"/>
      <c r="O140" s="214"/>
      <c r="P140" s="214"/>
      <c r="Q140" s="657"/>
      <c r="R140" s="214"/>
      <c r="S140" s="214"/>
      <c r="T140" s="214"/>
      <c r="U140" s="214"/>
      <c r="V140" s="214"/>
      <c r="W140" s="214"/>
      <c r="X140" s="214"/>
      <c r="Y140" s="214"/>
      <c r="Z140" s="214"/>
      <c r="AA140" s="214"/>
      <c r="AB140" s="214"/>
      <c r="AC140" s="214"/>
      <c r="AD140" s="214"/>
      <c r="AE140" s="214"/>
      <c r="AF140" s="214"/>
      <c r="AG140" s="657"/>
      <c r="AH140" s="214"/>
      <c r="AI140" s="214"/>
      <c r="AJ140" s="214"/>
      <c r="AK140" s="214"/>
      <c r="AL140" s="214"/>
      <c r="AM140" s="214"/>
      <c r="AN140" s="214"/>
      <c r="AO140" s="214"/>
      <c r="AP140" s="214"/>
      <c r="AQ140" s="214"/>
      <c r="AR140" s="214"/>
      <c r="AS140" s="214"/>
      <c r="AT140" s="214"/>
      <c r="AU140" s="214"/>
      <c r="AV140" s="214"/>
      <c r="AW140" s="214"/>
      <c r="AX140" s="214"/>
      <c r="AY140" s="214"/>
      <c r="AZ140" s="628"/>
      <c r="BA140" s="214"/>
      <c r="BB140" s="214"/>
      <c r="BC140" s="214"/>
      <c r="BD140" s="214"/>
      <c r="BE140" s="214"/>
      <c r="BF140" s="214"/>
      <c r="BG140" s="657"/>
      <c r="BH140" s="214"/>
      <c r="BJ140" s="214"/>
      <c r="BK140" s="214"/>
      <c r="BL140" s="214"/>
      <c r="BM140" s="214"/>
      <c r="BN140" s="214"/>
      <c r="BO140" s="214"/>
      <c r="BP140" s="214"/>
      <c r="BQ140" s="214"/>
      <c r="BR140" s="214"/>
      <c r="BS140" s="214"/>
    </row>
    <row r="141" spans="1:71" s="630" customFormat="1" x14ac:dyDescent="0.25">
      <c r="A141" s="214"/>
      <c r="B141" s="214"/>
      <c r="C141" s="214"/>
      <c r="D141" s="214"/>
      <c r="E141" s="214"/>
      <c r="F141" s="214"/>
      <c r="G141" s="214"/>
      <c r="H141" s="214"/>
      <c r="I141" s="214"/>
      <c r="J141" s="214"/>
      <c r="K141" s="214"/>
      <c r="L141" s="214"/>
      <c r="M141" s="214"/>
      <c r="N141" s="214"/>
      <c r="O141" s="214"/>
      <c r="P141" s="214"/>
      <c r="Q141" s="657"/>
      <c r="R141" s="214"/>
      <c r="S141" s="214"/>
      <c r="T141" s="214"/>
      <c r="U141" s="214"/>
      <c r="V141" s="214"/>
      <c r="W141" s="214"/>
      <c r="X141" s="214"/>
      <c r="Y141" s="214"/>
      <c r="Z141" s="214"/>
      <c r="AA141" s="214"/>
      <c r="AB141" s="214"/>
      <c r="AC141" s="214"/>
      <c r="AD141" s="214"/>
      <c r="AE141" s="214"/>
      <c r="AF141" s="214"/>
      <c r="AG141" s="657"/>
      <c r="AH141" s="214"/>
      <c r="AI141" s="214"/>
      <c r="AJ141" s="214"/>
      <c r="AK141" s="214"/>
      <c r="AL141" s="214"/>
      <c r="AM141" s="214"/>
      <c r="AN141" s="214"/>
      <c r="AO141" s="214"/>
      <c r="AP141" s="214"/>
      <c r="AQ141" s="214"/>
      <c r="AR141" s="214"/>
      <c r="AS141" s="214"/>
      <c r="AT141" s="214"/>
      <c r="AU141" s="214"/>
      <c r="AV141" s="214"/>
      <c r="AW141" s="214"/>
      <c r="AX141" s="214"/>
      <c r="AY141" s="214"/>
      <c r="AZ141" s="628"/>
      <c r="BA141" s="214"/>
      <c r="BB141" s="214"/>
      <c r="BC141" s="214"/>
      <c r="BD141" s="214"/>
      <c r="BE141" s="214"/>
      <c r="BF141" s="214"/>
      <c r="BG141" s="657"/>
      <c r="BH141" s="214"/>
      <c r="BJ141" s="214"/>
      <c r="BK141" s="214"/>
      <c r="BL141" s="214"/>
      <c r="BM141" s="214"/>
      <c r="BN141" s="214"/>
      <c r="BO141" s="214"/>
      <c r="BP141" s="214"/>
      <c r="BQ141" s="214"/>
      <c r="BR141" s="214"/>
      <c r="BS141" s="214"/>
    </row>
    <row r="142" spans="1:71" s="630" customFormat="1" x14ac:dyDescent="0.25">
      <c r="A142" s="214"/>
      <c r="B142" s="214"/>
      <c r="C142" s="214"/>
      <c r="D142" s="214"/>
      <c r="E142" s="214"/>
      <c r="F142" s="214"/>
      <c r="G142" s="214"/>
      <c r="H142" s="214"/>
      <c r="I142" s="214"/>
      <c r="J142" s="214"/>
      <c r="K142" s="214"/>
      <c r="L142" s="214"/>
      <c r="M142" s="214"/>
      <c r="N142" s="214"/>
      <c r="O142" s="214"/>
      <c r="P142" s="214"/>
      <c r="Q142" s="657"/>
      <c r="R142" s="214"/>
      <c r="S142" s="214"/>
      <c r="T142" s="214"/>
      <c r="U142" s="214"/>
      <c r="V142" s="214"/>
      <c r="W142" s="214"/>
      <c r="X142" s="214"/>
      <c r="Y142" s="214"/>
      <c r="Z142" s="214"/>
      <c r="AA142" s="214"/>
      <c r="AB142" s="214"/>
      <c r="AC142" s="214"/>
      <c r="AD142" s="214"/>
      <c r="AE142" s="214"/>
      <c r="AF142" s="214"/>
      <c r="AG142" s="657"/>
      <c r="AH142" s="214"/>
      <c r="AI142" s="214"/>
      <c r="AJ142" s="214"/>
      <c r="AK142" s="214"/>
      <c r="AL142" s="214"/>
      <c r="AM142" s="214"/>
      <c r="AN142" s="214"/>
      <c r="AO142" s="214"/>
      <c r="AP142" s="214"/>
      <c r="AQ142" s="214"/>
      <c r="AR142" s="214"/>
      <c r="AS142" s="214"/>
      <c r="AT142" s="214"/>
      <c r="AU142" s="214"/>
      <c r="AV142" s="214"/>
      <c r="AW142" s="214"/>
      <c r="AX142" s="214"/>
      <c r="AY142" s="214"/>
      <c r="AZ142" s="628"/>
      <c r="BA142" s="214"/>
      <c r="BB142" s="214"/>
      <c r="BC142" s="214"/>
      <c r="BD142" s="214"/>
      <c r="BE142" s="214"/>
      <c r="BF142" s="214"/>
      <c r="BG142" s="657"/>
      <c r="BH142" s="214"/>
      <c r="BJ142" s="214"/>
      <c r="BK142" s="214"/>
      <c r="BL142" s="214"/>
      <c r="BM142" s="214"/>
      <c r="BN142" s="214"/>
      <c r="BO142" s="214"/>
      <c r="BP142" s="214"/>
      <c r="BQ142" s="214"/>
      <c r="BR142" s="214"/>
      <c r="BS142" s="214"/>
    </row>
    <row r="143" spans="1:71" s="630" customFormat="1" x14ac:dyDescent="0.25">
      <c r="A143" s="214"/>
      <c r="B143" s="214"/>
      <c r="C143" s="214"/>
      <c r="D143" s="214"/>
      <c r="E143" s="214"/>
      <c r="F143" s="214"/>
      <c r="G143" s="214"/>
      <c r="H143" s="214"/>
      <c r="I143" s="214"/>
      <c r="J143" s="214"/>
      <c r="K143" s="214"/>
      <c r="L143" s="214"/>
      <c r="M143" s="214"/>
      <c r="N143" s="214"/>
      <c r="O143" s="214"/>
      <c r="P143" s="214"/>
      <c r="Q143" s="657"/>
      <c r="R143" s="214"/>
      <c r="S143" s="214"/>
      <c r="T143" s="214"/>
      <c r="U143" s="214"/>
      <c r="V143" s="214"/>
      <c r="W143" s="214"/>
      <c r="X143" s="214"/>
      <c r="Y143" s="214"/>
      <c r="Z143" s="214"/>
      <c r="AA143" s="214"/>
      <c r="AB143" s="214"/>
      <c r="AC143" s="214"/>
      <c r="AD143" s="214"/>
      <c r="AE143" s="214"/>
      <c r="AF143" s="214"/>
      <c r="AG143" s="657"/>
      <c r="AH143" s="214"/>
      <c r="AI143" s="214"/>
      <c r="AJ143" s="214"/>
      <c r="AK143" s="214"/>
      <c r="AL143" s="214"/>
      <c r="AM143" s="214"/>
      <c r="AN143" s="214"/>
      <c r="AO143" s="214"/>
      <c r="AP143" s="214"/>
      <c r="AQ143" s="214"/>
      <c r="AR143" s="214"/>
      <c r="AS143" s="214"/>
      <c r="AT143" s="214"/>
      <c r="AU143" s="214"/>
      <c r="AV143" s="214"/>
      <c r="AW143" s="214"/>
      <c r="AX143" s="214"/>
      <c r="AY143" s="214"/>
      <c r="AZ143" s="628"/>
      <c r="BA143" s="214"/>
      <c r="BB143" s="214"/>
      <c r="BC143" s="214"/>
      <c r="BD143" s="214"/>
      <c r="BE143" s="214"/>
      <c r="BF143" s="214"/>
      <c r="BG143" s="657"/>
      <c r="BH143" s="214"/>
      <c r="BJ143" s="214"/>
      <c r="BK143" s="214"/>
      <c r="BL143" s="214"/>
      <c r="BM143" s="214"/>
      <c r="BN143" s="214"/>
      <c r="BO143" s="214"/>
      <c r="BP143" s="214"/>
      <c r="BQ143" s="214"/>
      <c r="BR143" s="214"/>
      <c r="BS143" s="214"/>
    </row>
    <row r="144" spans="1:71" s="630" customFormat="1" x14ac:dyDescent="0.25">
      <c r="A144" s="214"/>
      <c r="B144" s="214"/>
      <c r="C144" s="214"/>
      <c r="D144" s="214"/>
      <c r="E144" s="214"/>
      <c r="F144" s="214"/>
      <c r="G144" s="214"/>
      <c r="H144" s="214"/>
      <c r="I144" s="214"/>
      <c r="J144" s="214"/>
      <c r="K144" s="214"/>
      <c r="L144" s="214"/>
      <c r="M144" s="214"/>
      <c r="N144" s="214"/>
      <c r="O144" s="214"/>
      <c r="P144" s="214"/>
      <c r="Q144" s="657"/>
      <c r="R144" s="214"/>
      <c r="S144" s="214"/>
      <c r="T144" s="214"/>
      <c r="U144" s="214"/>
      <c r="V144" s="214"/>
      <c r="W144" s="214"/>
      <c r="X144" s="214"/>
      <c r="Y144" s="214"/>
      <c r="Z144" s="214"/>
      <c r="AA144" s="214"/>
      <c r="AB144" s="214"/>
      <c r="AC144" s="214"/>
      <c r="AD144" s="214"/>
      <c r="AE144" s="214"/>
      <c r="AF144" s="214"/>
      <c r="AG144" s="657"/>
      <c r="AH144" s="214"/>
      <c r="AI144" s="214"/>
      <c r="AJ144" s="214"/>
      <c r="AK144" s="214"/>
      <c r="AL144" s="214"/>
      <c r="AM144" s="214"/>
      <c r="AN144" s="214"/>
      <c r="AO144" s="214"/>
      <c r="AP144" s="214"/>
      <c r="AQ144" s="214"/>
      <c r="AR144" s="214"/>
      <c r="AS144" s="214"/>
      <c r="AT144" s="214"/>
      <c r="AU144" s="214"/>
      <c r="AV144" s="214"/>
      <c r="AW144" s="214"/>
      <c r="AX144" s="214"/>
      <c r="AY144" s="214"/>
      <c r="AZ144" s="628"/>
      <c r="BA144" s="214"/>
      <c r="BB144" s="214"/>
      <c r="BC144" s="214"/>
      <c r="BD144" s="214"/>
      <c r="BE144" s="214"/>
      <c r="BF144" s="214"/>
      <c r="BG144" s="657"/>
      <c r="BH144" s="214"/>
      <c r="BJ144" s="214"/>
      <c r="BK144" s="214"/>
      <c r="BL144" s="214"/>
      <c r="BM144" s="214"/>
      <c r="BN144" s="214"/>
      <c r="BO144" s="214"/>
      <c r="BP144" s="214"/>
      <c r="BQ144" s="214"/>
      <c r="BR144" s="214"/>
      <c r="BS144" s="214"/>
    </row>
    <row r="145" spans="1:71" s="630" customFormat="1" x14ac:dyDescent="0.25">
      <c r="A145" s="214"/>
      <c r="B145" s="214"/>
      <c r="C145" s="214"/>
      <c r="D145" s="214"/>
      <c r="E145" s="214"/>
      <c r="F145" s="214"/>
      <c r="G145" s="214"/>
      <c r="H145" s="214"/>
      <c r="I145" s="214"/>
      <c r="J145" s="214"/>
      <c r="K145" s="214"/>
      <c r="L145" s="214"/>
      <c r="M145" s="214"/>
      <c r="N145" s="214"/>
      <c r="O145" s="214"/>
      <c r="P145" s="214"/>
      <c r="Q145" s="657"/>
      <c r="R145" s="214"/>
      <c r="S145" s="214"/>
      <c r="T145" s="214"/>
      <c r="U145" s="214"/>
      <c r="V145" s="214"/>
      <c r="W145" s="214"/>
      <c r="X145" s="214"/>
      <c r="Y145" s="214"/>
      <c r="Z145" s="214"/>
      <c r="AA145" s="214"/>
      <c r="AB145" s="214"/>
      <c r="AC145" s="214"/>
      <c r="AD145" s="214"/>
      <c r="AE145" s="214"/>
      <c r="AF145" s="214"/>
      <c r="AG145" s="657"/>
      <c r="AH145" s="214"/>
      <c r="AI145" s="214"/>
      <c r="AJ145" s="214"/>
      <c r="AK145" s="214"/>
      <c r="AL145" s="214"/>
      <c r="AM145" s="214"/>
      <c r="AN145" s="214"/>
      <c r="AO145" s="214"/>
      <c r="AP145" s="214"/>
      <c r="AQ145" s="214"/>
      <c r="AR145" s="214"/>
      <c r="AS145" s="214"/>
      <c r="AT145" s="214"/>
      <c r="AU145" s="214"/>
      <c r="AV145" s="214"/>
      <c r="AW145" s="214"/>
      <c r="AX145" s="214"/>
      <c r="AY145" s="214"/>
      <c r="AZ145" s="628"/>
      <c r="BA145" s="214"/>
      <c r="BB145" s="214"/>
      <c r="BC145" s="214"/>
      <c r="BD145" s="214"/>
      <c r="BE145" s="214"/>
      <c r="BF145" s="214"/>
      <c r="BG145" s="657"/>
      <c r="BH145" s="214"/>
      <c r="BJ145" s="214"/>
      <c r="BK145" s="214"/>
      <c r="BL145" s="214"/>
      <c r="BM145" s="214"/>
      <c r="BN145" s="214"/>
      <c r="BO145" s="214"/>
      <c r="BP145" s="214"/>
      <c r="BQ145" s="214"/>
      <c r="BR145" s="214"/>
      <c r="BS145" s="214"/>
    </row>
    <row r="146" spans="1:71" s="630" customFormat="1" x14ac:dyDescent="0.25">
      <c r="A146" s="214"/>
      <c r="B146" s="214"/>
      <c r="C146" s="214"/>
      <c r="D146" s="214"/>
      <c r="E146" s="214"/>
      <c r="F146" s="214"/>
      <c r="G146" s="214"/>
      <c r="H146" s="214"/>
      <c r="I146" s="214"/>
      <c r="J146" s="214"/>
      <c r="K146" s="214"/>
      <c r="L146" s="214"/>
      <c r="M146" s="214"/>
      <c r="N146" s="214"/>
      <c r="O146" s="214"/>
      <c r="P146" s="214"/>
      <c r="Q146" s="657"/>
      <c r="R146" s="214"/>
      <c r="S146" s="214"/>
      <c r="T146" s="214"/>
      <c r="U146" s="214"/>
      <c r="V146" s="214"/>
      <c r="W146" s="214"/>
      <c r="X146" s="214"/>
      <c r="Y146" s="214"/>
      <c r="Z146" s="214"/>
      <c r="AA146" s="214"/>
      <c r="AB146" s="214"/>
      <c r="AC146" s="214"/>
      <c r="AD146" s="214"/>
      <c r="AE146" s="214"/>
      <c r="AF146" s="214"/>
      <c r="AG146" s="657"/>
      <c r="AH146" s="214"/>
      <c r="AI146" s="214"/>
      <c r="AJ146" s="214"/>
      <c r="AK146" s="214"/>
      <c r="AL146" s="214"/>
      <c r="AM146" s="214"/>
      <c r="AN146" s="214"/>
      <c r="AO146" s="214"/>
      <c r="AP146" s="214"/>
      <c r="AQ146" s="214"/>
      <c r="AR146" s="214"/>
      <c r="AS146" s="214"/>
      <c r="AT146" s="214"/>
      <c r="AU146" s="214"/>
      <c r="AV146" s="214"/>
      <c r="AW146" s="214"/>
      <c r="AX146" s="214"/>
      <c r="AY146" s="214"/>
      <c r="AZ146" s="628"/>
      <c r="BA146" s="214"/>
      <c r="BB146" s="214"/>
      <c r="BC146" s="214"/>
      <c r="BD146" s="214"/>
      <c r="BE146" s="214"/>
      <c r="BF146" s="214"/>
      <c r="BG146" s="657"/>
      <c r="BH146" s="214"/>
      <c r="BJ146" s="214"/>
      <c r="BK146" s="214"/>
      <c r="BL146" s="214"/>
      <c r="BM146" s="214"/>
      <c r="BN146" s="214"/>
      <c r="BO146" s="214"/>
      <c r="BP146" s="214"/>
      <c r="BQ146" s="214"/>
      <c r="BR146" s="214"/>
      <c r="BS146" s="214"/>
    </row>
    <row r="147" spans="1:71" s="630" customFormat="1" x14ac:dyDescent="0.25">
      <c r="A147" s="214"/>
      <c r="B147" s="214"/>
      <c r="C147" s="214"/>
      <c r="D147" s="214"/>
      <c r="E147" s="214"/>
      <c r="F147" s="214"/>
      <c r="G147" s="214"/>
      <c r="H147" s="214"/>
      <c r="I147" s="214"/>
      <c r="J147" s="214"/>
      <c r="K147" s="214"/>
      <c r="L147" s="214"/>
      <c r="M147" s="214"/>
      <c r="N147" s="214"/>
      <c r="O147" s="214"/>
      <c r="P147" s="214"/>
      <c r="Q147" s="657"/>
      <c r="R147" s="214"/>
      <c r="S147" s="214"/>
      <c r="T147" s="214"/>
      <c r="U147" s="214"/>
      <c r="V147" s="214"/>
      <c r="W147" s="214"/>
      <c r="X147" s="214"/>
      <c r="Y147" s="214"/>
      <c r="Z147" s="214"/>
      <c r="AA147" s="214"/>
      <c r="AB147" s="214"/>
      <c r="AC147" s="214"/>
      <c r="AD147" s="214"/>
      <c r="AE147" s="214"/>
      <c r="AF147" s="214"/>
      <c r="AG147" s="657"/>
      <c r="AH147" s="214"/>
      <c r="AI147" s="214"/>
      <c r="AJ147" s="214"/>
      <c r="AK147" s="214"/>
      <c r="AL147" s="214"/>
      <c r="AM147" s="214"/>
      <c r="AN147" s="214"/>
      <c r="AO147" s="214"/>
      <c r="AP147" s="214"/>
      <c r="AQ147" s="214"/>
      <c r="AR147" s="214"/>
      <c r="AS147" s="214"/>
      <c r="AT147" s="214"/>
      <c r="AU147" s="214"/>
      <c r="AV147" s="214"/>
      <c r="AW147" s="214"/>
      <c r="AX147" s="214"/>
      <c r="AY147" s="214"/>
      <c r="AZ147" s="628"/>
      <c r="BA147" s="214"/>
      <c r="BB147" s="214"/>
      <c r="BC147" s="214"/>
      <c r="BD147" s="214"/>
      <c r="BE147" s="214"/>
      <c r="BF147" s="214"/>
      <c r="BG147" s="657"/>
      <c r="BH147" s="214"/>
      <c r="BJ147" s="214"/>
      <c r="BK147" s="214"/>
      <c r="BL147" s="214"/>
      <c r="BM147" s="214"/>
      <c r="BN147" s="214"/>
      <c r="BO147" s="214"/>
      <c r="BP147" s="214"/>
      <c r="BQ147" s="214"/>
      <c r="BR147" s="214"/>
      <c r="BS147" s="214"/>
    </row>
    <row r="148" spans="1:71" s="630" customFormat="1" x14ac:dyDescent="0.25">
      <c r="A148" s="214"/>
      <c r="B148" s="214"/>
      <c r="C148" s="214"/>
      <c r="D148" s="214"/>
      <c r="E148" s="214"/>
      <c r="F148" s="214"/>
      <c r="G148" s="214"/>
      <c r="H148" s="214"/>
      <c r="I148" s="214"/>
      <c r="J148" s="214"/>
      <c r="K148" s="214"/>
      <c r="L148" s="214"/>
      <c r="M148" s="214"/>
      <c r="N148" s="214"/>
      <c r="O148" s="214"/>
      <c r="P148" s="214"/>
      <c r="Q148" s="657"/>
      <c r="R148" s="214"/>
      <c r="S148" s="214"/>
      <c r="T148" s="214"/>
      <c r="U148" s="214"/>
      <c r="V148" s="214"/>
      <c r="W148" s="214"/>
      <c r="X148" s="214"/>
      <c r="Y148" s="214"/>
      <c r="Z148" s="214"/>
      <c r="AA148" s="214"/>
      <c r="AB148" s="214"/>
      <c r="AC148" s="214"/>
      <c r="AD148" s="214"/>
      <c r="AE148" s="214"/>
      <c r="AF148" s="214"/>
      <c r="AG148" s="657"/>
      <c r="AH148" s="214"/>
      <c r="AI148" s="214"/>
      <c r="AJ148" s="214"/>
      <c r="AK148" s="214"/>
      <c r="AL148" s="214"/>
      <c r="AM148" s="214"/>
      <c r="AN148" s="214"/>
      <c r="AO148" s="214"/>
      <c r="AP148" s="214"/>
      <c r="AQ148" s="214"/>
      <c r="AR148" s="214"/>
      <c r="AS148" s="214"/>
      <c r="AT148" s="214"/>
      <c r="AU148" s="214"/>
      <c r="AV148" s="214"/>
      <c r="AW148" s="214"/>
      <c r="AX148" s="214"/>
      <c r="AY148" s="214"/>
      <c r="AZ148" s="628"/>
      <c r="BA148" s="214"/>
      <c r="BB148" s="214"/>
      <c r="BC148" s="214"/>
      <c r="BD148" s="214"/>
      <c r="BE148" s="214"/>
      <c r="BF148" s="214"/>
      <c r="BG148" s="657"/>
      <c r="BH148" s="214"/>
      <c r="BJ148" s="214"/>
      <c r="BK148" s="214"/>
      <c r="BL148" s="214"/>
      <c r="BM148" s="214"/>
      <c r="BN148" s="214"/>
      <c r="BO148" s="214"/>
      <c r="BP148" s="214"/>
      <c r="BQ148" s="214"/>
      <c r="BR148" s="214"/>
      <c r="BS148" s="214"/>
    </row>
    <row r="149" spans="1:71" s="630" customFormat="1" x14ac:dyDescent="0.25">
      <c r="A149" s="214"/>
      <c r="B149" s="214"/>
      <c r="C149" s="214"/>
      <c r="D149" s="214"/>
      <c r="E149" s="214"/>
      <c r="F149" s="214"/>
      <c r="G149" s="214"/>
      <c r="H149" s="214"/>
      <c r="I149" s="214"/>
      <c r="J149" s="214"/>
      <c r="K149" s="214"/>
      <c r="L149" s="214"/>
      <c r="M149" s="214"/>
      <c r="N149" s="214"/>
      <c r="O149" s="214"/>
      <c r="P149" s="214"/>
      <c r="Q149" s="657"/>
      <c r="R149" s="214"/>
      <c r="S149" s="214"/>
      <c r="T149" s="214"/>
      <c r="U149" s="214"/>
      <c r="V149" s="214"/>
      <c r="W149" s="214"/>
      <c r="X149" s="214"/>
      <c r="Y149" s="214"/>
      <c r="Z149" s="214"/>
      <c r="AA149" s="214"/>
      <c r="AB149" s="214"/>
      <c r="AC149" s="214"/>
      <c r="AD149" s="214"/>
      <c r="AE149" s="214"/>
      <c r="AF149" s="214"/>
      <c r="AG149" s="657"/>
      <c r="AH149" s="214"/>
      <c r="AI149" s="214"/>
      <c r="AJ149" s="214"/>
      <c r="AK149" s="214"/>
      <c r="AL149" s="214"/>
      <c r="AM149" s="214"/>
      <c r="AN149" s="214"/>
      <c r="AO149" s="214"/>
      <c r="AP149" s="214"/>
      <c r="AQ149" s="214"/>
      <c r="AR149" s="214"/>
      <c r="AS149" s="214"/>
      <c r="AT149" s="214"/>
      <c r="AU149" s="214"/>
      <c r="AV149" s="214"/>
      <c r="AW149" s="214"/>
      <c r="AX149" s="214"/>
      <c r="AY149" s="214"/>
      <c r="AZ149" s="628"/>
      <c r="BA149" s="214"/>
      <c r="BB149" s="214"/>
      <c r="BC149" s="214"/>
      <c r="BD149" s="214"/>
      <c r="BE149" s="214"/>
      <c r="BF149" s="214"/>
      <c r="BG149" s="657"/>
      <c r="BH149" s="214"/>
      <c r="BJ149" s="214"/>
      <c r="BK149" s="214"/>
      <c r="BL149" s="214"/>
      <c r="BM149" s="214"/>
      <c r="BN149" s="214"/>
      <c r="BO149" s="214"/>
      <c r="BP149" s="214"/>
      <c r="BQ149" s="214"/>
      <c r="BR149" s="214"/>
      <c r="BS149" s="214"/>
    </row>
    <row r="150" spans="1:71" s="630" customFormat="1" x14ac:dyDescent="0.25">
      <c r="A150" s="214"/>
      <c r="B150" s="214"/>
      <c r="C150" s="214"/>
      <c r="D150" s="214"/>
      <c r="E150" s="214"/>
      <c r="F150" s="214"/>
      <c r="G150" s="214"/>
      <c r="H150" s="214"/>
      <c r="I150" s="214"/>
      <c r="J150" s="214"/>
      <c r="K150" s="214"/>
      <c r="L150" s="214"/>
      <c r="M150" s="214"/>
      <c r="N150" s="214"/>
      <c r="O150" s="214"/>
      <c r="P150" s="214"/>
      <c r="Q150" s="657"/>
      <c r="R150" s="214"/>
      <c r="S150" s="214"/>
      <c r="T150" s="214"/>
      <c r="U150" s="214"/>
      <c r="V150" s="214"/>
      <c r="W150" s="214"/>
      <c r="X150" s="214"/>
      <c r="Y150" s="214"/>
      <c r="Z150" s="214"/>
      <c r="AA150" s="214"/>
      <c r="AB150" s="214"/>
      <c r="AC150" s="214"/>
      <c r="AD150" s="214"/>
      <c r="AE150" s="214"/>
      <c r="AF150" s="214"/>
      <c r="AG150" s="657"/>
      <c r="AH150" s="214"/>
      <c r="AI150" s="214"/>
      <c r="AJ150" s="214"/>
      <c r="AK150" s="214"/>
      <c r="AL150" s="214"/>
      <c r="AM150" s="214"/>
      <c r="AN150" s="214"/>
      <c r="AO150" s="214"/>
      <c r="AP150" s="214"/>
      <c r="AQ150" s="214"/>
      <c r="AR150" s="214"/>
      <c r="AS150" s="214"/>
      <c r="AT150" s="214"/>
      <c r="AU150" s="214"/>
      <c r="AV150" s="214"/>
      <c r="AW150" s="214"/>
      <c r="AX150" s="214"/>
      <c r="AY150" s="214"/>
      <c r="AZ150" s="628"/>
      <c r="BA150" s="214"/>
      <c r="BB150" s="214"/>
      <c r="BC150" s="214"/>
      <c r="BD150" s="214"/>
      <c r="BE150" s="214"/>
      <c r="BF150" s="214"/>
      <c r="BG150" s="657"/>
      <c r="BH150" s="214"/>
      <c r="BJ150" s="214"/>
      <c r="BK150" s="214"/>
      <c r="BL150" s="214"/>
      <c r="BM150" s="214"/>
      <c r="BN150" s="214"/>
      <c r="BO150" s="214"/>
      <c r="BP150" s="214"/>
      <c r="BQ150" s="214"/>
      <c r="BR150" s="214"/>
      <c r="BS150" s="214"/>
    </row>
    <row r="151" spans="1:71" s="630" customFormat="1" x14ac:dyDescent="0.25">
      <c r="A151" s="214"/>
      <c r="B151" s="214"/>
      <c r="C151" s="214"/>
      <c r="D151" s="214"/>
      <c r="E151" s="214"/>
      <c r="F151" s="214"/>
      <c r="G151" s="214"/>
      <c r="H151" s="214"/>
      <c r="I151" s="214"/>
      <c r="J151" s="214"/>
      <c r="K151" s="214"/>
      <c r="L151" s="214"/>
      <c r="M151" s="214"/>
      <c r="N151" s="214"/>
      <c r="O151" s="214"/>
      <c r="P151" s="214"/>
      <c r="Q151" s="657"/>
      <c r="R151" s="214"/>
      <c r="S151" s="214"/>
      <c r="T151" s="214"/>
      <c r="U151" s="214"/>
      <c r="V151" s="214"/>
      <c r="W151" s="214"/>
      <c r="X151" s="214"/>
      <c r="Y151" s="214"/>
      <c r="Z151" s="214"/>
      <c r="AA151" s="214"/>
      <c r="AB151" s="214"/>
      <c r="AC151" s="214"/>
      <c r="AD151" s="214"/>
      <c r="AE151" s="214"/>
      <c r="AF151" s="214"/>
      <c r="AG151" s="657"/>
      <c r="AH151" s="214"/>
      <c r="AI151" s="214"/>
      <c r="AJ151" s="214"/>
      <c r="AK151" s="214"/>
      <c r="AL151" s="214"/>
      <c r="AM151" s="214"/>
      <c r="AN151" s="214"/>
      <c r="AO151" s="214"/>
      <c r="AP151" s="214"/>
      <c r="AQ151" s="214"/>
      <c r="AR151" s="214"/>
      <c r="AS151" s="214"/>
      <c r="AT151" s="214"/>
      <c r="AU151" s="214"/>
      <c r="AV151" s="214"/>
      <c r="AW151" s="214"/>
      <c r="AX151" s="214"/>
      <c r="AY151" s="214"/>
      <c r="AZ151" s="628"/>
      <c r="BA151" s="214"/>
      <c r="BB151" s="214"/>
      <c r="BC151" s="214"/>
      <c r="BD151" s="214"/>
      <c r="BE151" s="214"/>
      <c r="BF151" s="214"/>
      <c r="BG151" s="657"/>
      <c r="BH151" s="214"/>
      <c r="BJ151" s="214"/>
      <c r="BK151" s="214"/>
      <c r="BL151" s="214"/>
      <c r="BM151" s="214"/>
      <c r="BN151" s="214"/>
      <c r="BO151" s="214"/>
      <c r="BP151" s="214"/>
      <c r="BQ151" s="214"/>
      <c r="BR151" s="214"/>
      <c r="BS151" s="214"/>
    </row>
    <row r="152" spans="1:71" s="630" customFormat="1" x14ac:dyDescent="0.25">
      <c r="A152" s="214"/>
      <c r="B152" s="214"/>
      <c r="C152" s="214"/>
      <c r="D152" s="214"/>
      <c r="E152" s="214"/>
      <c r="F152" s="214"/>
      <c r="G152" s="214"/>
      <c r="H152" s="214"/>
      <c r="I152" s="214"/>
      <c r="J152" s="214"/>
      <c r="K152" s="214"/>
      <c r="L152" s="214"/>
      <c r="M152" s="214"/>
      <c r="N152" s="214"/>
      <c r="O152" s="214"/>
      <c r="P152" s="214"/>
      <c r="Q152" s="657"/>
      <c r="R152" s="214"/>
      <c r="S152" s="214"/>
      <c r="T152" s="214"/>
      <c r="U152" s="214"/>
      <c r="V152" s="214"/>
      <c r="W152" s="214"/>
      <c r="X152" s="214"/>
      <c r="Y152" s="214"/>
      <c r="Z152" s="214"/>
      <c r="AA152" s="214"/>
      <c r="AB152" s="214"/>
      <c r="AC152" s="214"/>
      <c r="AD152" s="214"/>
      <c r="AE152" s="214"/>
      <c r="AF152" s="214"/>
      <c r="AG152" s="657"/>
      <c r="AH152" s="214"/>
      <c r="AI152" s="214"/>
      <c r="AJ152" s="214"/>
      <c r="AK152" s="214"/>
      <c r="AL152" s="214"/>
      <c r="AM152" s="214"/>
      <c r="AN152" s="214"/>
      <c r="AO152" s="214"/>
      <c r="AP152" s="214"/>
      <c r="AQ152" s="214"/>
      <c r="AR152" s="214"/>
      <c r="AS152" s="214"/>
      <c r="AT152" s="214"/>
      <c r="AU152" s="214"/>
      <c r="AV152" s="214"/>
      <c r="AW152" s="214"/>
      <c r="AX152" s="214"/>
      <c r="AY152" s="214"/>
      <c r="AZ152" s="628"/>
      <c r="BA152" s="214"/>
      <c r="BB152" s="214"/>
      <c r="BC152" s="214"/>
      <c r="BD152" s="214"/>
      <c r="BE152" s="214"/>
      <c r="BF152" s="214"/>
      <c r="BG152" s="657"/>
      <c r="BH152" s="214"/>
      <c r="BJ152" s="214"/>
      <c r="BK152" s="214"/>
      <c r="BL152" s="214"/>
      <c r="BM152" s="214"/>
      <c r="BN152" s="214"/>
      <c r="BO152" s="214"/>
      <c r="BP152" s="214"/>
      <c r="BQ152" s="214"/>
      <c r="BR152" s="214"/>
      <c r="BS152" s="214"/>
    </row>
    <row r="153" spans="1:71" s="630" customFormat="1" x14ac:dyDescent="0.25">
      <c r="A153" s="214"/>
      <c r="B153" s="214"/>
      <c r="C153" s="214"/>
      <c r="D153" s="214"/>
      <c r="E153" s="214"/>
      <c r="F153" s="214"/>
      <c r="G153" s="214"/>
      <c r="H153" s="214"/>
      <c r="I153" s="214"/>
      <c r="J153" s="214"/>
      <c r="K153" s="214"/>
      <c r="L153" s="214"/>
      <c r="M153" s="214"/>
      <c r="N153" s="214"/>
      <c r="O153" s="214"/>
      <c r="P153" s="214"/>
      <c r="Q153" s="657"/>
      <c r="R153" s="214"/>
      <c r="S153" s="214"/>
      <c r="T153" s="214"/>
      <c r="U153" s="214"/>
      <c r="V153" s="214"/>
      <c r="W153" s="214"/>
      <c r="X153" s="214"/>
      <c r="Y153" s="214"/>
      <c r="Z153" s="214"/>
      <c r="AA153" s="214"/>
      <c r="AB153" s="214"/>
      <c r="AC153" s="214"/>
      <c r="AD153" s="214"/>
      <c r="AE153" s="214"/>
      <c r="AF153" s="214"/>
      <c r="AG153" s="657"/>
      <c r="AH153" s="214"/>
      <c r="AI153" s="214"/>
      <c r="AJ153" s="214"/>
      <c r="AK153" s="214"/>
      <c r="AL153" s="214"/>
      <c r="AM153" s="214"/>
      <c r="AN153" s="214"/>
      <c r="AO153" s="214"/>
      <c r="AP153" s="214"/>
      <c r="AQ153" s="214"/>
      <c r="AR153" s="214"/>
      <c r="AS153" s="214"/>
      <c r="AT153" s="214"/>
      <c r="AU153" s="214"/>
      <c r="AV153" s="214"/>
      <c r="AW153" s="214"/>
      <c r="AX153" s="214"/>
      <c r="AY153" s="214"/>
      <c r="AZ153" s="628"/>
      <c r="BA153" s="214"/>
      <c r="BB153" s="214"/>
      <c r="BC153" s="214"/>
      <c r="BD153" s="214"/>
      <c r="BE153" s="214"/>
      <c r="BF153" s="214"/>
      <c r="BG153" s="657"/>
      <c r="BH153" s="214"/>
      <c r="BJ153" s="214"/>
      <c r="BK153" s="214"/>
      <c r="BL153" s="214"/>
      <c r="BM153" s="214"/>
      <c r="BN153" s="214"/>
      <c r="BO153" s="214"/>
      <c r="BP153" s="214"/>
      <c r="BQ153" s="214"/>
      <c r="BR153" s="214"/>
      <c r="BS153" s="214"/>
    </row>
    <row r="154" spans="1:71" s="630" customFormat="1" x14ac:dyDescent="0.25">
      <c r="A154" s="214"/>
      <c r="B154" s="214"/>
      <c r="C154" s="214"/>
      <c r="D154" s="214"/>
      <c r="E154" s="214"/>
      <c r="F154" s="214"/>
      <c r="G154" s="214"/>
      <c r="H154" s="214"/>
      <c r="I154" s="214"/>
      <c r="J154" s="214"/>
      <c r="K154" s="214"/>
      <c r="L154" s="214"/>
      <c r="M154" s="214"/>
      <c r="N154" s="214"/>
      <c r="O154" s="214"/>
      <c r="P154" s="214"/>
      <c r="Q154" s="657"/>
      <c r="R154" s="214"/>
      <c r="S154" s="214"/>
      <c r="T154" s="214"/>
      <c r="U154" s="214"/>
      <c r="V154" s="214"/>
      <c r="W154" s="214"/>
      <c r="X154" s="214"/>
      <c r="Y154" s="214"/>
      <c r="Z154" s="214"/>
      <c r="AA154" s="214"/>
      <c r="AB154" s="214"/>
      <c r="AC154" s="214"/>
      <c r="AD154" s="214"/>
      <c r="AE154" s="214"/>
      <c r="AF154" s="214"/>
      <c r="AG154" s="657"/>
      <c r="AH154" s="214"/>
      <c r="AI154" s="214"/>
      <c r="AJ154" s="214"/>
      <c r="AK154" s="214"/>
      <c r="AL154" s="214"/>
      <c r="AM154" s="214"/>
      <c r="AN154" s="214"/>
      <c r="AO154" s="214"/>
      <c r="AP154" s="214"/>
      <c r="AQ154" s="214"/>
      <c r="AR154" s="214"/>
      <c r="AS154" s="214"/>
      <c r="AT154" s="214"/>
      <c r="AU154" s="214"/>
      <c r="AV154" s="214"/>
      <c r="AW154" s="214"/>
      <c r="AX154" s="214"/>
      <c r="AY154" s="214"/>
      <c r="AZ154" s="628"/>
      <c r="BA154" s="214"/>
      <c r="BB154" s="214"/>
      <c r="BC154" s="214"/>
      <c r="BD154" s="214"/>
      <c r="BE154" s="214"/>
      <c r="BF154" s="214"/>
      <c r="BG154" s="657"/>
      <c r="BH154" s="214"/>
      <c r="BJ154" s="214"/>
      <c r="BK154" s="214"/>
      <c r="BL154" s="214"/>
      <c r="BM154" s="214"/>
      <c r="BN154" s="214"/>
      <c r="BO154" s="214"/>
      <c r="BP154" s="214"/>
      <c r="BQ154" s="214"/>
      <c r="BR154" s="214"/>
      <c r="BS154" s="214"/>
    </row>
    <row r="155" spans="1:71" s="630" customFormat="1" x14ac:dyDescent="0.25">
      <c r="A155" s="214"/>
      <c r="B155" s="214"/>
      <c r="C155" s="214"/>
      <c r="D155" s="214"/>
      <c r="E155" s="214"/>
      <c r="F155" s="214"/>
      <c r="G155" s="214"/>
      <c r="H155" s="214"/>
      <c r="I155" s="214"/>
      <c r="J155" s="214"/>
      <c r="K155" s="214"/>
      <c r="L155" s="214"/>
      <c r="M155" s="214"/>
      <c r="N155" s="214"/>
      <c r="O155" s="214"/>
      <c r="P155" s="214"/>
      <c r="Q155" s="657"/>
      <c r="R155" s="214"/>
      <c r="S155" s="214"/>
      <c r="T155" s="214"/>
      <c r="U155" s="214"/>
      <c r="V155" s="214"/>
      <c r="W155" s="214"/>
      <c r="X155" s="214"/>
      <c r="Y155" s="214"/>
      <c r="Z155" s="214"/>
      <c r="AA155" s="214"/>
      <c r="AB155" s="214"/>
      <c r="AC155" s="214"/>
      <c r="AD155" s="214"/>
      <c r="AE155" s="214"/>
      <c r="AF155" s="214"/>
      <c r="AG155" s="657"/>
      <c r="AH155" s="214"/>
      <c r="AI155" s="214"/>
      <c r="AJ155" s="214"/>
      <c r="AK155" s="214"/>
      <c r="AL155" s="214"/>
      <c r="AM155" s="214"/>
      <c r="AN155" s="214"/>
      <c r="AO155" s="214"/>
      <c r="AP155" s="214"/>
      <c r="AQ155" s="214"/>
      <c r="AR155" s="214"/>
      <c r="AS155" s="214"/>
      <c r="AT155" s="214"/>
      <c r="AU155" s="214"/>
      <c r="AV155" s="214"/>
      <c r="AW155" s="214"/>
      <c r="AX155" s="214"/>
      <c r="AY155" s="214"/>
      <c r="AZ155" s="628"/>
      <c r="BA155" s="214"/>
      <c r="BB155" s="214"/>
      <c r="BC155" s="214"/>
      <c r="BD155" s="214"/>
      <c r="BE155" s="214"/>
      <c r="BF155" s="214"/>
      <c r="BG155" s="657"/>
      <c r="BH155" s="214"/>
      <c r="BJ155" s="214"/>
      <c r="BK155" s="214"/>
      <c r="BL155" s="214"/>
      <c r="BM155" s="214"/>
      <c r="BN155" s="214"/>
      <c r="BO155" s="214"/>
      <c r="BP155" s="214"/>
      <c r="BQ155" s="214"/>
      <c r="BR155" s="214"/>
      <c r="BS155" s="214"/>
    </row>
    <row r="156" spans="1:71" s="630" customFormat="1" x14ac:dyDescent="0.25">
      <c r="A156" s="214"/>
      <c r="B156" s="214"/>
      <c r="C156" s="214"/>
      <c r="D156" s="214"/>
      <c r="E156" s="214"/>
      <c r="F156" s="214"/>
      <c r="G156" s="214"/>
      <c r="H156" s="214"/>
      <c r="I156" s="214"/>
      <c r="J156" s="214"/>
      <c r="K156" s="214"/>
      <c r="L156" s="214"/>
      <c r="M156" s="214"/>
      <c r="N156" s="214"/>
      <c r="O156" s="214"/>
      <c r="P156" s="214"/>
      <c r="Q156" s="657"/>
      <c r="R156" s="214"/>
      <c r="S156" s="214"/>
      <c r="T156" s="214"/>
      <c r="U156" s="214"/>
      <c r="V156" s="214"/>
      <c r="W156" s="214"/>
      <c r="X156" s="214"/>
      <c r="Y156" s="214"/>
      <c r="Z156" s="214"/>
      <c r="AA156" s="214"/>
      <c r="AB156" s="214"/>
      <c r="AC156" s="214"/>
      <c r="AD156" s="214"/>
      <c r="AE156" s="214"/>
      <c r="AF156" s="214"/>
      <c r="AG156" s="657"/>
      <c r="AH156" s="214"/>
      <c r="AI156" s="214"/>
      <c r="AJ156" s="214"/>
      <c r="AK156" s="214"/>
      <c r="AL156" s="214"/>
      <c r="AM156" s="214"/>
      <c r="AN156" s="214"/>
      <c r="AO156" s="214"/>
      <c r="AP156" s="214"/>
      <c r="AQ156" s="214"/>
      <c r="AR156" s="214"/>
      <c r="AS156" s="214"/>
      <c r="AT156" s="214"/>
      <c r="AU156" s="214"/>
      <c r="AV156" s="214"/>
      <c r="AW156" s="214"/>
      <c r="AX156" s="214"/>
      <c r="AY156" s="214"/>
      <c r="AZ156" s="628"/>
      <c r="BA156" s="214"/>
      <c r="BB156" s="214"/>
      <c r="BC156" s="214"/>
      <c r="BD156" s="214"/>
      <c r="BE156" s="214"/>
      <c r="BF156" s="214"/>
      <c r="BG156" s="657"/>
      <c r="BH156" s="214"/>
      <c r="BJ156" s="214"/>
      <c r="BK156" s="214"/>
      <c r="BL156" s="214"/>
      <c r="BM156" s="214"/>
      <c r="BN156" s="214"/>
      <c r="BO156" s="214"/>
      <c r="BP156" s="214"/>
      <c r="BQ156" s="214"/>
      <c r="BR156" s="214"/>
      <c r="BS156" s="214"/>
    </row>
    <row r="157" spans="1:71" s="630" customFormat="1" x14ac:dyDescent="0.25">
      <c r="A157" s="214"/>
      <c r="B157" s="214"/>
      <c r="C157" s="214"/>
      <c r="D157" s="214"/>
      <c r="E157" s="214"/>
      <c r="F157" s="214"/>
      <c r="G157" s="214"/>
      <c r="H157" s="214"/>
      <c r="I157" s="214"/>
      <c r="J157" s="214"/>
      <c r="K157" s="214"/>
      <c r="L157" s="214"/>
      <c r="M157" s="214"/>
      <c r="N157" s="214"/>
      <c r="O157" s="214"/>
      <c r="P157" s="214"/>
      <c r="Q157" s="657"/>
      <c r="R157" s="214"/>
      <c r="S157" s="214"/>
      <c r="T157" s="214"/>
      <c r="U157" s="214"/>
      <c r="V157" s="214"/>
      <c r="W157" s="214"/>
      <c r="X157" s="214"/>
      <c r="Y157" s="214"/>
      <c r="Z157" s="214"/>
      <c r="AA157" s="214"/>
      <c r="AB157" s="214"/>
      <c r="AC157" s="214"/>
      <c r="AD157" s="214"/>
      <c r="AE157" s="214"/>
      <c r="AF157" s="214"/>
      <c r="AG157" s="657"/>
      <c r="AH157" s="214"/>
      <c r="AI157" s="214"/>
      <c r="AJ157" s="214"/>
      <c r="AK157" s="214"/>
      <c r="AL157" s="214"/>
      <c r="AM157" s="214"/>
      <c r="AN157" s="214"/>
      <c r="AO157" s="214"/>
      <c r="AP157" s="214"/>
      <c r="AQ157" s="214"/>
      <c r="AR157" s="214"/>
      <c r="AS157" s="214"/>
      <c r="AT157" s="214"/>
      <c r="AU157" s="214"/>
      <c r="AV157" s="214"/>
      <c r="AW157" s="214"/>
      <c r="AX157" s="214"/>
      <c r="AY157" s="214"/>
      <c r="AZ157" s="628"/>
      <c r="BA157" s="214"/>
      <c r="BB157" s="214"/>
      <c r="BC157" s="214"/>
      <c r="BD157" s="214"/>
      <c r="BE157" s="214"/>
      <c r="BF157" s="214"/>
      <c r="BG157" s="657"/>
      <c r="BH157" s="214"/>
      <c r="BJ157" s="214"/>
      <c r="BK157" s="214"/>
      <c r="BL157" s="214"/>
      <c r="BM157" s="214"/>
      <c r="BN157" s="214"/>
      <c r="BO157" s="214"/>
      <c r="BP157" s="214"/>
      <c r="BQ157" s="214"/>
      <c r="BR157" s="214"/>
      <c r="BS157" s="214"/>
    </row>
    <row r="158" spans="1:71" s="630" customFormat="1" x14ac:dyDescent="0.25">
      <c r="A158" s="214"/>
      <c r="B158" s="214"/>
      <c r="C158" s="214"/>
      <c r="D158" s="214"/>
      <c r="E158" s="214"/>
      <c r="F158" s="214"/>
      <c r="G158" s="214"/>
      <c r="H158" s="214"/>
      <c r="I158" s="214"/>
      <c r="J158" s="214"/>
      <c r="K158" s="214"/>
      <c r="L158" s="214"/>
      <c r="M158" s="214"/>
      <c r="N158" s="214"/>
      <c r="O158" s="214"/>
      <c r="P158" s="214"/>
      <c r="Q158" s="657"/>
      <c r="R158" s="214"/>
      <c r="S158" s="214"/>
      <c r="T158" s="214"/>
      <c r="U158" s="214"/>
      <c r="V158" s="214"/>
      <c r="W158" s="214"/>
      <c r="X158" s="214"/>
      <c r="Y158" s="214"/>
      <c r="Z158" s="214"/>
      <c r="AA158" s="214"/>
      <c r="AB158" s="214"/>
      <c r="AC158" s="214"/>
      <c r="AD158" s="214"/>
      <c r="AE158" s="214"/>
      <c r="AF158" s="214"/>
      <c r="AG158" s="657"/>
      <c r="AH158" s="214"/>
      <c r="AI158" s="214"/>
      <c r="AJ158" s="214"/>
      <c r="AK158" s="214"/>
      <c r="AL158" s="214"/>
      <c r="AM158" s="214"/>
      <c r="AN158" s="214"/>
      <c r="AO158" s="214"/>
      <c r="AP158" s="214"/>
      <c r="AQ158" s="214"/>
      <c r="AR158" s="214"/>
      <c r="AS158" s="214"/>
      <c r="AT158" s="214"/>
      <c r="AU158" s="214"/>
      <c r="AV158" s="214"/>
      <c r="AW158" s="214"/>
      <c r="AX158" s="214"/>
      <c r="AY158" s="214"/>
      <c r="AZ158" s="628"/>
      <c r="BA158" s="214"/>
      <c r="BB158" s="214"/>
      <c r="BC158" s="214"/>
      <c r="BD158" s="214"/>
      <c r="BE158" s="214"/>
      <c r="BF158" s="214"/>
      <c r="BG158" s="657"/>
      <c r="BH158" s="214"/>
      <c r="BJ158" s="214"/>
      <c r="BK158" s="214"/>
      <c r="BL158" s="214"/>
      <c r="BM158" s="214"/>
      <c r="BN158" s="214"/>
      <c r="BO158" s="214"/>
      <c r="BP158" s="214"/>
      <c r="BQ158" s="214"/>
      <c r="BR158" s="214"/>
      <c r="BS158" s="214"/>
    </row>
    <row r="159" spans="1:71" s="630" customFormat="1" x14ac:dyDescent="0.25">
      <c r="A159" s="214"/>
      <c r="B159" s="214"/>
      <c r="C159" s="214"/>
      <c r="D159" s="214"/>
      <c r="E159" s="214"/>
      <c r="F159" s="214"/>
      <c r="G159" s="214"/>
      <c r="H159" s="214"/>
      <c r="I159" s="214"/>
      <c r="J159" s="214"/>
      <c r="K159" s="214"/>
      <c r="L159" s="214"/>
      <c r="M159" s="214"/>
      <c r="N159" s="214"/>
      <c r="O159" s="214"/>
      <c r="P159" s="214"/>
      <c r="Q159" s="657"/>
      <c r="R159" s="214"/>
      <c r="S159" s="214"/>
      <c r="T159" s="214"/>
      <c r="U159" s="214"/>
      <c r="V159" s="214"/>
      <c r="W159" s="214"/>
      <c r="X159" s="214"/>
      <c r="Y159" s="214"/>
      <c r="Z159" s="214"/>
      <c r="AA159" s="214"/>
      <c r="AB159" s="214"/>
      <c r="AC159" s="214"/>
      <c r="AD159" s="214"/>
      <c r="AE159" s="214"/>
      <c r="AF159" s="214"/>
      <c r="AG159" s="657"/>
      <c r="AH159" s="214"/>
      <c r="AI159" s="214"/>
      <c r="AJ159" s="214"/>
      <c r="AK159" s="214"/>
      <c r="AL159" s="214"/>
      <c r="AM159" s="214"/>
      <c r="AN159" s="214"/>
      <c r="AO159" s="214"/>
      <c r="AP159" s="214"/>
      <c r="AQ159" s="214"/>
      <c r="AR159" s="214"/>
      <c r="AS159" s="214"/>
      <c r="AT159" s="214"/>
      <c r="AU159" s="214"/>
      <c r="AV159" s="214"/>
      <c r="AW159" s="214"/>
      <c r="AX159" s="214"/>
      <c r="AY159" s="214"/>
      <c r="AZ159" s="628"/>
      <c r="BA159" s="214"/>
      <c r="BB159" s="214"/>
      <c r="BC159" s="214"/>
      <c r="BD159" s="214"/>
      <c r="BE159" s="214"/>
      <c r="BF159" s="214"/>
      <c r="BG159" s="657"/>
      <c r="BH159" s="214"/>
      <c r="BJ159" s="214"/>
      <c r="BK159" s="214"/>
      <c r="BL159" s="214"/>
      <c r="BM159" s="214"/>
      <c r="BN159" s="214"/>
      <c r="BO159" s="214"/>
      <c r="BP159" s="214"/>
      <c r="BQ159" s="214"/>
      <c r="BR159" s="214"/>
      <c r="BS159" s="214"/>
    </row>
    <row r="160" spans="1:71" s="630" customFormat="1" x14ac:dyDescent="0.25">
      <c r="A160" s="214"/>
      <c r="B160" s="214"/>
      <c r="C160" s="214"/>
      <c r="D160" s="214"/>
      <c r="E160" s="214"/>
      <c r="F160" s="214"/>
      <c r="G160" s="214"/>
      <c r="H160" s="214"/>
      <c r="I160" s="214"/>
      <c r="J160" s="214"/>
      <c r="K160" s="214"/>
      <c r="L160" s="214"/>
      <c r="M160" s="214"/>
      <c r="N160" s="214"/>
      <c r="O160" s="214"/>
      <c r="P160" s="214"/>
      <c r="Q160" s="657"/>
      <c r="R160" s="214"/>
      <c r="S160" s="214"/>
      <c r="T160" s="214"/>
      <c r="U160" s="214"/>
      <c r="V160" s="214"/>
      <c r="W160" s="214"/>
      <c r="X160" s="214"/>
      <c r="Y160" s="214"/>
      <c r="Z160" s="214"/>
      <c r="AA160" s="214"/>
      <c r="AB160" s="214"/>
      <c r="AC160" s="214"/>
      <c r="AD160" s="214"/>
      <c r="AE160" s="214"/>
      <c r="AF160" s="214"/>
      <c r="AG160" s="657"/>
      <c r="AH160" s="214"/>
      <c r="AI160" s="214"/>
      <c r="AJ160" s="214"/>
      <c r="AK160" s="214"/>
      <c r="AL160" s="214"/>
      <c r="AM160" s="214"/>
      <c r="AN160" s="214"/>
      <c r="AO160" s="214"/>
      <c r="AP160" s="214"/>
      <c r="AQ160" s="214"/>
      <c r="AR160" s="214"/>
      <c r="AS160" s="214"/>
      <c r="AT160" s="214"/>
      <c r="AU160" s="214"/>
      <c r="AV160" s="214"/>
      <c r="AW160" s="214"/>
      <c r="AX160" s="214"/>
      <c r="AY160" s="214"/>
      <c r="AZ160" s="628"/>
      <c r="BA160" s="214"/>
      <c r="BB160" s="214"/>
      <c r="BC160" s="214"/>
      <c r="BD160" s="214"/>
      <c r="BE160" s="214"/>
      <c r="BF160" s="214"/>
      <c r="BG160" s="657"/>
      <c r="BH160" s="214"/>
      <c r="BJ160" s="214"/>
      <c r="BK160" s="214"/>
      <c r="BL160" s="214"/>
      <c r="BM160" s="214"/>
      <c r="BN160" s="214"/>
      <c r="BO160" s="214"/>
      <c r="BP160" s="214"/>
      <c r="BQ160" s="214"/>
      <c r="BR160" s="214"/>
      <c r="BS160" s="214"/>
    </row>
    <row r="161" spans="1:71" s="630" customFormat="1" x14ac:dyDescent="0.25">
      <c r="A161" s="214"/>
      <c r="B161" s="214"/>
      <c r="C161" s="214"/>
      <c r="D161" s="214"/>
      <c r="E161" s="214"/>
      <c r="F161" s="214"/>
      <c r="G161" s="214"/>
      <c r="H161" s="214"/>
      <c r="I161" s="214"/>
      <c r="J161" s="214"/>
      <c r="K161" s="214"/>
      <c r="L161" s="214"/>
      <c r="M161" s="214"/>
      <c r="N161" s="214"/>
      <c r="O161" s="214"/>
      <c r="P161" s="214"/>
      <c r="Q161" s="657"/>
      <c r="R161" s="214"/>
      <c r="S161" s="214"/>
      <c r="T161" s="214"/>
      <c r="U161" s="214"/>
      <c r="V161" s="214"/>
      <c r="W161" s="214"/>
      <c r="X161" s="214"/>
      <c r="Y161" s="214"/>
      <c r="Z161" s="214"/>
      <c r="AA161" s="214"/>
      <c r="AB161" s="214"/>
      <c r="AC161" s="214"/>
      <c r="AD161" s="214"/>
      <c r="AE161" s="214"/>
      <c r="AF161" s="214"/>
      <c r="AG161" s="657"/>
      <c r="AH161" s="214"/>
      <c r="AI161" s="214"/>
      <c r="AJ161" s="214"/>
      <c r="AK161" s="214"/>
      <c r="AL161" s="214"/>
      <c r="AM161" s="214"/>
      <c r="AN161" s="214"/>
      <c r="AO161" s="214"/>
      <c r="AP161" s="214"/>
      <c r="AQ161" s="214"/>
      <c r="AR161" s="214"/>
      <c r="AS161" s="214"/>
      <c r="AT161" s="214"/>
      <c r="AU161" s="214"/>
      <c r="AV161" s="214"/>
      <c r="AW161" s="214"/>
      <c r="AX161" s="214"/>
      <c r="AY161" s="214"/>
      <c r="AZ161" s="628"/>
      <c r="BA161" s="214"/>
      <c r="BB161" s="214"/>
      <c r="BC161" s="214"/>
      <c r="BD161" s="214"/>
      <c r="BE161" s="214"/>
      <c r="BF161" s="214"/>
      <c r="BG161" s="657"/>
      <c r="BH161" s="214"/>
      <c r="BJ161" s="214"/>
      <c r="BK161" s="214"/>
      <c r="BL161" s="214"/>
      <c r="BM161" s="214"/>
      <c r="BN161" s="214"/>
      <c r="BO161" s="214"/>
      <c r="BP161" s="214"/>
      <c r="BQ161" s="214"/>
      <c r="BR161" s="214"/>
      <c r="BS161" s="214"/>
    </row>
    <row r="162" spans="1:71" s="630" customFormat="1" x14ac:dyDescent="0.25">
      <c r="A162" s="214"/>
      <c r="B162" s="214"/>
      <c r="C162" s="214"/>
      <c r="D162" s="214"/>
      <c r="E162" s="214"/>
      <c r="F162" s="214"/>
      <c r="G162" s="214"/>
      <c r="H162" s="214"/>
      <c r="I162" s="214"/>
      <c r="J162" s="214"/>
      <c r="K162" s="214"/>
      <c r="L162" s="214"/>
      <c r="M162" s="214"/>
      <c r="N162" s="214"/>
      <c r="O162" s="214"/>
      <c r="P162" s="214"/>
      <c r="Q162" s="657"/>
      <c r="R162" s="214"/>
      <c r="S162" s="214"/>
      <c r="T162" s="214"/>
      <c r="U162" s="214"/>
      <c r="V162" s="214"/>
      <c r="W162" s="214"/>
      <c r="X162" s="214"/>
      <c r="Y162" s="214"/>
      <c r="Z162" s="214"/>
      <c r="AA162" s="214"/>
      <c r="AB162" s="214"/>
      <c r="AC162" s="214"/>
      <c r="AD162" s="214"/>
      <c r="AE162" s="214"/>
      <c r="AF162" s="214"/>
      <c r="AG162" s="657"/>
      <c r="AH162" s="214"/>
      <c r="AI162" s="214"/>
      <c r="AJ162" s="214"/>
      <c r="AK162" s="214"/>
      <c r="AL162" s="214"/>
      <c r="AM162" s="214"/>
      <c r="AN162" s="214"/>
      <c r="AO162" s="214"/>
      <c r="AP162" s="214"/>
      <c r="AQ162" s="214"/>
      <c r="AR162" s="214"/>
      <c r="AS162" s="214"/>
      <c r="AT162" s="214"/>
      <c r="AU162" s="214"/>
      <c r="AV162" s="214"/>
      <c r="AW162" s="214"/>
      <c r="AX162" s="214"/>
      <c r="AY162" s="214"/>
      <c r="AZ162" s="628"/>
      <c r="BA162" s="214"/>
      <c r="BB162" s="214"/>
      <c r="BC162" s="214"/>
      <c r="BD162" s="214"/>
      <c r="BE162" s="214"/>
      <c r="BF162" s="214"/>
      <c r="BG162" s="657"/>
      <c r="BH162" s="214"/>
      <c r="BJ162" s="214"/>
      <c r="BK162" s="214"/>
      <c r="BL162" s="214"/>
      <c r="BM162" s="214"/>
      <c r="BN162" s="214"/>
      <c r="BO162" s="214"/>
      <c r="BP162" s="214"/>
      <c r="BQ162" s="214"/>
      <c r="BR162" s="214"/>
      <c r="BS162" s="214"/>
    </row>
    <row r="163" spans="1:71" s="630" customFormat="1" x14ac:dyDescent="0.25">
      <c r="A163" s="214"/>
      <c r="B163" s="214"/>
      <c r="C163" s="214"/>
      <c r="D163" s="214"/>
      <c r="E163" s="214"/>
      <c r="F163" s="214"/>
      <c r="G163" s="214"/>
      <c r="H163" s="214"/>
      <c r="I163" s="214"/>
      <c r="J163" s="214"/>
      <c r="K163" s="214"/>
      <c r="L163" s="214"/>
      <c r="M163" s="214"/>
      <c r="N163" s="214"/>
      <c r="O163" s="214"/>
      <c r="P163" s="214"/>
      <c r="Q163" s="657"/>
      <c r="R163" s="214"/>
      <c r="S163" s="214"/>
      <c r="T163" s="214"/>
      <c r="U163" s="214"/>
      <c r="V163" s="214"/>
      <c r="W163" s="214"/>
      <c r="X163" s="214"/>
      <c r="Y163" s="214"/>
      <c r="Z163" s="214"/>
      <c r="AA163" s="214"/>
      <c r="AB163" s="214"/>
      <c r="AC163" s="214"/>
      <c r="AD163" s="214"/>
      <c r="AE163" s="214"/>
      <c r="AF163" s="214"/>
      <c r="AG163" s="657"/>
      <c r="AH163" s="214"/>
      <c r="AI163" s="214"/>
      <c r="AJ163" s="214"/>
      <c r="AK163" s="214"/>
      <c r="AL163" s="214"/>
      <c r="AM163" s="214"/>
      <c r="AN163" s="214"/>
      <c r="AO163" s="214"/>
      <c r="AP163" s="214"/>
      <c r="AQ163" s="214"/>
      <c r="AR163" s="214"/>
      <c r="AS163" s="214"/>
      <c r="AT163" s="214"/>
      <c r="AU163" s="214"/>
      <c r="AV163" s="214"/>
      <c r="AW163" s="214"/>
      <c r="AX163" s="214"/>
      <c r="AY163" s="214"/>
      <c r="AZ163" s="628"/>
      <c r="BA163" s="214"/>
      <c r="BB163" s="214"/>
      <c r="BC163" s="214"/>
      <c r="BD163" s="214"/>
      <c r="BE163" s="214"/>
      <c r="BF163" s="214"/>
      <c r="BG163" s="657"/>
      <c r="BH163" s="214"/>
      <c r="BJ163" s="214"/>
      <c r="BK163" s="214"/>
      <c r="BL163" s="214"/>
      <c r="BM163" s="214"/>
      <c r="BN163" s="214"/>
      <c r="BO163" s="214"/>
      <c r="BP163" s="214"/>
      <c r="BQ163" s="214"/>
      <c r="BR163" s="214"/>
      <c r="BS163" s="214"/>
    </row>
    <row r="164" spans="1:71" s="630" customFormat="1" x14ac:dyDescent="0.25">
      <c r="A164" s="214"/>
      <c r="B164" s="214"/>
      <c r="C164" s="214"/>
      <c r="D164" s="214"/>
      <c r="E164" s="214"/>
      <c r="F164" s="214"/>
      <c r="G164" s="214"/>
      <c r="H164" s="214"/>
      <c r="I164" s="214"/>
      <c r="J164" s="214"/>
      <c r="K164" s="214"/>
      <c r="L164" s="214"/>
      <c r="M164" s="214"/>
      <c r="N164" s="214"/>
      <c r="O164" s="214"/>
      <c r="P164" s="214"/>
      <c r="Q164" s="657"/>
      <c r="R164" s="214"/>
      <c r="S164" s="214"/>
      <c r="T164" s="214"/>
      <c r="U164" s="214"/>
      <c r="V164" s="214"/>
      <c r="W164" s="214"/>
      <c r="X164" s="214"/>
      <c r="Y164" s="214"/>
      <c r="Z164" s="214"/>
      <c r="AA164" s="214"/>
      <c r="AB164" s="214"/>
      <c r="AC164" s="214"/>
      <c r="AD164" s="214"/>
      <c r="AE164" s="214"/>
      <c r="AF164" s="214"/>
      <c r="AG164" s="657"/>
      <c r="AH164" s="214"/>
      <c r="AI164" s="214"/>
      <c r="AJ164" s="214"/>
      <c r="AK164" s="214"/>
      <c r="AL164" s="214"/>
      <c r="AM164" s="214"/>
      <c r="AN164" s="214"/>
      <c r="AO164" s="214"/>
      <c r="AP164" s="214"/>
      <c r="AQ164" s="214"/>
      <c r="AR164" s="214"/>
      <c r="AS164" s="214"/>
      <c r="AT164" s="214"/>
      <c r="AU164" s="214"/>
      <c r="AV164" s="214"/>
      <c r="AW164" s="214"/>
      <c r="AX164" s="214"/>
      <c r="AY164" s="214"/>
      <c r="AZ164" s="628"/>
      <c r="BA164" s="214"/>
      <c r="BB164" s="214"/>
      <c r="BC164" s="214"/>
      <c r="BD164" s="214"/>
      <c r="BE164" s="214"/>
      <c r="BF164" s="214"/>
      <c r="BG164" s="657"/>
      <c r="BH164" s="214"/>
      <c r="BJ164" s="214"/>
      <c r="BK164" s="214"/>
      <c r="BL164" s="214"/>
      <c r="BM164" s="214"/>
      <c r="BN164" s="214"/>
      <c r="BO164" s="214"/>
      <c r="BP164" s="214"/>
      <c r="BQ164" s="214"/>
      <c r="BR164" s="214"/>
      <c r="BS164" s="214"/>
    </row>
    <row r="165" spans="1:71" s="630" customFormat="1" x14ac:dyDescent="0.25">
      <c r="A165" s="214"/>
      <c r="B165" s="214"/>
      <c r="C165" s="214"/>
      <c r="D165" s="214"/>
      <c r="E165" s="214"/>
      <c r="F165" s="214"/>
      <c r="G165" s="214"/>
      <c r="H165" s="214"/>
      <c r="I165" s="214"/>
      <c r="J165" s="214"/>
      <c r="K165" s="214"/>
      <c r="L165" s="214"/>
      <c r="M165" s="214"/>
      <c r="N165" s="214"/>
      <c r="O165" s="214"/>
      <c r="P165" s="214"/>
      <c r="Q165" s="657"/>
      <c r="R165" s="214"/>
      <c r="S165" s="214"/>
      <c r="T165" s="214"/>
      <c r="U165" s="214"/>
      <c r="V165" s="214"/>
      <c r="W165" s="214"/>
      <c r="X165" s="214"/>
      <c r="Y165" s="214"/>
      <c r="Z165" s="214"/>
      <c r="AA165" s="214"/>
      <c r="AB165" s="214"/>
      <c r="AC165" s="214"/>
      <c r="AD165" s="214"/>
      <c r="AE165" s="214"/>
      <c r="AF165" s="214"/>
      <c r="AG165" s="657"/>
      <c r="AH165" s="214"/>
      <c r="AI165" s="214"/>
      <c r="AJ165" s="214"/>
      <c r="AK165" s="214"/>
      <c r="AL165" s="214"/>
      <c r="AM165" s="214"/>
      <c r="AN165" s="214"/>
      <c r="AO165" s="214"/>
      <c r="AP165" s="214"/>
      <c r="AQ165" s="214"/>
      <c r="AR165" s="214"/>
      <c r="AS165" s="214"/>
      <c r="AT165" s="214"/>
      <c r="AU165" s="214"/>
      <c r="AV165" s="214"/>
      <c r="AW165" s="214"/>
      <c r="AX165" s="214"/>
      <c r="AY165" s="214"/>
      <c r="AZ165" s="628"/>
      <c r="BA165" s="214"/>
      <c r="BB165" s="214"/>
      <c r="BC165" s="214"/>
      <c r="BD165" s="214"/>
      <c r="BE165" s="214"/>
      <c r="BF165" s="214"/>
      <c r="BG165" s="657"/>
      <c r="BH165" s="214"/>
      <c r="BJ165" s="214"/>
      <c r="BK165" s="214"/>
      <c r="BL165" s="214"/>
      <c r="BM165" s="214"/>
      <c r="BN165" s="214"/>
      <c r="BO165" s="214"/>
      <c r="BP165" s="214"/>
      <c r="BQ165" s="214"/>
      <c r="BR165" s="214"/>
      <c r="BS165" s="214"/>
    </row>
    <row r="166" spans="1:71" s="630" customFormat="1" x14ac:dyDescent="0.25">
      <c r="A166" s="214"/>
      <c r="B166" s="214"/>
      <c r="C166" s="214"/>
      <c r="D166" s="214"/>
      <c r="E166" s="214"/>
      <c r="F166" s="214"/>
      <c r="G166" s="214"/>
      <c r="H166" s="214"/>
      <c r="I166" s="214"/>
      <c r="J166" s="214"/>
      <c r="K166" s="214"/>
      <c r="L166" s="214"/>
      <c r="M166" s="214"/>
      <c r="N166" s="214"/>
      <c r="O166" s="214"/>
      <c r="P166" s="214"/>
      <c r="Q166" s="657"/>
      <c r="R166" s="214"/>
      <c r="S166" s="214"/>
      <c r="T166" s="214"/>
      <c r="U166" s="214"/>
      <c r="V166" s="214"/>
      <c r="W166" s="214"/>
      <c r="X166" s="214"/>
      <c r="Y166" s="214"/>
      <c r="Z166" s="214"/>
      <c r="AA166" s="214"/>
      <c r="AB166" s="214"/>
      <c r="AC166" s="214"/>
      <c r="AD166" s="214"/>
      <c r="AE166" s="214"/>
      <c r="AF166" s="214"/>
      <c r="AG166" s="657"/>
      <c r="AH166" s="214"/>
      <c r="AI166" s="214"/>
      <c r="AJ166" s="214"/>
      <c r="AK166" s="214"/>
      <c r="AL166" s="214"/>
      <c r="AM166" s="214"/>
      <c r="AN166" s="214"/>
      <c r="AO166" s="214"/>
      <c r="AP166" s="214"/>
      <c r="AQ166" s="214"/>
      <c r="AR166" s="214"/>
      <c r="AS166" s="214"/>
      <c r="AT166" s="214"/>
      <c r="AU166" s="214"/>
      <c r="AV166" s="214"/>
      <c r="AW166" s="214"/>
      <c r="AX166" s="214"/>
      <c r="AY166" s="214"/>
      <c r="AZ166" s="628"/>
      <c r="BA166" s="214"/>
      <c r="BB166" s="214"/>
      <c r="BC166" s="214"/>
      <c r="BD166" s="214"/>
      <c r="BE166" s="214"/>
      <c r="BF166" s="214"/>
      <c r="BG166" s="657"/>
      <c r="BH166" s="214"/>
      <c r="BJ166" s="214"/>
      <c r="BK166" s="214"/>
      <c r="BL166" s="214"/>
      <c r="BM166" s="214"/>
      <c r="BN166" s="214"/>
      <c r="BO166" s="214"/>
      <c r="BP166" s="214"/>
      <c r="BQ166" s="214"/>
      <c r="BR166" s="214"/>
      <c r="BS166" s="214"/>
    </row>
    <row r="167" spans="1:71" s="630" customFormat="1" x14ac:dyDescent="0.25">
      <c r="A167" s="214"/>
      <c r="B167" s="214"/>
      <c r="C167" s="214"/>
      <c r="D167" s="214"/>
      <c r="E167" s="214"/>
      <c r="F167" s="214"/>
      <c r="G167" s="214"/>
      <c r="H167" s="214"/>
      <c r="I167" s="214"/>
      <c r="J167" s="214"/>
      <c r="K167" s="214"/>
      <c r="L167" s="214"/>
      <c r="M167" s="214"/>
      <c r="N167" s="214"/>
      <c r="O167" s="214"/>
      <c r="P167" s="214"/>
      <c r="Q167" s="657"/>
      <c r="R167" s="214"/>
      <c r="S167" s="214"/>
      <c r="T167" s="214"/>
      <c r="U167" s="214"/>
      <c r="V167" s="214"/>
      <c r="W167" s="214"/>
      <c r="X167" s="214"/>
      <c r="Y167" s="214"/>
      <c r="Z167" s="214"/>
      <c r="AA167" s="214"/>
      <c r="AB167" s="214"/>
      <c r="AC167" s="214"/>
      <c r="AD167" s="214"/>
      <c r="AE167" s="214"/>
      <c r="AF167" s="214"/>
      <c r="AG167" s="657"/>
      <c r="AH167" s="214"/>
      <c r="AI167" s="214"/>
      <c r="AJ167" s="214"/>
      <c r="AK167" s="214"/>
      <c r="AL167" s="214"/>
      <c r="AM167" s="214"/>
      <c r="AN167" s="214"/>
      <c r="AO167" s="214"/>
      <c r="AP167" s="214"/>
      <c r="AQ167" s="214"/>
      <c r="AR167" s="214"/>
      <c r="AS167" s="214"/>
      <c r="AT167" s="214"/>
      <c r="AU167" s="214"/>
      <c r="AV167" s="214"/>
      <c r="AW167" s="214"/>
      <c r="AX167" s="214"/>
      <c r="AY167" s="214"/>
      <c r="AZ167" s="628"/>
      <c r="BA167" s="214"/>
      <c r="BB167" s="214"/>
      <c r="BC167" s="214"/>
      <c r="BD167" s="214"/>
      <c r="BE167" s="214"/>
      <c r="BF167" s="214"/>
      <c r="BG167" s="657"/>
      <c r="BH167" s="214"/>
      <c r="BJ167" s="214"/>
      <c r="BK167" s="214"/>
      <c r="BL167" s="214"/>
      <c r="BM167" s="214"/>
      <c r="BN167" s="214"/>
      <c r="BO167" s="214"/>
      <c r="BP167" s="214"/>
      <c r="BQ167" s="214"/>
      <c r="BR167" s="214"/>
      <c r="BS167" s="214"/>
    </row>
    <row r="168" spans="1:71" s="630" customFormat="1" x14ac:dyDescent="0.25">
      <c r="A168" s="214"/>
      <c r="B168" s="214"/>
      <c r="C168" s="214"/>
      <c r="D168" s="214"/>
      <c r="E168" s="214"/>
      <c r="F168" s="214"/>
      <c r="G168" s="214"/>
      <c r="H168" s="214"/>
      <c r="I168" s="214"/>
      <c r="J168" s="214"/>
      <c r="K168" s="214"/>
      <c r="L168" s="214"/>
      <c r="M168" s="214"/>
      <c r="N168" s="214"/>
      <c r="O168" s="214"/>
      <c r="P168" s="214"/>
      <c r="Q168" s="657"/>
      <c r="R168" s="214"/>
      <c r="S168" s="214"/>
      <c r="T168" s="214"/>
      <c r="U168" s="214"/>
      <c r="V168" s="214"/>
      <c r="W168" s="214"/>
      <c r="X168" s="214"/>
      <c r="Y168" s="214"/>
      <c r="Z168" s="214"/>
      <c r="AA168" s="214"/>
      <c r="AB168" s="214"/>
      <c r="AC168" s="214"/>
      <c r="AD168" s="214"/>
      <c r="AE168" s="214"/>
      <c r="AF168" s="214"/>
      <c r="AG168" s="657"/>
      <c r="AH168" s="214"/>
      <c r="AI168" s="214"/>
      <c r="AJ168" s="214"/>
      <c r="AK168" s="214"/>
      <c r="AL168" s="214"/>
      <c r="AM168" s="214"/>
      <c r="AN168" s="214"/>
      <c r="AO168" s="214"/>
      <c r="AP168" s="214"/>
      <c r="AQ168" s="214"/>
      <c r="AR168" s="214"/>
      <c r="AS168" s="214"/>
      <c r="AT168" s="214"/>
      <c r="AU168" s="214"/>
      <c r="AV168" s="214"/>
      <c r="AW168" s="214"/>
      <c r="AX168" s="214"/>
      <c r="AY168" s="214"/>
      <c r="AZ168" s="628"/>
      <c r="BA168" s="214"/>
      <c r="BB168" s="214"/>
      <c r="BC168" s="214"/>
      <c r="BD168" s="214"/>
      <c r="BE168" s="214"/>
      <c r="BF168" s="214"/>
      <c r="BG168" s="657"/>
      <c r="BH168" s="214"/>
      <c r="BJ168" s="214"/>
      <c r="BK168" s="214"/>
      <c r="BL168" s="214"/>
      <c r="BM168" s="214"/>
      <c r="BN168" s="214"/>
      <c r="BO168" s="214"/>
      <c r="BP168" s="214"/>
      <c r="BQ168" s="214"/>
      <c r="BR168" s="214"/>
      <c r="BS168" s="214"/>
    </row>
    <row r="169" spans="1:71" s="630" customFormat="1" x14ac:dyDescent="0.25">
      <c r="A169" s="214"/>
      <c r="B169" s="214"/>
      <c r="C169" s="214"/>
      <c r="D169" s="214"/>
      <c r="E169" s="214"/>
      <c r="F169" s="214"/>
      <c r="G169" s="214"/>
      <c r="H169" s="214"/>
      <c r="I169" s="214"/>
      <c r="J169" s="214"/>
      <c r="K169" s="214"/>
      <c r="L169" s="214"/>
      <c r="M169" s="214"/>
      <c r="N169" s="214"/>
      <c r="O169" s="214"/>
      <c r="P169" s="214"/>
      <c r="Q169" s="657"/>
      <c r="R169" s="214"/>
      <c r="S169" s="214"/>
      <c r="T169" s="214"/>
      <c r="U169" s="214"/>
      <c r="V169" s="214"/>
      <c r="W169" s="214"/>
      <c r="X169" s="214"/>
      <c r="Y169" s="214"/>
      <c r="Z169" s="214"/>
      <c r="AA169" s="214"/>
      <c r="AB169" s="214"/>
      <c r="AC169" s="214"/>
      <c r="AD169" s="214"/>
      <c r="AE169" s="214"/>
      <c r="AF169" s="214"/>
      <c r="AG169" s="657"/>
      <c r="AH169" s="214"/>
      <c r="AI169" s="214"/>
      <c r="AJ169" s="214"/>
      <c r="AK169" s="214"/>
      <c r="AL169" s="214"/>
      <c r="AM169" s="214"/>
      <c r="AN169" s="214"/>
      <c r="AO169" s="214"/>
      <c r="AP169" s="214"/>
      <c r="AQ169" s="214"/>
      <c r="AR169" s="214"/>
      <c r="AS169" s="214"/>
      <c r="AT169" s="214"/>
      <c r="AU169" s="214"/>
      <c r="AV169" s="214"/>
      <c r="AW169" s="214"/>
      <c r="AX169" s="214"/>
      <c r="AY169" s="214"/>
      <c r="AZ169" s="628"/>
      <c r="BA169" s="214"/>
      <c r="BB169" s="214"/>
      <c r="BC169" s="214"/>
      <c r="BD169" s="214"/>
      <c r="BE169" s="214"/>
      <c r="BF169" s="214"/>
      <c r="BG169" s="657"/>
      <c r="BH169" s="214"/>
      <c r="BJ169" s="214"/>
      <c r="BK169" s="214"/>
      <c r="BL169" s="214"/>
      <c r="BM169" s="214"/>
      <c r="BN169" s="214"/>
      <c r="BO169" s="214"/>
      <c r="BP169" s="214"/>
      <c r="BQ169" s="214"/>
      <c r="BR169" s="214"/>
      <c r="BS169" s="214"/>
    </row>
    <row r="170" spans="1:71" s="630" customFormat="1" x14ac:dyDescent="0.25">
      <c r="A170" s="214"/>
      <c r="B170" s="214"/>
      <c r="C170" s="214"/>
      <c r="D170" s="214"/>
      <c r="E170" s="214"/>
      <c r="F170" s="214"/>
      <c r="G170" s="214"/>
      <c r="H170" s="214"/>
      <c r="I170" s="214"/>
      <c r="J170" s="214"/>
      <c r="K170" s="214"/>
      <c r="L170" s="214"/>
      <c r="M170" s="214"/>
      <c r="N170" s="214"/>
      <c r="O170" s="214"/>
      <c r="P170" s="214"/>
      <c r="Q170" s="657"/>
      <c r="R170" s="214"/>
      <c r="S170" s="214"/>
      <c r="T170" s="214"/>
      <c r="U170" s="214"/>
      <c r="V170" s="214"/>
      <c r="W170" s="214"/>
      <c r="X170" s="214"/>
      <c r="Y170" s="214"/>
      <c r="Z170" s="214"/>
      <c r="AA170" s="214"/>
      <c r="AB170" s="214"/>
      <c r="AC170" s="214"/>
      <c r="AD170" s="214"/>
      <c r="AE170" s="214"/>
      <c r="AF170" s="214"/>
      <c r="AG170" s="657"/>
      <c r="AH170" s="214"/>
      <c r="AI170" s="214"/>
      <c r="AJ170" s="214"/>
      <c r="AK170" s="214"/>
      <c r="AL170" s="214"/>
      <c r="AM170" s="214"/>
      <c r="AN170" s="214"/>
      <c r="AO170" s="214"/>
      <c r="AP170" s="214"/>
      <c r="AQ170" s="214"/>
      <c r="AR170" s="214"/>
      <c r="AS170" s="214"/>
      <c r="AT170" s="214"/>
      <c r="AU170" s="214"/>
      <c r="AV170" s="214"/>
      <c r="AW170" s="214"/>
      <c r="AX170" s="214"/>
      <c r="AY170" s="214"/>
      <c r="AZ170" s="628"/>
      <c r="BA170" s="214"/>
      <c r="BB170" s="214"/>
      <c r="BC170" s="214"/>
      <c r="BD170" s="214"/>
      <c r="BE170" s="214"/>
      <c r="BF170" s="214"/>
      <c r="BG170" s="657"/>
      <c r="BH170" s="214"/>
      <c r="BJ170" s="214"/>
      <c r="BK170" s="214"/>
      <c r="BL170" s="214"/>
      <c r="BM170" s="214"/>
      <c r="BN170" s="214"/>
      <c r="BO170" s="214"/>
      <c r="BP170" s="214"/>
      <c r="BQ170" s="214"/>
      <c r="BR170" s="214"/>
      <c r="BS170" s="214"/>
    </row>
    <row r="171" spans="1:71" s="630" customFormat="1" x14ac:dyDescent="0.25">
      <c r="A171" s="214"/>
      <c r="B171" s="214"/>
      <c r="C171" s="214"/>
      <c r="D171" s="214"/>
      <c r="E171" s="214"/>
      <c r="F171" s="214"/>
      <c r="G171" s="214"/>
      <c r="H171" s="214"/>
      <c r="I171" s="214"/>
      <c r="J171" s="214"/>
      <c r="K171" s="214"/>
      <c r="L171" s="214"/>
      <c r="M171" s="214"/>
      <c r="N171" s="214"/>
      <c r="O171" s="214"/>
      <c r="P171" s="214"/>
      <c r="Q171" s="657"/>
      <c r="R171" s="214"/>
      <c r="S171" s="214"/>
      <c r="T171" s="214"/>
      <c r="U171" s="214"/>
      <c r="V171" s="214"/>
      <c r="W171" s="214"/>
      <c r="X171" s="214"/>
      <c r="Y171" s="214"/>
      <c r="Z171" s="214"/>
      <c r="AA171" s="214"/>
      <c r="AB171" s="214"/>
      <c r="AC171" s="214"/>
      <c r="AD171" s="214"/>
      <c r="AE171" s="214"/>
      <c r="AF171" s="214"/>
      <c r="AG171" s="657"/>
      <c r="AH171" s="214"/>
      <c r="AI171" s="214"/>
      <c r="AJ171" s="214"/>
      <c r="AK171" s="214"/>
      <c r="AL171" s="214"/>
      <c r="AM171" s="214"/>
      <c r="AN171" s="214"/>
      <c r="AO171" s="214"/>
      <c r="AP171" s="214"/>
      <c r="AQ171" s="214"/>
      <c r="AR171" s="214"/>
      <c r="AS171" s="214"/>
      <c r="AT171" s="214"/>
      <c r="AU171" s="214"/>
      <c r="AV171" s="214"/>
      <c r="AW171" s="214"/>
      <c r="AX171" s="214"/>
      <c r="AY171" s="214"/>
      <c r="AZ171" s="628"/>
      <c r="BA171" s="214"/>
      <c r="BB171" s="214"/>
      <c r="BC171" s="214"/>
      <c r="BD171" s="214"/>
      <c r="BE171" s="214"/>
      <c r="BF171" s="214"/>
      <c r="BG171" s="657"/>
      <c r="BH171" s="214"/>
      <c r="BJ171" s="214"/>
      <c r="BK171" s="214"/>
      <c r="BL171" s="214"/>
      <c r="BM171" s="214"/>
      <c r="BN171" s="214"/>
      <c r="BO171" s="214"/>
      <c r="BP171" s="214"/>
      <c r="BQ171" s="214"/>
      <c r="BR171" s="214"/>
      <c r="BS171" s="214"/>
    </row>
    <row r="172" spans="1:71" s="630" customFormat="1" x14ac:dyDescent="0.25">
      <c r="A172" s="214"/>
      <c r="B172" s="214"/>
      <c r="C172" s="214"/>
      <c r="D172" s="214"/>
      <c r="E172" s="214"/>
      <c r="F172" s="214"/>
      <c r="G172" s="214"/>
      <c r="H172" s="214"/>
      <c r="I172" s="214"/>
      <c r="J172" s="214"/>
      <c r="K172" s="214"/>
      <c r="L172" s="214"/>
      <c r="M172" s="214"/>
      <c r="N172" s="214"/>
      <c r="O172" s="214"/>
      <c r="P172" s="214"/>
      <c r="Q172" s="657"/>
      <c r="R172" s="214"/>
      <c r="S172" s="214"/>
      <c r="T172" s="214"/>
      <c r="U172" s="214"/>
      <c r="V172" s="214"/>
      <c r="W172" s="214"/>
      <c r="X172" s="214"/>
      <c r="Y172" s="214"/>
      <c r="Z172" s="214"/>
      <c r="AA172" s="214"/>
      <c r="AB172" s="214"/>
      <c r="AC172" s="214"/>
      <c r="AD172" s="214"/>
      <c r="AE172" s="214"/>
      <c r="AF172" s="214"/>
      <c r="AG172" s="657"/>
      <c r="AH172" s="214"/>
      <c r="AI172" s="214"/>
      <c r="AJ172" s="214"/>
      <c r="AK172" s="214"/>
      <c r="AL172" s="214"/>
      <c r="AM172" s="214"/>
      <c r="AN172" s="214"/>
      <c r="AO172" s="214"/>
      <c r="AP172" s="214"/>
      <c r="AQ172" s="214"/>
      <c r="AR172" s="214"/>
      <c r="AS172" s="214"/>
      <c r="AT172" s="214"/>
      <c r="AU172" s="214"/>
      <c r="AV172" s="214"/>
      <c r="AW172" s="214"/>
      <c r="AX172" s="214"/>
      <c r="AY172" s="214"/>
      <c r="AZ172" s="628"/>
      <c r="BA172" s="214"/>
      <c r="BB172" s="214"/>
      <c r="BC172" s="214"/>
      <c r="BD172" s="214"/>
      <c r="BE172" s="214"/>
      <c r="BF172" s="214"/>
      <c r="BG172" s="657"/>
      <c r="BH172" s="214"/>
      <c r="BJ172" s="214"/>
      <c r="BK172" s="214"/>
      <c r="BL172" s="214"/>
      <c r="BM172" s="214"/>
      <c r="BN172" s="214"/>
      <c r="BO172" s="214"/>
      <c r="BP172" s="214"/>
      <c r="BQ172" s="214"/>
      <c r="BR172" s="214"/>
      <c r="BS172" s="214"/>
    </row>
    <row r="173" spans="1:71" s="630" customFormat="1" x14ac:dyDescent="0.25">
      <c r="A173" s="214"/>
      <c r="B173" s="214"/>
      <c r="C173" s="214"/>
      <c r="D173" s="214"/>
      <c r="E173" s="214"/>
      <c r="F173" s="214"/>
      <c r="G173" s="214"/>
      <c r="H173" s="214"/>
      <c r="I173" s="214"/>
      <c r="J173" s="214"/>
      <c r="K173" s="214"/>
      <c r="L173" s="214"/>
      <c r="M173" s="214"/>
      <c r="N173" s="214"/>
      <c r="O173" s="214"/>
      <c r="P173" s="214"/>
      <c r="Q173" s="657"/>
      <c r="R173" s="214"/>
      <c r="S173" s="214"/>
      <c r="T173" s="214"/>
      <c r="U173" s="214"/>
      <c r="V173" s="214"/>
      <c r="W173" s="214"/>
      <c r="X173" s="214"/>
      <c r="Y173" s="214"/>
      <c r="Z173" s="214"/>
      <c r="AA173" s="214"/>
      <c r="AB173" s="214"/>
      <c r="AC173" s="214"/>
      <c r="AD173" s="214"/>
      <c r="AE173" s="214"/>
      <c r="AF173" s="214"/>
      <c r="AG173" s="657"/>
      <c r="AH173" s="214"/>
      <c r="AI173" s="214"/>
      <c r="AJ173" s="214"/>
      <c r="AK173" s="214"/>
      <c r="AL173" s="214"/>
      <c r="AM173" s="214"/>
      <c r="AN173" s="214"/>
      <c r="AO173" s="214"/>
      <c r="AP173" s="214"/>
      <c r="AQ173" s="214"/>
      <c r="AR173" s="214"/>
      <c r="AS173" s="214"/>
      <c r="AT173" s="214"/>
      <c r="AU173" s="214"/>
      <c r="AV173" s="214"/>
      <c r="AW173" s="214"/>
      <c r="AX173" s="214"/>
      <c r="AY173" s="214"/>
      <c r="AZ173" s="628"/>
      <c r="BA173" s="214"/>
      <c r="BB173" s="214"/>
      <c r="BC173" s="214"/>
      <c r="BD173" s="214"/>
      <c r="BE173" s="214"/>
      <c r="BF173" s="214"/>
      <c r="BG173" s="657"/>
      <c r="BH173" s="214"/>
      <c r="BJ173" s="214"/>
      <c r="BK173" s="214"/>
      <c r="BL173" s="214"/>
      <c r="BM173" s="214"/>
      <c r="BN173" s="214"/>
      <c r="BO173" s="214"/>
      <c r="BP173" s="214"/>
      <c r="BQ173" s="214"/>
      <c r="BR173" s="214"/>
      <c r="BS173" s="214"/>
    </row>
    <row r="174" spans="1:71" s="630" customFormat="1" x14ac:dyDescent="0.25">
      <c r="A174" s="214"/>
      <c r="B174" s="214"/>
      <c r="C174" s="214"/>
      <c r="D174" s="214"/>
      <c r="E174" s="214"/>
      <c r="F174" s="214"/>
      <c r="G174" s="214"/>
      <c r="H174" s="214"/>
      <c r="I174" s="214"/>
      <c r="J174" s="214"/>
      <c r="K174" s="214"/>
      <c r="L174" s="214"/>
      <c r="M174" s="214"/>
      <c r="N174" s="214"/>
      <c r="O174" s="214"/>
      <c r="P174" s="214"/>
      <c r="Q174" s="657"/>
      <c r="R174" s="214"/>
      <c r="S174" s="214"/>
      <c r="T174" s="214"/>
      <c r="U174" s="214"/>
      <c r="V174" s="214"/>
      <c r="W174" s="214"/>
      <c r="X174" s="214"/>
      <c r="Y174" s="214"/>
      <c r="Z174" s="214"/>
      <c r="AA174" s="214"/>
      <c r="AB174" s="214"/>
      <c r="AC174" s="214"/>
      <c r="AD174" s="214"/>
      <c r="AE174" s="214"/>
      <c r="AF174" s="214"/>
      <c r="AG174" s="657"/>
      <c r="AH174" s="214"/>
      <c r="AI174" s="214"/>
      <c r="AJ174" s="214"/>
      <c r="AK174" s="214"/>
      <c r="AL174" s="214"/>
      <c r="AM174" s="214"/>
      <c r="AN174" s="214"/>
      <c r="AO174" s="214"/>
      <c r="AP174" s="214"/>
      <c r="AQ174" s="214"/>
      <c r="AR174" s="214"/>
      <c r="AS174" s="214"/>
      <c r="AT174" s="214"/>
      <c r="AU174" s="214"/>
      <c r="AV174" s="214"/>
      <c r="AW174" s="214"/>
      <c r="AX174" s="214"/>
      <c r="AY174" s="214"/>
      <c r="AZ174" s="628"/>
      <c r="BA174" s="214"/>
      <c r="BB174" s="214"/>
      <c r="BC174" s="214"/>
      <c r="BD174" s="214"/>
      <c r="BE174" s="214"/>
      <c r="BF174" s="214"/>
      <c r="BG174" s="657"/>
      <c r="BH174" s="214"/>
      <c r="BJ174" s="214"/>
      <c r="BK174" s="214"/>
      <c r="BL174" s="214"/>
      <c r="BM174" s="214"/>
      <c r="BN174" s="214"/>
      <c r="BO174" s="214"/>
      <c r="BP174" s="214"/>
      <c r="BQ174" s="214"/>
      <c r="BR174" s="214"/>
      <c r="BS174" s="214"/>
    </row>
    <row r="175" spans="1:71" s="630" customFormat="1" x14ac:dyDescent="0.25">
      <c r="A175" s="214"/>
      <c r="B175" s="214"/>
      <c r="C175" s="214"/>
      <c r="D175" s="214"/>
      <c r="E175" s="214"/>
      <c r="F175" s="214"/>
      <c r="G175" s="214"/>
      <c r="H175" s="214"/>
      <c r="I175" s="214"/>
      <c r="J175" s="214"/>
      <c r="K175" s="214"/>
      <c r="L175" s="214"/>
      <c r="M175" s="214"/>
      <c r="N175" s="214"/>
      <c r="O175" s="214"/>
      <c r="P175" s="214"/>
      <c r="Q175" s="657"/>
      <c r="R175" s="214"/>
      <c r="S175" s="214"/>
      <c r="T175" s="214"/>
      <c r="U175" s="214"/>
      <c r="V175" s="214"/>
      <c r="W175" s="214"/>
      <c r="X175" s="214"/>
      <c r="Y175" s="214"/>
      <c r="Z175" s="214"/>
      <c r="AA175" s="214"/>
      <c r="AB175" s="214"/>
      <c r="AC175" s="214"/>
      <c r="AD175" s="214"/>
      <c r="AE175" s="214"/>
      <c r="AF175" s="214"/>
      <c r="AG175" s="657"/>
      <c r="AH175" s="214"/>
      <c r="AI175" s="214"/>
      <c r="AJ175" s="214"/>
      <c r="AK175" s="214"/>
      <c r="AL175" s="214"/>
      <c r="AM175" s="214"/>
      <c r="AN175" s="214"/>
      <c r="AO175" s="214"/>
      <c r="AP175" s="214"/>
      <c r="AQ175" s="214"/>
      <c r="AR175" s="214"/>
      <c r="AS175" s="214"/>
      <c r="AT175" s="214"/>
      <c r="AU175" s="214"/>
      <c r="AV175" s="214"/>
      <c r="AW175" s="214"/>
      <c r="AX175" s="214"/>
      <c r="AY175" s="214"/>
      <c r="AZ175" s="628"/>
      <c r="BA175" s="214"/>
      <c r="BB175" s="214"/>
      <c r="BC175" s="214"/>
      <c r="BD175" s="214"/>
      <c r="BE175" s="214"/>
      <c r="BF175" s="214"/>
      <c r="BG175" s="657"/>
      <c r="BH175" s="214"/>
      <c r="BJ175" s="214"/>
      <c r="BK175" s="214"/>
      <c r="BL175" s="214"/>
      <c r="BM175" s="214"/>
      <c r="BN175" s="214"/>
      <c r="BO175" s="214"/>
      <c r="BP175" s="214"/>
      <c r="BQ175" s="214"/>
      <c r="BR175" s="214"/>
      <c r="BS175" s="214"/>
    </row>
    <row r="176" spans="1:71" s="630" customFormat="1" x14ac:dyDescent="0.25">
      <c r="A176" s="214"/>
      <c r="B176" s="214"/>
      <c r="C176" s="214"/>
      <c r="D176" s="214"/>
      <c r="E176" s="214"/>
      <c r="F176" s="214"/>
      <c r="G176" s="214"/>
      <c r="H176" s="214"/>
      <c r="I176" s="214"/>
      <c r="J176" s="214"/>
      <c r="K176" s="214"/>
      <c r="L176" s="214"/>
      <c r="M176" s="214"/>
      <c r="N176" s="214"/>
      <c r="O176" s="214"/>
      <c r="P176" s="214"/>
      <c r="Q176" s="657"/>
      <c r="R176" s="214"/>
      <c r="S176" s="214"/>
      <c r="T176" s="214"/>
      <c r="U176" s="214"/>
      <c r="V176" s="214"/>
      <c r="W176" s="214"/>
      <c r="X176" s="214"/>
      <c r="Y176" s="214"/>
      <c r="Z176" s="214"/>
      <c r="AA176" s="214"/>
      <c r="AB176" s="214"/>
      <c r="AC176" s="214"/>
      <c r="AD176" s="214"/>
      <c r="AE176" s="214"/>
      <c r="AF176" s="214"/>
      <c r="AG176" s="657"/>
      <c r="AH176" s="214"/>
      <c r="AI176" s="214"/>
      <c r="AJ176" s="214"/>
      <c r="AK176" s="214"/>
      <c r="AL176" s="214"/>
      <c r="AM176" s="214"/>
      <c r="AN176" s="214"/>
      <c r="AO176" s="214"/>
      <c r="AP176" s="214"/>
      <c r="AQ176" s="214"/>
      <c r="AR176" s="214"/>
      <c r="AS176" s="214"/>
      <c r="AT176" s="214"/>
      <c r="AU176" s="214"/>
      <c r="AV176" s="214"/>
      <c r="AW176" s="214"/>
      <c r="AX176" s="214"/>
      <c r="AY176" s="214"/>
      <c r="AZ176" s="628"/>
      <c r="BA176" s="214"/>
      <c r="BB176" s="214"/>
      <c r="BC176" s="214"/>
      <c r="BD176" s="214"/>
      <c r="BE176" s="214"/>
      <c r="BF176" s="214"/>
      <c r="BG176" s="657"/>
      <c r="BH176" s="214"/>
      <c r="BJ176" s="214"/>
      <c r="BK176" s="214"/>
      <c r="BL176" s="214"/>
      <c r="BM176" s="214"/>
      <c r="BN176" s="214"/>
      <c r="BO176" s="214"/>
      <c r="BP176" s="214"/>
      <c r="BQ176" s="214"/>
      <c r="BR176" s="214"/>
      <c r="BS176" s="214"/>
    </row>
    <row r="177" spans="1:71" s="630" customFormat="1" x14ac:dyDescent="0.25">
      <c r="A177" s="214"/>
      <c r="B177" s="214"/>
      <c r="C177" s="214"/>
      <c r="D177" s="214"/>
      <c r="E177" s="214"/>
      <c r="F177" s="214"/>
      <c r="G177" s="214"/>
      <c r="H177" s="214"/>
      <c r="I177" s="214"/>
      <c r="J177" s="214"/>
      <c r="K177" s="214"/>
      <c r="L177" s="214"/>
      <c r="M177" s="214"/>
      <c r="N177" s="214"/>
      <c r="O177" s="214"/>
      <c r="P177" s="214"/>
      <c r="Q177" s="657"/>
      <c r="R177" s="214"/>
      <c r="S177" s="214"/>
      <c r="T177" s="214"/>
      <c r="U177" s="214"/>
      <c r="V177" s="214"/>
      <c r="W177" s="214"/>
      <c r="X177" s="214"/>
      <c r="Y177" s="214"/>
      <c r="Z177" s="214"/>
      <c r="AA177" s="214"/>
      <c r="AB177" s="214"/>
      <c r="AC177" s="214"/>
      <c r="AD177" s="214"/>
      <c r="AE177" s="214"/>
      <c r="AF177" s="214"/>
      <c r="AG177" s="657"/>
      <c r="AH177" s="214"/>
      <c r="AI177" s="214"/>
      <c r="AJ177" s="214"/>
      <c r="AK177" s="214"/>
      <c r="AL177" s="214"/>
      <c r="AM177" s="214"/>
      <c r="AN177" s="214"/>
      <c r="AO177" s="214"/>
      <c r="AP177" s="214"/>
      <c r="AQ177" s="214"/>
      <c r="AR177" s="214"/>
      <c r="AS177" s="214"/>
      <c r="AT177" s="214"/>
      <c r="AU177" s="214"/>
      <c r="AV177" s="214"/>
      <c r="AW177" s="214"/>
      <c r="AX177" s="214"/>
      <c r="AY177" s="214"/>
      <c r="AZ177" s="628"/>
      <c r="BA177" s="214"/>
      <c r="BB177" s="214"/>
      <c r="BC177" s="214"/>
      <c r="BD177" s="214"/>
      <c r="BE177" s="214"/>
      <c r="BF177" s="214"/>
      <c r="BG177" s="657"/>
      <c r="BH177" s="214"/>
      <c r="BJ177" s="214"/>
      <c r="BK177" s="214"/>
      <c r="BL177" s="214"/>
      <c r="BM177" s="214"/>
      <c r="BN177" s="214"/>
      <c r="BO177" s="214"/>
      <c r="BP177" s="214"/>
      <c r="BQ177" s="214"/>
      <c r="BR177" s="214"/>
      <c r="BS177" s="214"/>
    </row>
    <row r="178" spans="1:71" s="630" customFormat="1" x14ac:dyDescent="0.25">
      <c r="A178" s="214"/>
      <c r="B178" s="214"/>
      <c r="C178" s="214"/>
      <c r="D178" s="214"/>
      <c r="E178" s="214"/>
      <c r="F178" s="214"/>
      <c r="G178" s="214"/>
      <c r="H178" s="214"/>
      <c r="I178" s="214"/>
      <c r="J178" s="214"/>
      <c r="K178" s="214"/>
      <c r="L178" s="214"/>
      <c r="M178" s="214"/>
      <c r="N178" s="214"/>
      <c r="O178" s="214"/>
      <c r="P178" s="214"/>
      <c r="Q178" s="657"/>
      <c r="R178" s="214"/>
      <c r="S178" s="214"/>
      <c r="T178" s="214"/>
      <c r="U178" s="214"/>
      <c r="V178" s="214"/>
      <c r="W178" s="214"/>
      <c r="X178" s="214"/>
      <c r="Y178" s="214"/>
      <c r="Z178" s="214"/>
      <c r="AA178" s="214"/>
      <c r="AB178" s="214"/>
      <c r="AC178" s="214"/>
      <c r="AD178" s="214"/>
      <c r="AE178" s="214"/>
      <c r="AF178" s="214"/>
      <c r="AG178" s="657"/>
      <c r="AH178" s="214"/>
      <c r="AI178" s="214"/>
      <c r="AJ178" s="214"/>
      <c r="AK178" s="214"/>
      <c r="AL178" s="214"/>
      <c r="AM178" s="214"/>
      <c r="AN178" s="214"/>
      <c r="AO178" s="214"/>
      <c r="AP178" s="214"/>
      <c r="AQ178" s="214"/>
      <c r="AR178" s="214"/>
      <c r="AS178" s="214"/>
      <c r="AT178" s="214"/>
      <c r="AU178" s="214"/>
      <c r="AV178" s="214"/>
      <c r="AW178" s="214"/>
      <c r="AX178" s="214"/>
      <c r="AY178" s="214"/>
      <c r="AZ178" s="628"/>
      <c r="BA178" s="214"/>
      <c r="BB178" s="214"/>
      <c r="BC178" s="214"/>
      <c r="BD178" s="214"/>
      <c r="BE178" s="214"/>
      <c r="BF178" s="214"/>
      <c r="BG178" s="657"/>
      <c r="BH178" s="214"/>
      <c r="BJ178" s="214"/>
      <c r="BK178" s="214"/>
      <c r="BL178" s="214"/>
      <c r="BM178" s="214"/>
      <c r="BN178" s="214"/>
      <c r="BO178" s="214"/>
      <c r="BP178" s="214"/>
      <c r="BQ178" s="214"/>
      <c r="BR178" s="214"/>
      <c r="BS178" s="214"/>
    </row>
    <row r="179" spans="1:71" s="630" customFormat="1" x14ac:dyDescent="0.25">
      <c r="A179" s="214"/>
      <c r="B179" s="214"/>
      <c r="C179" s="214"/>
      <c r="D179" s="214"/>
      <c r="E179" s="214"/>
      <c r="F179" s="214"/>
      <c r="G179" s="214"/>
      <c r="H179" s="214"/>
      <c r="I179" s="214"/>
      <c r="J179" s="214"/>
      <c r="K179" s="214"/>
      <c r="L179" s="214"/>
      <c r="M179" s="214"/>
      <c r="N179" s="214"/>
      <c r="O179" s="214"/>
      <c r="P179" s="214"/>
      <c r="Q179" s="657"/>
      <c r="R179" s="214"/>
      <c r="S179" s="214"/>
      <c r="T179" s="214"/>
      <c r="U179" s="214"/>
      <c r="V179" s="214"/>
      <c r="W179" s="214"/>
      <c r="X179" s="214"/>
      <c r="Y179" s="214"/>
      <c r="Z179" s="214"/>
      <c r="AA179" s="214"/>
      <c r="AB179" s="214"/>
      <c r="AC179" s="214"/>
      <c r="AD179" s="214"/>
      <c r="AE179" s="214"/>
      <c r="AF179" s="214"/>
      <c r="AG179" s="657"/>
      <c r="AH179" s="214"/>
      <c r="AI179" s="214"/>
      <c r="AJ179" s="214"/>
      <c r="AK179" s="214"/>
      <c r="AL179" s="214"/>
      <c r="AM179" s="214"/>
      <c r="AN179" s="214"/>
      <c r="AO179" s="214"/>
      <c r="AP179" s="214"/>
      <c r="AQ179" s="214"/>
      <c r="AR179" s="214"/>
      <c r="AS179" s="214"/>
      <c r="AT179" s="214"/>
      <c r="AU179" s="214"/>
      <c r="AV179" s="214"/>
      <c r="AW179" s="214"/>
      <c r="AX179" s="214"/>
      <c r="AY179" s="214"/>
      <c r="AZ179" s="628"/>
      <c r="BA179" s="214"/>
      <c r="BB179" s="214"/>
      <c r="BC179" s="214"/>
      <c r="BD179" s="214"/>
      <c r="BE179" s="214"/>
      <c r="BF179" s="214"/>
      <c r="BG179" s="657"/>
      <c r="BH179" s="214"/>
      <c r="BJ179" s="214"/>
      <c r="BK179" s="214"/>
      <c r="BL179" s="214"/>
      <c r="BM179" s="214"/>
      <c r="BN179" s="214"/>
      <c r="BO179" s="214"/>
      <c r="BP179" s="214"/>
      <c r="BQ179" s="214"/>
      <c r="BR179" s="214"/>
      <c r="BS179" s="214"/>
    </row>
    <row r="180" spans="1:71" s="630" customFormat="1" x14ac:dyDescent="0.25">
      <c r="A180" s="214"/>
      <c r="B180" s="214"/>
      <c r="C180" s="214"/>
      <c r="D180" s="214"/>
      <c r="E180" s="214"/>
      <c r="F180" s="214"/>
      <c r="G180" s="214"/>
      <c r="H180" s="214"/>
      <c r="I180" s="214"/>
      <c r="J180" s="214"/>
      <c r="K180" s="214"/>
      <c r="L180" s="214"/>
      <c r="M180" s="214"/>
      <c r="N180" s="214"/>
      <c r="O180" s="214"/>
      <c r="P180" s="214"/>
      <c r="Q180" s="657"/>
      <c r="R180" s="214"/>
      <c r="S180" s="214"/>
      <c r="T180" s="214"/>
      <c r="U180" s="214"/>
      <c r="V180" s="214"/>
      <c r="W180" s="214"/>
      <c r="X180" s="214"/>
      <c r="Y180" s="214"/>
      <c r="Z180" s="214"/>
      <c r="AA180" s="214"/>
      <c r="AB180" s="214"/>
      <c r="AC180" s="214"/>
      <c r="AD180" s="214"/>
      <c r="AE180" s="214"/>
      <c r="AF180" s="214"/>
      <c r="AG180" s="657"/>
      <c r="AH180" s="214"/>
      <c r="AI180" s="214"/>
      <c r="AJ180" s="214"/>
      <c r="AK180" s="214"/>
      <c r="AL180" s="214"/>
      <c r="AM180" s="214"/>
      <c r="AN180" s="214"/>
      <c r="AO180" s="214"/>
      <c r="AP180" s="214"/>
      <c r="AQ180" s="214"/>
      <c r="AR180" s="214"/>
      <c r="AS180" s="214"/>
      <c r="AT180" s="214"/>
      <c r="AU180" s="214"/>
      <c r="AV180" s="214"/>
      <c r="AW180" s="214"/>
      <c r="AX180" s="214"/>
      <c r="AY180" s="214"/>
      <c r="AZ180" s="628"/>
      <c r="BA180" s="214"/>
      <c r="BB180" s="214"/>
      <c r="BC180" s="214"/>
      <c r="BD180" s="214"/>
      <c r="BE180" s="214"/>
      <c r="BF180" s="214"/>
      <c r="BG180" s="657"/>
      <c r="BH180" s="214"/>
      <c r="BJ180" s="214"/>
      <c r="BK180" s="214"/>
      <c r="BL180" s="214"/>
      <c r="BM180" s="214"/>
      <c r="BN180" s="214"/>
      <c r="BO180" s="214"/>
      <c r="BP180" s="214"/>
      <c r="BQ180" s="214"/>
      <c r="BR180" s="214"/>
      <c r="BS180" s="214"/>
    </row>
    <row r="181" spans="1:71" s="630" customFormat="1" x14ac:dyDescent="0.25">
      <c r="A181" s="214"/>
      <c r="B181" s="214"/>
      <c r="C181" s="214"/>
      <c r="D181" s="214"/>
      <c r="E181" s="214"/>
      <c r="F181" s="214"/>
      <c r="G181" s="214"/>
      <c r="H181" s="214"/>
      <c r="I181" s="214"/>
      <c r="J181" s="214"/>
      <c r="K181" s="214"/>
      <c r="L181" s="214"/>
      <c r="M181" s="214"/>
      <c r="N181" s="214"/>
      <c r="O181" s="214"/>
      <c r="P181" s="214"/>
      <c r="Q181" s="657"/>
      <c r="R181" s="214"/>
      <c r="S181" s="214"/>
      <c r="T181" s="214"/>
      <c r="U181" s="214"/>
      <c r="V181" s="214"/>
      <c r="W181" s="214"/>
      <c r="X181" s="214"/>
      <c r="Y181" s="214"/>
      <c r="Z181" s="214"/>
      <c r="AA181" s="214"/>
      <c r="AB181" s="214"/>
      <c r="AC181" s="214"/>
      <c r="AD181" s="214"/>
      <c r="AE181" s="214"/>
      <c r="AF181" s="214"/>
      <c r="AG181" s="657"/>
      <c r="AH181" s="214"/>
      <c r="AI181" s="214"/>
      <c r="AJ181" s="214"/>
      <c r="AK181" s="214"/>
      <c r="AL181" s="214"/>
      <c r="AM181" s="214"/>
      <c r="AN181" s="214"/>
      <c r="AO181" s="214"/>
      <c r="AP181" s="214"/>
      <c r="AQ181" s="214"/>
      <c r="AR181" s="214"/>
      <c r="AS181" s="214"/>
      <c r="AT181" s="214"/>
      <c r="AU181" s="214"/>
      <c r="AV181" s="214"/>
      <c r="AW181" s="214"/>
      <c r="AX181" s="214"/>
      <c r="AY181" s="214"/>
      <c r="AZ181" s="628"/>
      <c r="BA181" s="214"/>
      <c r="BB181" s="214"/>
      <c r="BC181" s="214"/>
      <c r="BD181" s="214"/>
      <c r="BE181" s="214"/>
      <c r="BF181" s="214"/>
      <c r="BG181" s="657"/>
      <c r="BH181" s="214"/>
      <c r="BJ181" s="214"/>
      <c r="BK181" s="214"/>
      <c r="BL181" s="214"/>
      <c r="BM181" s="214"/>
      <c r="BN181" s="214"/>
      <c r="BO181" s="214"/>
      <c r="BP181" s="214"/>
      <c r="BQ181" s="214"/>
      <c r="BR181" s="214"/>
      <c r="BS181" s="214"/>
    </row>
    <row r="182" spans="1:71" s="630" customFormat="1" x14ac:dyDescent="0.25">
      <c r="A182" s="214"/>
      <c r="B182" s="214"/>
      <c r="C182" s="214"/>
      <c r="D182" s="214"/>
      <c r="E182" s="214"/>
      <c r="F182" s="214"/>
      <c r="G182" s="214"/>
      <c r="H182" s="214"/>
      <c r="I182" s="214"/>
      <c r="J182" s="214"/>
      <c r="K182" s="214"/>
      <c r="L182" s="214"/>
      <c r="M182" s="214"/>
      <c r="N182" s="214"/>
      <c r="O182" s="214"/>
      <c r="P182" s="214"/>
      <c r="Q182" s="657"/>
      <c r="R182" s="214"/>
      <c r="S182" s="214"/>
      <c r="T182" s="214"/>
      <c r="U182" s="214"/>
      <c r="V182" s="214"/>
      <c r="W182" s="214"/>
      <c r="X182" s="214"/>
      <c r="Y182" s="214"/>
      <c r="Z182" s="214"/>
      <c r="AA182" s="214"/>
      <c r="AB182" s="214"/>
      <c r="AC182" s="214"/>
      <c r="AD182" s="214"/>
      <c r="AE182" s="214"/>
      <c r="AF182" s="214"/>
      <c r="AG182" s="657"/>
      <c r="AH182" s="214"/>
      <c r="AI182" s="214"/>
      <c r="AJ182" s="214"/>
      <c r="AK182" s="214"/>
      <c r="AL182" s="214"/>
      <c r="AM182" s="214"/>
      <c r="AN182" s="214"/>
      <c r="AO182" s="214"/>
      <c r="AP182" s="214"/>
      <c r="AQ182" s="214"/>
      <c r="AR182" s="214"/>
      <c r="AS182" s="214"/>
      <c r="AT182" s="214"/>
      <c r="AU182" s="214"/>
      <c r="AV182" s="214"/>
      <c r="AW182" s="214"/>
      <c r="AX182" s="214"/>
      <c r="AY182" s="214"/>
      <c r="AZ182" s="628"/>
      <c r="BA182" s="214"/>
      <c r="BB182" s="214"/>
      <c r="BC182" s="214"/>
      <c r="BD182" s="214"/>
      <c r="BE182" s="214"/>
      <c r="BF182" s="214"/>
      <c r="BG182" s="657"/>
      <c r="BH182" s="214"/>
      <c r="BJ182" s="214"/>
      <c r="BK182" s="214"/>
      <c r="BL182" s="214"/>
      <c r="BM182" s="214"/>
      <c r="BN182" s="214"/>
      <c r="BO182" s="214"/>
      <c r="BP182" s="214"/>
      <c r="BQ182" s="214"/>
      <c r="BR182" s="214"/>
      <c r="BS182" s="214"/>
    </row>
    <row r="183" spans="1:71" s="630" customFormat="1" x14ac:dyDescent="0.25">
      <c r="A183" s="214"/>
      <c r="B183" s="214"/>
      <c r="C183" s="214"/>
      <c r="D183" s="214"/>
      <c r="E183" s="214"/>
      <c r="F183" s="214"/>
      <c r="G183" s="214"/>
      <c r="H183" s="214"/>
      <c r="I183" s="214"/>
      <c r="J183" s="214"/>
      <c r="K183" s="214"/>
      <c r="L183" s="214"/>
      <c r="M183" s="214"/>
      <c r="N183" s="214"/>
      <c r="O183" s="214"/>
      <c r="P183" s="214"/>
      <c r="Q183" s="657"/>
      <c r="R183" s="214"/>
      <c r="S183" s="214"/>
      <c r="T183" s="214"/>
      <c r="U183" s="214"/>
      <c r="V183" s="214"/>
      <c r="W183" s="214"/>
      <c r="X183" s="214"/>
      <c r="Y183" s="214"/>
      <c r="Z183" s="214"/>
      <c r="AA183" s="214"/>
      <c r="AB183" s="214"/>
      <c r="AC183" s="214"/>
      <c r="AD183" s="214"/>
      <c r="AE183" s="214"/>
      <c r="AF183" s="214"/>
      <c r="AG183" s="657"/>
      <c r="AH183" s="214"/>
      <c r="AI183" s="214"/>
      <c r="AJ183" s="214"/>
      <c r="AK183" s="214"/>
      <c r="AL183" s="214"/>
      <c r="AM183" s="214"/>
      <c r="AN183" s="214"/>
      <c r="AO183" s="214"/>
      <c r="AP183" s="214"/>
      <c r="AQ183" s="214"/>
      <c r="AR183" s="214"/>
      <c r="AS183" s="214"/>
      <c r="AT183" s="214"/>
      <c r="AU183" s="214"/>
      <c r="AV183" s="214"/>
      <c r="AW183" s="214"/>
      <c r="AX183" s="214"/>
      <c r="AY183" s="214"/>
      <c r="AZ183" s="628"/>
      <c r="BA183" s="214"/>
      <c r="BB183" s="214"/>
      <c r="BC183" s="214"/>
      <c r="BD183" s="214"/>
      <c r="BE183" s="214"/>
      <c r="BF183" s="214"/>
      <c r="BG183" s="657"/>
      <c r="BH183" s="214"/>
      <c r="BJ183" s="214"/>
      <c r="BK183" s="214"/>
      <c r="BL183" s="214"/>
      <c r="BM183" s="214"/>
      <c r="BN183" s="214"/>
      <c r="BO183" s="214"/>
      <c r="BP183" s="214"/>
      <c r="BQ183" s="214"/>
      <c r="BR183" s="214"/>
      <c r="BS183" s="214"/>
    </row>
    <row r="184" spans="1:71" s="630" customFormat="1" x14ac:dyDescent="0.25">
      <c r="A184" s="214"/>
      <c r="B184" s="214"/>
      <c r="C184" s="214"/>
      <c r="D184" s="214"/>
      <c r="E184" s="214"/>
      <c r="F184" s="214"/>
      <c r="G184" s="214"/>
      <c r="H184" s="214"/>
      <c r="I184" s="214"/>
      <c r="J184" s="214"/>
      <c r="K184" s="214"/>
      <c r="L184" s="214"/>
      <c r="M184" s="214"/>
      <c r="N184" s="214"/>
      <c r="O184" s="214"/>
      <c r="P184" s="214"/>
      <c r="Q184" s="657"/>
      <c r="R184" s="214"/>
      <c r="S184" s="214"/>
      <c r="T184" s="214"/>
      <c r="U184" s="214"/>
      <c r="V184" s="214"/>
      <c r="W184" s="214"/>
      <c r="X184" s="214"/>
      <c r="Y184" s="214"/>
      <c r="Z184" s="214"/>
      <c r="AA184" s="214"/>
      <c r="AB184" s="214"/>
      <c r="AC184" s="214"/>
      <c r="AD184" s="214"/>
      <c r="AE184" s="214"/>
      <c r="AF184" s="214"/>
      <c r="AG184" s="657"/>
      <c r="AH184" s="214"/>
      <c r="AI184" s="214"/>
      <c r="AJ184" s="214"/>
      <c r="AK184" s="214"/>
      <c r="AL184" s="214"/>
      <c r="AM184" s="214"/>
      <c r="AN184" s="214"/>
      <c r="AO184" s="214"/>
      <c r="AP184" s="214"/>
      <c r="AQ184" s="214"/>
      <c r="AR184" s="214"/>
      <c r="AS184" s="214"/>
      <c r="AT184" s="214"/>
      <c r="AU184" s="214"/>
      <c r="AV184" s="214"/>
      <c r="AW184" s="214"/>
      <c r="AX184" s="214"/>
      <c r="AY184" s="214"/>
      <c r="AZ184" s="628"/>
      <c r="BA184" s="214"/>
      <c r="BB184" s="214"/>
      <c r="BC184" s="214"/>
      <c r="BD184" s="214"/>
      <c r="BE184" s="214"/>
      <c r="BF184" s="214"/>
      <c r="BG184" s="657"/>
      <c r="BH184" s="214"/>
      <c r="BJ184" s="214"/>
      <c r="BK184" s="214"/>
      <c r="BL184" s="214"/>
      <c r="BM184" s="214"/>
      <c r="BN184" s="214"/>
      <c r="BO184" s="214"/>
      <c r="BP184" s="214"/>
      <c r="BQ184" s="214"/>
      <c r="BR184" s="214"/>
      <c r="BS184" s="214"/>
    </row>
    <row r="185" spans="1:71" s="630" customFormat="1" x14ac:dyDescent="0.25">
      <c r="A185" s="214"/>
      <c r="B185" s="214"/>
      <c r="C185" s="214"/>
      <c r="D185" s="214"/>
      <c r="E185" s="214"/>
      <c r="F185" s="214"/>
      <c r="G185" s="214"/>
      <c r="H185" s="214"/>
      <c r="I185" s="214"/>
      <c r="J185" s="214"/>
      <c r="K185" s="214"/>
      <c r="L185" s="214"/>
      <c r="M185" s="214"/>
      <c r="N185" s="214"/>
      <c r="O185" s="214"/>
      <c r="P185" s="214"/>
      <c r="Q185" s="657"/>
      <c r="R185" s="214"/>
      <c r="S185" s="214"/>
      <c r="T185" s="214"/>
      <c r="U185" s="214"/>
      <c r="V185" s="214"/>
      <c r="W185" s="214"/>
      <c r="X185" s="214"/>
      <c r="Y185" s="214"/>
      <c r="Z185" s="214"/>
      <c r="AA185" s="214"/>
      <c r="AB185" s="214"/>
      <c r="AC185" s="214"/>
      <c r="AD185" s="214"/>
      <c r="AE185" s="214"/>
      <c r="AF185" s="214"/>
      <c r="AG185" s="657"/>
      <c r="AH185" s="214"/>
      <c r="AI185" s="214"/>
      <c r="AJ185" s="214"/>
      <c r="AK185" s="214"/>
      <c r="AL185" s="214"/>
      <c r="AM185" s="214"/>
      <c r="AN185" s="214"/>
      <c r="AO185" s="214"/>
      <c r="AP185" s="214"/>
      <c r="AQ185" s="214"/>
      <c r="AR185" s="214"/>
      <c r="AS185" s="214"/>
      <c r="AT185" s="214"/>
      <c r="AU185" s="214"/>
      <c r="AV185" s="214"/>
      <c r="AW185" s="214"/>
      <c r="AX185" s="214"/>
      <c r="AY185" s="214"/>
      <c r="AZ185" s="628"/>
      <c r="BA185" s="214"/>
      <c r="BB185" s="214"/>
      <c r="BC185" s="214"/>
      <c r="BD185" s="214"/>
      <c r="BE185" s="214"/>
      <c r="BF185" s="214"/>
      <c r="BG185" s="657"/>
      <c r="BH185" s="214"/>
      <c r="BJ185" s="214"/>
      <c r="BK185" s="214"/>
      <c r="BL185" s="214"/>
      <c r="BM185" s="214"/>
      <c r="BN185" s="214"/>
      <c r="BO185" s="214"/>
      <c r="BP185" s="214"/>
      <c r="BQ185" s="214"/>
      <c r="BR185" s="214"/>
      <c r="BS185" s="214"/>
    </row>
    <row r="186" spans="1:71" s="630" customFormat="1" x14ac:dyDescent="0.25">
      <c r="A186" s="214"/>
      <c r="B186" s="214"/>
      <c r="C186" s="214"/>
      <c r="D186" s="214"/>
      <c r="E186" s="214"/>
      <c r="F186" s="214"/>
      <c r="G186" s="214"/>
      <c r="H186" s="214"/>
      <c r="I186" s="214"/>
      <c r="J186" s="214"/>
      <c r="K186" s="214"/>
      <c r="L186" s="214"/>
      <c r="M186" s="214"/>
      <c r="N186" s="214"/>
      <c r="O186" s="214"/>
      <c r="P186" s="214"/>
      <c r="Q186" s="657"/>
      <c r="R186" s="214"/>
      <c r="S186" s="214"/>
      <c r="T186" s="214"/>
      <c r="U186" s="214"/>
      <c r="V186" s="214"/>
      <c r="W186" s="214"/>
      <c r="X186" s="214"/>
      <c r="Y186" s="214"/>
      <c r="Z186" s="214"/>
      <c r="AA186" s="214"/>
      <c r="AB186" s="214"/>
      <c r="AC186" s="214"/>
      <c r="AD186" s="214"/>
      <c r="AE186" s="214"/>
      <c r="AF186" s="214"/>
      <c r="AG186" s="657"/>
      <c r="AH186" s="214"/>
      <c r="AI186" s="214"/>
      <c r="AJ186" s="214"/>
      <c r="AK186" s="214"/>
      <c r="AL186" s="214"/>
      <c r="AM186" s="214"/>
      <c r="AN186" s="214"/>
      <c r="AO186" s="214"/>
      <c r="AP186" s="214"/>
      <c r="AQ186" s="214"/>
      <c r="AR186" s="214"/>
      <c r="AS186" s="214"/>
      <c r="AT186" s="214"/>
      <c r="AU186" s="214"/>
      <c r="AV186" s="214"/>
      <c r="AW186" s="214"/>
      <c r="AX186" s="214"/>
      <c r="AY186" s="214"/>
      <c r="AZ186" s="628"/>
      <c r="BA186" s="214"/>
      <c r="BB186" s="214"/>
      <c r="BC186" s="214"/>
      <c r="BD186" s="214"/>
      <c r="BE186" s="214"/>
      <c r="BF186" s="214"/>
      <c r="BG186" s="657"/>
      <c r="BH186" s="214"/>
      <c r="BJ186" s="214"/>
      <c r="BK186" s="214"/>
      <c r="BL186" s="214"/>
      <c r="BM186" s="214"/>
      <c r="BN186" s="214"/>
      <c r="BO186" s="214"/>
      <c r="BP186" s="214"/>
      <c r="BQ186" s="214"/>
      <c r="BR186" s="214"/>
      <c r="BS186" s="214"/>
    </row>
    <row r="187" spans="1:71" s="630" customFormat="1" x14ac:dyDescent="0.25">
      <c r="A187" s="214"/>
      <c r="B187" s="214"/>
      <c r="C187" s="214"/>
      <c r="D187" s="214"/>
      <c r="E187" s="214"/>
      <c r="F187" s="214"/>
      <c r="G187" s="214"/>
      <c r="H187" s="214"/>
      <c r="I187" s="214"/>
      <c r="J187" s="214"/>
      <c r="K187" s="214"/>
      <c r="L187" s="214"/>
      <c r="M187" s="214"/>
      <c r="N187" s="214"/>
      <c r="O187" s="214"/>
      <c r="P187" s="214"/>
      <c r="Q187" s="657"/>
      <c r="R187" s="214"/>
      <c r="S187" s="214"/>
      <c r="T187" s="214"/>
      <c r="U187" s="214"/>
      <c r="V187" s="214"/>
      <c r="W187" s="214"/>
      <c r="X187" s="214"/>
      <c r="Y187" s="214"/>
      <c r="Z187" s="214"/>
      <c r="AA187" s="214"/>
      <c r="AB187" s="214"/>
      <c r="AC187" s="214"/>
      <c r="AD187" s="214"/>
      <c r="AE187" s="214"/>
      <c r="AF187" s="214"/>
      <c r="AG187" s="657"/>
      <c r="AH187" s="214"/>
      <c r="AI187" s="214"/>
      <c r="AJ187" s="214"/>
      <c r="AK187" s="214"/>
      <c r="AL187" s="214"/>
      <c r="AM187" s="214"/>
      <c r="AN187" s="214"/>
      <c r="AO187" s="214"/>
      <c r="AP187" s="214"/>
      <c r="AQ187" s="214"/>
      <c r="AR187" s="214"/>
      <c r="AS187" s="214"/>
      <c r="AT187" s="214"/>
      <c r="AU187" s="214"/>
      <c r="AV187" s="214"/>
      <c r="AW187" s="214"/>
      <c r="AX187" s="214"/>
      <c r="AY187" s="214"/>
      <c r="AZ187" s="628"/>
      <c r="BA187" s="214"/>
      <c r="BB187" s="214"/>
      <c r="BC187" s="214"/>
      <c r="BD187" s="214"/>
      <c r="BE187" s="214"/>
      <c r="BF187" s="214"/>
      <c r="BG187" s="657"/>
      <c r="BH187" s="214"/>
      <c r="BJ187" s="214"/>
      <c r="BK187" s="214"/>
      <c r="BL187" s="214"/>
      <c r="BM187" s="214"/>
      <c r="BN187" s="214"/>
      <c r="BO187" s="214"/>
      <c r="BP187" s="214"/>
      <c r="BQ187" s="214"/>
      <c r="BR187" s="214"/>
      <c r="BS187" s="214"/>
    </row>
    <row r="188" spans="1:71" s="630" customFormat="1" x14ac:dyDescent="0.25">
      <c r="A188" s="214"/>
      <c r="B188" s="214"/>
      <c r="C188" s="214"/>
      <c r="D188" s="214"/>
      <c r="E188" s="214"/>
      <c r="F188" s="214"/>
      <c r="G188" s="214"/>
      <c r="H188" s="214"/>
      <c r="I188" s="214"/>
      <c r="J188" s="214"/>
      <c r="K188" s="214"/>
      <c r="L188" s="214"/>
      <c r="M188" s="214"/>
      <c r="N188" s="214"/>
      <c r="O188" s="214"/>
      <c r="P188" s="214"/>
      <c r="Q188" s="657"/>
      <c r="R188" s="214"/>
      <c r="S188" s="214"/>
      <c r="T188" s="214"/>
      <c r="U188" s="214"/>
      <c r="V188" s="214"/>
      <c r="W188" s="214"/>
      <c r="X188" s="214"/>
      <c r="Y188" s="214"/>
      <c r="Z188" s="214"/>
      <c r="AA188" s="214"/>
      <c r="AB188" s="214"/>
      <c r="AC188" s="214"/>
      <c r="AD188" s="214"/>
      <c r="AE188" s="214"/>
      <c r="AF188" s="214"/>
      <c r="AG188" s="657"/>
      <c r="AH188" s="214"/>
      <c r="AI188" s="214"/>
      <c r="AJ188" s="214"/>
      <c r="AK188" s="214"/>
      <c r="AL188" s="214"/>
      <c r="AM188" s="214"/>
      <c r="AN188" s="214"/>
      <c r="AO188" s="214"/>
      <c r="AP188" s="214"/>
      <c r="AQ188" s="214"/>
      <c r="AR188" s="214"/>
      <c r="AS188" s="214"/>
      <c r="AT188" s="214"/>
      <c r="AU188" s="214"/>
      <c r="AV188" s="214"/>
      <c r="AW188" s="214"/>
      <c r="AX188" s="214"/>
      <c r="AY188" s="214"/>
      <c r="AZ188" s="628"/>
      <c r="BA188" s="214"/>
      <c r="BB188" s="214"/>
      <c r="BC188" s="214"/>
      <c r="BD188" s="214"/>
      <c r="BE188" s="214"/>
      <c r="BF188" s="214"/>
      <c r="BG188" s="657"/>
      <c r="BH188" s="214"/>
      <c r="BJ188" s="214"/>
      <c r="BK188" s="214"/>
      <c r="BL188" s="214"/>
      <c r="BM188" s="214"/>
      <c r="BN188" s="214"/>
      <c r="BO188" s="214"/>
      <c r="BP188" s="214"/>
      <c r="BQ188" s="214"/>
      <c r="BR188" s="214"/>
      <c r="BS188" s="214"/>
    </row>
    <row r="189" spans="1:71" s="630" customFormat="1" x14ac:dyDescent="0.25">
      <c r="A189" s="214"/>
      <c r="B189" s="214"/>
      <c r="C189" s="214"/>
      <c r="D189" s="214"/>
      <c r="E189" s="214"/>
      <c r="F189" s="214"/>
      <c r="G189" s="214"/>
      <c r="H189" s="214"/>
      <c r="I189" s="214"/>
      <c r="J189" s="214"/>
      <c r="K189" s="214"/>
      <c r="L189" s="214"/>
      <c r="M189" s="214"/>
      <c r="N189" s="214"/>
      <c r="O189" s="214"/>
      <c r="P189" s="214"/>
      <c r="Q189" s="657"/>
      <c r="R189" s="214"/>
      <c r="S189" s="214"/>
      <c r="T189" s="214"/>
      <c r="U189" s="214"/>
      <c r="V189" s="214"/>
      <c r="W189" s="214"/>
      <c r="X189" s="214"/>
      <c r="Y189" s="214"/>
      <c r="Z189" s="214"/>
      <c r="AA189" s="214"/>
      <c r="AB189" s="214"/>
      <c r="AC189" s="214"/>
      <c r="AD189" s="214"/>
      <c r="AE189" s="214"/>
      <c r="AF189" s="214"/>
      <c r="AG189" s="657"/>
      <c r="AH189" s="214"/>
      <c r="AI189" s="214"/>
      <c r="AJ189" s="214"/>
      <c r="AK189" s="214"/>
      <c r="AL189" s="214"/>
      <c r="AM189" s="214"/>
      <c r="AN189" s="214"/>
      <c r="AO189" s="214"/>
      <c r="AP189" s="214"/>
      <c r="AQ189" s="214"/>
      <c r="AR189" s="214"/>
      <c r="AS189" s="214"/>
      <c r="AT189" s="214"/>
      <c r="AU189" s="214"/>
      <c r="AV189" s="214"/>
      <c r="AW189" s="214"/>
      <c r="AX189" s="214"/>
      <c r="AY189" s="214"/>
      <c r="AZ189" s="628"/>
      <c r="BA189" s="214"/>
      <c r="BB189" s="214"/>
      <c r="BC189" s="214"/>
      <c r="BD189" s="214"/>
      <c r="BE189" s="214"/>
      <c r="BF189" s="214"/>
      <c r="BG189" s="657"/>
      <c r="BH189" s="214"/>
      <c r="BJ189" s="214"/>
      <c r="BK189" s="214"/>
      <c r="BL189" s="214"/>
      <c r="BM189" s="214"/>
      <c r="BN189" s="214"/>
      <c r="BO189" s="214"/>
      <c r="BP189" s="214"/>
      <c r="BQ189" s="214"/>
      <c r="BR189" s="214"/>
      <c r="BS189" s="214"/>
    </row>
    <row r="190" spans="1:71" s="630" customFormat="1" x14ac:dyDescent="0.25">
      <c r="A190" s="214"/>
      <c r="B190" s="214"/>
      <c r="C190" s="214"/>
      <c r="D190" s="214"/>
      <c r="E190" s="214"/>
      <c r="F190" s="214"/>
      <c r="G190" s="214"/>
      <c r="H190" s="214"/>
      <c r="I190" s="214"/>
      <c r="J190" s="214"/>
      <c r="K190" s="214"/>
      <c r="L190" s="214"/>
      <c r="M190" s="214"/>
      <c r="N190" s="214"/>
      <c r="O190" s="214"/>
      <c r="P190" s="214"/>
      <c r="Q190" s="657"/>
      <c r="R190" s="214"/>
      <c r="S190" s="214"/>
      <c r="T190" s="214"/>
      <c r="U190" s="214"/>
      <c r="V190" s="214"/>
      <c r="W190" s="214"/>
      <c r="X190" s="214"/>
      <c r="Y190" s="214"/>
      <c r="Z190" s="214"/>
      <c r="AA190" s="214"/>
      <c r="AB190" s="214"/>
      <c r="AC190" s="214"/>
      <c r="AD190" s="214"/>
      <c r="AE190" s="214"/>
      <c r="AF190" s="214"/>
      <c r="AG190" s="657"/>
      <c r="AH190" s="214"/>
      <c r="AI190" s="214"/>
      <c r="AJ190" s="214"/>
      <c r="AK190" s="214"/>
      <c r="AL190" s="214"/>
      <c r="AM190" s="214"/>
      <c r="AN190" s="214"/>
      <c r="AO190" s="214"/>
      <c r="AP190" s="214"/>
      <c r="AQ190" s="214"/>
      <c r="AR190" s="214"/>
      <c r="AS190" s="214"/>
      <c r="AT190" s="214"/>
      <c r="AU190" s="214"/>
      <c r="AV190" s="214"/>
      <c r="AW190" s="214"/>
      <c r="AX190" s="214"/>
      <c r="AY190" s="214"/>
      <c r="AZ190" s="628"/>
      <c r="BA190" s="214"/>
      <c r="BB190" s="214"/>
      <c r="BC190" s="214"/>
      <c r="BD190" s="214"/>
      <c r="BE190" s="214"/>
      <c r="BF190" s="214"/>
      <c r="BG190" s="657"/>
      <c r="BH190" s="214"/>
      <c r="BJ190" s="214"/>
      <c r="BK190" s="214"/>
      <c r="BL190" s="214"/>
      <c r="BM190" s="214"/>
      <c r="BN190" s="214"/>
      <c r="BO190" s="214"/>
      <c r="BP190" s="214"/>
      <c r="BQ190" s="214"/>
      <c r="BR190" s="214"/>
      <c r="BS190" s="214"/>
    </row>
    <row r="191" spans="1:71" s="630" customFormat="1" x14ac:dyDescent="0.25">
      <c r="A191" s="214"/>
      <c r="B191" s="214"/>
      <c r="C191" s="214"/>
      <c r="D191" s="214"/>
      <c r="E191" s="214"/>
      <c r="F191" s="214"/>
      <c r="G191" s="214"/>
      <c r="H191" s="214"/>
      <c r="I191" s="214"/>
      <c r="J191" s="214"/>
      <c r="K191" s="214"/>
      <c r="L191" s="214"/>
      <c r="M191" s="214"/>
      <c r="N191" s="214"/>
      <c r="O191" s="214"/>
      <c r="P191" s="214"/>
      <c r="Q191" s="657"/>
      <c r="R191" s="214"/>
      <c r="S191" s="214"/>
      <c r="T191" s="214"/>
      <c r="U191" s="214"/>
      <c r="V191" s="214"/>
      <c r="W191" s="214"/>
      <c r="X191" s="214"/>
      <c r="Y191" s="214"/>
      <c r="Z191" s="214"/>
      <c r="AA191" s="214"/>
      <c r="AB191" s="214"/>
      <c r="AC191" s="214"/>
      <c r="AD191" s="214"/>
      <c r="AE191" s="214"/>
      <c r="AF191" s="214"/>
      <c r="AG191" s="657"/>
      <c r="AH191" s="214"/>
      <c r="AI191" s="214"/>
      <c r="AJ191" s="214"/>
      <c r="AK191" s="214"/>
      <c r="AL191" s="214"/>
      <c r="AM191" s="214"/>
      <c r="AN191" s="214"/>
      <c r="AO191" s="214"/>
      <c r="AP191" s="214"/>
      <c r="AQ191" s="214"/>
      <c r="AR191" s="214"/>
      <c r="AS191" s="214"/>
      <c r="AT191" s="214"/>
      <c r="AU191" s="214"/>
      <c r="AV191" s="214"/>
      <c r="AW191" s="214"/>
      <c r="AX191" s="214"/>
      <c r="AY191" s="214"/>
      <c r="AZ191" s="628"/>
      <c r="BA191" s="214"/>
      <c r="BB191" s="214"/>
      <c r="BC191" s="214"/>
      <c r="BD191" s="214"/>
      <c r="BE191" s="214"/>
      <c r="BF191" s="214"/>
      <c r="BG191" s="657"/>
      <c r="BH191" s="214"/>
      <c r="BJ191" s="214"/>
      <c r="BK191" s="214"/>
      <c r="BL191" s="214"/>
      <c r="BM191" s="214"/>
      <c r="BN191" s="214"/>
      <c r="BO191" s="214"/>
      <c r="BP191" s="214"/>
      <c r="BQ191" s="214"/>
      <c r="BR191" s="214"/>
      <c r="BS191" s="214"/>
    </row>
    <row r="192" spans="1:71" s="630" customFormat="1" x14ac:dyDescent="0.25">
      <c r="A192" s="214"/>
      <c r="B192" s="214"/>
      <c r="C192" s="214"/>
      <c r="D192" s="214"/>
      <c r="E192" s="214"/>
      <c r="F192" s="214"/>
      <c r="G192" s="214"/>
      <c r="H192" s="214"/>
      <c r="I192" s="214"/>
      <c r="J192" s="214"/>
      <c r="K192" s="214"/>
      <c r="L192" s="214"/>
      <c r="M192" s="214"/>
      <c r="N192" s="214"/>
      <c r="O192" s="214"/>
      <c r="P192" s="214"/>
      <c r="Q192" s="657"/>
      <c r="R192" s="214"/>
      <c r="S192" s="214"/>
      <c r="T192" s="214"/>
      <c r="U192" s="214"/>
      <c r="V192" s="214"/>
      <c r="W192" s="214"/>
      <c r="X192" s="214"/>
      <c r="Y192" s="214"/>
      <c r="Z192" s="214"/>
      <c r="AA192" s="214"/>
      <c r="AB192" s="214"/>
      <c r="AC192" s="214"/>
      <c r="AD192" s="214"/>
      <c r="AE192" s="214"/>
      <c r="AF192" s="214"/>
      <c r="AG192" s="657"/>
      <c r="AH192" s="214"/>
      <c r="AI192" s="214"/>
      <c r="AJ192" s="214"/>
      <c r="AK192" s="214"/>
      <c r="AL192" s="214"/>
      <c r="AM192" s="214"/>
      <c r="AN192" s="214"/>
      <c r="AO192" s="214"/>
      <c r="AP192" s="214"/>
      <c r="AQ192" s="214"/>
      <c r="AR192" s="214"/>
      <c r="AS192" s="214"/>
      <c r="AT192" s="214"/>
      <c r="AU192" s="214"/>
      <c r="AV192" s="214"/>
      <c r="AW192" s="214"/>
      <c r="AX192" s="214"/>
      <c r="AY192" s="214"/>
      <c r="AZ192" s="628"/>
      <c r="BA192" s="214"/>
      <c r="BB192" s="214"/>
      <c r="BC192" s="214"/>
      <c r="BD192" s="214"/>
      <c r="BE192" s="214"/>
      <c r="BF192" s="214"/>
      <c r="BG192" s="657"/>
      <c r="BH192" s="214"/>
      <c r="BJ192" s="214"/>
      <c r="BK192" s="214"/>
      <c r="BL192" s="214"/>
      <c r="BM192" s="214"/>
      <c r="BN192" s="214"/>
      <c r="BO192" s="214"/>
      <c r="BP192" s="214"/>
      <c r="BQ192" s="214"/>
      <c r="BR192" s="214"/>
      <c r="BS192" s="214"/>
    </row>
    <row r="193" spans="1:71" s="630" customFormat="1" x14ac:dyDescent="0.25">
      <c r="A193" s="214"/>
      <c r="B193" s="214"/>
      <c r="C193" s="214"/>
      <c r="D193" s="214"/>
      <c r="E193" s="214"/>
      <c r="F193" s="214"/>
      <c r="G193" s="214"/>
      <c r="H193" s="214"/>
      <c r="I193" s="214"/>
      <c r="J193" s="214"/>
      <c r="K193" s="214"/>
      <c r="L193" s="214"/>
      <c r="M193" s="214"/>
      <c r="N193" s="214"/>
      <c r="O193" s="214"/>
      <c r="P193" s="214"/>
      <c r="Q193" s="657"/>
      <c r="R193" s="214"/>
      <c r="S193" s="214"/>
      <c r="T193" s="214"/>
      <c r="U193" s="214"/>
      <c r="V193" s="214"/>
      <c r="W193" s="214"/>
      <c r="X193" s="214"/>
      <c r="Y193" s="214"/>
      <c r="Z193" s="214"/>
      <c r="AA193" s="214"/>
      <c r="AB193" s="214"/>
      <c r="AC193" s="214"/>
      <c r="AD193" s="214"/>
      <c r="AE193" s="214"/>
      <c r="AF193" s="214"/>
      <c r="AG193" s="657"/>
      <c r="AH193" s="214"/>
      <c r="AI193" s="214"/>
      <c r="AJ193" s="214"/>
      <c r="AK193" s="214"/>
      <c r="AL193" s="214"/>
      <c r="AM193" s="214"/>
      <c r="AN193" s="214"/>
      <c r="AO193" s="214"/>
      <c r="AP193" s="214"/>
      <c r="AQ193" s="214"/>
      <c r="AR193" s="214"/>
      <c r="AS193" s="214"/>
      <c r="AT193" s="214"/>
      <c r="AU193" s="214"/>
      <c r="AV193" s="214"/>
      <c r="AW193" s="214"/>
      <c r="AX193" s="214"/>
      <c r="AY193" s="214"/>
      <c r="AZ193" s="628"/>
      <c r="BA193" s="214"/>
      <c r="BB193" s="214"/>
      <c r="BC193" s="214"/>
      <c r="BD193" s="214"/>
      <c r="BE193" s="214"/>
      <c r="BF193" s="214"/>
      <c r="BG193" s="657"/>
      <c r="BH193" s="214"/>
      <c r="BJ193" s="214"/>
      <c r="BK193" s="214"/>
      <c r="BL193" s="214"/>
      <c r="BM193" s="214"/>
      <c r="BN193" s="214"/>
      <c r="BO193" s="214"/>
      <c r="BP193" s="214"/>
      <c r="BQ193" s="214"/>
      <c r="BR193" s="214"/>
      <c r="BS193" s="214"/>
    </row>
    <row r="194" spans="1:71" s="630" customFormat="1" x14ac:dyDescent="0.25">
      <c r="A194" s="214"/>
      <c r="B194" s="214"/>
      <c r="C194" s="214"/>
      <c r="D194" s="214"/>
      <c r="E194" s="214"/>
      <c r="F194" s="214"/>
      <c r="G194" s="214"/>
      <c r="H194" s="214"/>
      <c r="I194" s="214"/>
      <c r="J194" s="214"/>
      <c r="K194" s="214"/>
      <c r="L194" s="214"/>
      <c r="M194" s="214"/>
      <c r="N194" s="214"/>
      <c r="O194" s="214"/>
      <c r="P194" s="214"/>
      <c r="Q194" s="657"/>
      <c r="R194" s="214"/>
      <c r="S194" s="214"/>
      <c r="T194" s="214"/>
      <c r="U194" s="214"/>
      <c r="V194" s="214"/>
      <c r="W194" s="214"/>
      <c r="X194" s="214"/>
      <c r="Y194" s="214"/>
      <c r="Z194" s="214"/>
      <c r="AA194" s="214"/>
      <c r="AB194" s="214"/>
      <c r="AC194" s="214"/>
      <c r="AD194" s="214"/>
      <c r="AE194" s="214"/>
      <c r="AF194" s="214"/>
      <c r="AG194" s="657"/>
      <c r="AH194" s="214"/>
      <c r="AI194" s="214"/>
      <c r="AJ194" s="214"/>
      <c r="AK194" s="214"/>
      <c r="AL194" s="214"/>
      <c r="AM194" s="214"/>
      <c r="AN194" s="214"/>
      <c r="AO194" s="214"/>
      <c r="AP194" s="214"/>
      <c r="AQ194" s="214"/>
      <c r="AR194" s="214"/>
      <c r="AS194" s="214"/>
      <c r="AT194" s="214"/>
      <c r="AU194" s="214"/>
      <c r="AV194" s="214"/>
      <c r="AW194" s="214"/>
      <c r="AX194" s="214"/>
      <c r="AY194" s="214"/>
      <c r="AZ194" s="628"/>
      <c r="BA194" s="214"/>
      <c r="BB194" s="214"/>
      <c r="BC194" s="214"/>
      <c r="BD194" s="214"/>
      <c r="BE194" s="214"/>
      <c r="BF194" s="214"/>
      <c r="BG194" s="657"/>
      <c r="BH194" s="214"/>
      <c r="BJ194" s="214"/>
      <c r="BK194" s="214"/>
      <c r="BL194" s="214"/>
      <c r="BM194" s="214"/>
      <c r="BN194" s="214"/>
      <c r="BO194" s="214"/>
      <c r="BP194" s="214"/>
      <c r="BQ194" s="214"/>
      <c r="BR194" s="214"/>
      <c r="BS194" s="214"/>
    </row>
    <row r="195" spans="1:71" s="630" customFormat="1" x14ac:dyDescent="0.25">
      <c r="A195" s="214"/>
      <c r="B195" s="214"/>
      <c r="C195" s="214"/>
      <c r="D195" s="214"/>
      <c r="E195" s="214"/>
      <c r="F195" s="214"/>
      <c r="G195" s="214"/>
      <c r="H195" s="214"/>
      <c r="I195" s="214"/>
      <c r="J195" s="214"/>
      <c r="K195" s="214"/>
      <c r="L195" s="214"/>
      <c r="M195" s="214"/>
      <c r="N195" s="214"/>
      <c r="O195" s="214"/>
      <c r="P195" s="214"/>
      <c r="Q195" s="657"/>
      <c r="R195" s="214"/>
      <c r="S195" s="214"/>
      <c r="T195" s="214"/>
      <c r="U195" s="214"/>
      <c r="V195" s="214"/>
      <c r="W195" s="214"/>
      <c r="X195" s="214"/>
      <c r="Y195" s="214"/>
      <c r="Z195" s="214"/>
      <c r="AA195" s="214"/>
      <c r="AB195" s="214"/>
      <c r="AC195" s="214"/>
      <c r="AD195" s="214"/>
      <c r="AE195" s="214"/>
      <c r="AF195" s="214"/>
      <c r="AG195" s="657"/>
      <c r="AH195" s="214"/>
      <c r="AI195" s="214"/>
      <c r="AJ195" s="214"/>
      <c r="AK195" s="214"/>
      <c r="AL195" s="214"/>
      <c r="AM195" s="214"/>
      <c r="AN195" s="214"/>
      <c r="AO195" s="214"/>
      <c r="AP195" s="214"/>
      <c r="AQ195" s="214"/>
      <c r="AR195" s="214"/>
      <c r="AS195" s="214"/>
      <c r="AT195" s="214"/>
      <c r="AU195" s="214"/>
      <c r="AV195" s="214"/>
      <c r="AW195" s="214"/>
      <c r="AX195" s="214"/>
      <c r="AY195" s="214"/>
      <c r="AZ195" s="628"/>
      <c r="BA195" s="214"/>
      <c r="BB195" s="214"/>
      <c r="BC195" s="214"/>
      <c r="BD195" s="214"/>
      <c r="BE195" s="214"/>
      <c r="BF195" s="214"/>
      <c r="BG195" s="657"/>
      <c r="BH195" s="214"/>
      <c r="BJ195" s="214"/>
      <c r="BK195" s="214"/>
      <c r="BL195" s="214"/>
      <c r="BM195" s="214"/>
      <c r="BN195" s="214"/>
      <c r="BO195" s="214"/>
      <c r="BP195" s="214"/>
      <c r="BQ195" s="214"/>
      <c r="BR195" s="214"/>
      <c r="BS195" s="214"/>
    </row>
    <row r="196" spans="1:71" s="630" customFormat="1" x14ac:dyDescent="0.25">
      <c r="A196" s="214"/>
      <c r="B196" s="214"/>
      <c r="C196" s="214"/>
      <c r="D196" s="214"/>
      <c r="E196" s="214"/>
      <c r="F196" s="214"/>
      <c r="G196" s="214"/>
      <c r="H196" s="214"/>
      <c r="I196" s="214"/>
      <c r="J196" s="214"/>
      <c r="K196" s="214"/>
      <c r="L196" s="214"/>
      <c r="M196" s="214"/>
      <c r="N196" s="214"/>
      <c r="O196" s="214"/>
      <c r="P196" s="214"/>
      <c r="Q196" s="657"/>
      <c r="R196" s="214"/>
      <c r="S196" s="214"/>
      <c r="T196" s="214"/>
      <c r="U196" s="214"/>
      <c r="V196" s="214"/>
      <c r="W196" s="214"/>
      <c r="X196" s="214"/>
      <c r="Y196" s="214"/>
      <c r="Z196" s="214"/>
      <c r="AA196" s="214"/>
      <c r="AB196" s="214"/>
      <c r="AC196" s="214"/>
      <c r="AD196" s="214"/>
      <c r="AE196" s="214"/>
      <c r="AF196" s="214"/>
      <c r="AG196" s="657"/>
      <c r="AH196" s="214"/>
      <c r="AI196" s="214"/>
      <c r="AJ196" s="214"/>
      <c r="AK196" s="214"/>
      <c r="AL196" s="214"/>
      <c r="AM196" s="214"/>
      <c r="AN196" s="214"/>
      <c r="AO196" s="214"/>
      <c r="AP196" s="214"/>
      <c r="AQ196" s="214"/>
      <c r="AR196" s="214"/>
      <c r="AS196" s="214"/>
      <c r="AT196" s="214"/>
      <c r="AU196" s="214"/>
      <c r="AV196" s="214"/>
      <c r="AW196" s="214"/>
      <c r="AX196" s="214"/>
      <c r="AY196" s="214"/>
      <c r="AZ196" s="628"/>
      <c r="BA196" s="214"/>
      <c r="BB196" s="214"/>
      <c r="BC196" s="214"/>
      <c r="BD196" s="214"/>
      <c r="BE196" s="214"/>
      <c r="BF196" s="214"/>
      <c r="BG196" s="657"/>
      <c r="BH196" s="214"/>
      <c r="BJ196" s="214"/>
      <c r="BK196" s="214"/>
      <c r="BL196" s="214"/>
      <c r="BM196" s="214"/>
      <c r="BN196" s="214"/>
      <c r="BO196" s="214"/>
      <c r="BP196" s="214"/>
      <c r="BQ196" s="214"/>
      <c r="BR196" s="214"/>
      <c r="BS196" s="214"/>
    </row>
    <row r="197" spans="1:71" s="630" customFormat="1" x14ac:dyDescent="0.25">
      <c r="A197" s="214"/>
      <c r="B197" s="214"/>
      <c r="C197" s="214"/>
      <c r="D197" s="214"/>
      <c r="E197" s="214"/>
      <c r="F197" s="214"/>
      <c r="G197" s="214"/>
      <c r="H197" s="214"/>
      <c r="I197" s="214"/>
      <c r="J197" s="214"/>
      <c r="K197" s="214"/>
      <c r="L197" s="214"/>
      <c r="M197" s="214"/>
      <c r="N197" s="214"/>
      <c r="O197" s="214"/>
      <c r="P197" s="214"/>
      <c r="Q197" s="657"/>
      <c r="R197" s="214"/>
      <c r="S197" s="214"/>
      <c r="T197" s="214"/>
      <c r="U197" s="214"/>
      <c r="V197" s="214"/>
      <c r="W197" s="214"/>
      <c r="X197" s="214"/>
      <c r="Y197" s="214"/>
      <c r="Z197" s="214"/>
      <c r="AA197" s="214"/>
      <c r="AB197" s="214"/>
      <c r="AC197" s="214"/>
      <c r="AD197" s="214"/>
      <c r="AE197" s="214"/>
      <c r="AF197" s="214"/>
      <c r="AG197" s="657"/>
      <c r="AH197" s="214"/>
      <c r="AI197" s="214"/>
      <c r="AJ197" s="214"/>
      <c r="AK197" s="214"/>
      <c r="AL197" s="214"/>
      <c r="AM197" s="214"/>
      <c r="AN197" s="214"/>
      <c r="AO197" s="214"/>
      <c r="AP197" s="214"/>
      <c r="AQ197" s="214"/>
      <c r="AR197" s="214"/>
      <c r="AS197" s="214"/>
      <c r="AT197" s="214"/>
      <c r="AU197" s="214"/>
      <c r="AV197" s="214"/>
      <c r="AW197" s="214"/>
      <c r="AX197" s="214"/>
      <c r="AY197" s="214"/>
      <c r="AZ197" s="628"/>
      <c r="BA197" s="214"/>
      <c r="BB197" s="214"/>
      <c r="BC197" s="214"/>
      <c r="BD197" s="214"/>
      <c r="BE197" s="214"/>
      <c r="BF197" s="214"/>
      <c r="BG197" s="657"/>
      <c r="BH197" s="214"/>
      <c r="BJ197" s="214"/>
      <c r="BK197" s="214"/>
      <c r="BL197" s="214"/>
      <c r="BM197" s="214"/>
      <c r="BN197" s="214"/>
      <c r="BO197" s="214"/>
      <c r="BP197" s="214"/>
      <c r="BQ197" s="214"/>
      <c r="BR197" s="214"/>
      <c r="BS197" s="214"/>
    </row>
    <row r="198" spans="1:71" s="630" customFormat="1" x14ac:dyDescent="0.25">
      <c r="A198" s="214"/>
      <c r="B198" s="214"/>
      <c r="C198" s="214"/>
      <c r="D198" s="214"/>
      <c r="E198" s="214"/>
      <c r="F198" s="214"/>
      <c r="G198" s="214"/>
      <c r="H198" s="214"/>
      <c r="I198" s="214"/>
      <c r="J198" s="214"/>
      <c r="K198" s="214"/>
      <c r="L198" s="214"/>
      <c r="M198" s="214"/>
      <c r="N198" s="214"/>
      <c r="O198" s="214"/>
      <c r="P198" s="214"/>
      <c r="Q198" s="657"/>
      <c r="R198" s="214"/>
      <c r="S198" s="214"/>
      <c r="T198" s="214"/>
      <c r="U198" s="214"/>
      <c r="V198" s="214"/>
      <c r="W198" s="214"/>
      <c r="X198" s="214"/>
      <c r="Y198" s="214"/>
      <c r="Z198" s="214"/>
      <c r="AA198" s="214"/>
      <c r="AB198" s="214"/>
      <c r="AC198" s="214"/>
      <c r="AD198" s="214"/>
      <c r="AE198" s="214"/>
      <c r="AF198" s="214"/>
      <c r="AG198" s="657"/>
      <c r="AH198" s="214"/>
      <c r="AI198" s="214"/>
      <c r="AJ198" s="214"/>
      <c r="AK198" s="214"/>
      <c r="AL198" s="214"/>
      <c r="AM198" s="214"/>
      <c r="AN198" s="214"/>
      <c r="AO198" s="214"/>
      <c r="AP198" s="214"/>
      <c r="AQ198" s="214"/>
      <c r="AR198" s="214"/>
      <c r="AS198" s="214"/>
      <c r="AT198" s="214"/>
      <c r="AU198" s="214"/>
      <c r="AV198" s="214"/>
      <c r="AW198" s="214"/>
      <c r="AX198" s="214"/>
      <c r="AY198" s="214"/>
      <c r="AZ198" s="628"/>
      <c r="BA198" s="214"/>
      <c r="BB198" s="214"/>
      <c r="BC198" s="214"/>
      <c r="BD198" s="214"/>
      <c r="BE198" s="214"/>
      <c r="BF198" s="214"/>
      <c r="BG198" s="657"/>
      <c r="BH198" s="214"/>
      <c r="BJ198" s="214"/>
      <c r="BK198" s="214"/>
      <c r="BL198" s="214"/>
      <c r="BM198" s="214"/>
      <c r="BN198" s="214"/>
      <c r="BO198" s="214"/>
      <c r="BP198" s="214"/>
      <c r="BQ198" s="214"/>
      <c r="BR198" s="214"/>
      <c r="BS198" s="214"/>
    </row>
    <row r="199" spans="1:71" s="630" customFormat="1" x14ac:dyDescent="0.25">
      <c r="A199" s="214"/>
      <c r="B199" s="214"/>
      <c r="C199" s="214"/>
      <c r="D199" s="214"/>
      <c r="E199" s="214"/>
      <c r="F199" s="214"/>
      <c r="G199" s="214"/>
      <c r="H199" s="214"/>
      <c r="I199" s="214"/>
      <c r="J199" s="214"/>
      <c r="K199" s="214"/>
      <c r="L199" s="214"/>
      <c r="M199" s="214"/>
      <c r="N199" s="214"/>
      <c r="O199" s="214"/>
      <c r="P199" s="214"/>
      <c r="Q199" s="657"/>
      <c r="R199" s="214"/>
      <c r="S199" s="214"/>
      <c r="T199" s="214"/>
      <c r="U199" s="214"/>
      <c r="V199" s="214"/>
      <c r="W199" s="214"/>
      <c r="X199" s="214"/>
      <c r="Y199" s="214"/>
      <c r="Z199" s="214"/>
      <c r="AA199" s="214"/>
      <c r="AB199" s="214"/>
      <c r="AC199" s="214"/>
      <c r="AD199" s="214"/>
      <c r="AE199" s="214"/>
      <c r="AF199" s="214"/>
      <c r="AG199" s="657"/>
      <c r="AH199" s="214"/>
      <c r="AI199" s="214"/>
      <c r="AJ199" s="214"/>
      <c r="AK199" s="214"/>
      <c r="AL199" s="214"/>
      <c r="AM199" s="214"/>
      <c r="AN199" s="214"/>
      <c r="AO199" s="214"/>
      <c r="AP199" s="214"/>
      <c r="AQ199" s="214"/>
      <c r="AR199" s="214"/>
      <c r="AS199" s="214"/>
      <c r="AT199" s="214"/>
      <c r="AU199" s="214"/>
      <c r="AV199" s="214"/>
      <c r="AW199" s="214"/>
      <c r="AX199" s="214"/>
      <c r="AY199" s="214"/>
      <c r="AZ199" s="628"/>
      <c r="BA199" s="214"/>
      <c r="BB199" s="214"/>
      <c r="BC199" s="214"/>
      <c r="BD199" s="214"/>
      <c r="BE199" s="214"/>
      <c r="BF199" s="214"/>
      <c r="BG199" s="657"/>
      <c r="BH199" s="214"/>
      <c r="BJ199" s="214"/>
      <c r="BK199" s="214"/>
      <c r="BL199" s="214"/>
      <c r="BM199" s="214"/>
      <c r="BN199" s="214"/>
      <c r="BO199" s="214"/>
      <c r="BP199" s="214"/>
      <c r="BQ199" s="214"/>
      <c r="BR199" s="214"/>
      <c r="BS199" s="214"/>
    </row>
    <row r="200" spans="1:71" s="630" customFormat="1" x14ac:dyDescent="0.25">
      <c r="A200" s="214"/>
      <c r="B200" s="214"/>
      <c r="C200" s="214"/>
      <c r="D200" s="214"/>
      <c r="E200" s="214"/>
      <c r="F200" s="214"/>
      <c r="G200" s="214"/>
      <c r="H200" s="214"/>
      <c r="I200" s="214"/>
      <c r="J200" s="214"/>
      <c r="K200" s="214"/>
      <c r="L200" s="214"/>
      <c r="M200" s="214"/>
      <c r="N200" s="214"/>
      <c r="O200" s="214"/>
      <c r="P200" s="214"/>
      <c r="Q200" s="657"/>
      <c r="R200" s="214"/>
      <c r="S200" s="214"/>
      <c r="T200" s="214"/>
      <c r="U200" s="214"/>
      <c r="V200" s="214"/>
      <c r="W200" s="214"/>
      <c r="X200" s="214"/>
      <c r="Y200" s="214"/>
      <c r="Z200" s="214"/>
      <c r="AA200" s="214"/>
      <c r="AB200" s="214"/>
      <c r="AC200" s="214"/>
      <c r="AD200" s="214"/>
      <c r="AE200" s="214"/>
      <c r="AF200" s="214"/>
      <c r="AG200" s="657"/>
      <c r="AH200" s="214"/>
      <c r="AI200" s="214"/>
      <c r="AJ200" s="214"/>
      <c r="AK200" s="214"/>
      <c r="AL200" s="214"/>
      <c r="AM200" s="214"/>
      <c r="AN200" s="214"/>
      <c r="AO200" s="214"/>
      <c r="AP200" s="214"/>
      <c r="AQ200" s="214"/>
      <c r="AR200" s="214"/>
      <c r="AS200" s="214"/>
      <c r="AT200" s="214"/>
      <c r="AU200" s="214"/>
      <c r="AV200" s="214"/>
      <c r="AW200" s="214"/>
      <c r="AX200" s="214"/>
      <c r="AY200" s="214"/>
      <c r="AZ200" s="628"/>
      <c r="BA200" s="214"/>
      <c r="BB200" s="214"/>
      <c r="BC200" s="214"/>
      <c r="BD200" s="214"/>
      <c r="BE200" s="214"/>
      <c r="BF200" s="214"/>
      <c r="BG200" s="657"/>
      <c r="BH200" s="214"/>
      <c r="BJ200" s="214"/>
      <c r="BK200" s="214"/>
      <c r="BL200" s="214"/>
      <c r="BM200" s="214"/>
      <c r="BN200" s="214"/>
      <c r="BO200" s="214"/>
      <c r="BP200" s="214"/>
      <c r="BQ200" s="214"/>
      <c r="BR200" s="214"/>
      <c r="BS200" s="214"/>
    </row>
    <row r="201" spans="1:71" s="630" customFormat="1" x14ac:dyDescent="0.25">
      <c r="A201" s="214"/>
      <c r="B201" s="214"/>
      <c r="C201" s="214"/>
      <c r="D201" s="214"/>
      <c r="E201" s="214"/>
      <c r="F201" s="214"/>
      <c r="G201" s="214"/>
      <c r="H201" s="214"/>
      <c r="I201" s="214"/>
      <c r="J201" s="214"/>
      <c r="K201" s="214"/>
      <c r="L201" s="214"/>
      <c r="M201" s="214"/>
      <c r="N201" s="214"/>
      <c r="O201" s="214"/>
      <c r="P201" s="214"/>
      <c r="Q201" s="657"/>
      <c r="R201" s="214"/>
      <c r="S201" s="214"/>
      <c r="T201" s="214"/>
      <c r="U201" s="214"/>
      <c r="V201" s="214"/>
      <c r="W201" s="214"/>
      <c r="X201" s="214"/>
      <c r="Y201" s="214"/>
      <c r="Z201" s="214"/>
      <c r="AA201" s="214"/>
      <c r="AB201" s="214"/>
      <c r="AC201" s="214"/>
      <c r="AD201" s="214"/>
      <c r="AE201" s="214"/>
      <c r="AF201" s="214"/>
      <c r="AG201" s="657"/>
      <c r="AH201" s="214"/>
      <c r="AI201" s="214"/>
      <c r="AJ201" s="214"/>
      <c r="AK201" s="214"/>
      <c r="AL201" s="214"/>
      <c r="AM201" s="214"/>
      <c r="AN201" s="214"/>
      <c r="AO201" s="214"/>
      <c r="AP201" s="214"/>
      <c r="AQ201" s="214"/>
      <c r="AR201" s="214"/>
      <c r="AS201" s="214"/>
      <c r="AT201" s="214"/>
      <c r="AU201" s="214"/>
      <c r="AV201" s="214"/>
      <c r="AW201" s="214"/>
      <c r="AX201" s="214"/>
      <c r="AY201" s="214"/>
      <c r="AZ201" s="628"/>
      <c r="BA201" s="214"/>
      <c r="BB201" s="214"/>
      <c r="BC201" s="214"/>
      <c r="BD201" s="214"/>
      <c r="BE201" s="214"/>
      <c r="BF201" s="214"/>
      <c r="BG201" s="657"/>
      <c r="BH201" s="214"/>
      <c r="BJ201" s="214"/>
      <c r="BK201" s="214"/>
      <c r="BL201" s="214"/>
      <c r="BM201" s="214"/>
      <c r="BN201" s="214"/>
      <c r="BO201" s="214"/>
      <c r="BP201" s="214"/>
      <c r="BQ201" s="214"/>
      <c r="BR201" s="214"/>
      <c r="BS201" s="214"/>
    </row>
    <row r="202" spans="1:71" s="630" customFormat="1" x14ac:dyDescent="0.25">
      <c r="A202" s="214"/>
      <c r="B202" s="214"/>
      <c r="C202" s="214"/>
      <c r="D202" s="214"/>
      <c r="E202" s="214"/>
      <c r="F202" s="214"/>
      <c r="G202" s="214"/>
      <c r="H202" s="214"/>
      <c r="I202" s="214"/>
      <c r="J202" s="214"/>
      <c r="K202" s="214"/>
      <c r="L202" s="214"/>
      <c r="M202" s="214"/>
      <c r="N202" s="214"/>
      <c r="O202" s="214"/>
      <c r="P202" s="214"/>
      <c r="Q202" s="657"/>
      <c r="R202" s="214"/>
      <c r="S202" s="214"/>
      <c r="T202" s="214"/>
      <c r="U202" s="214"/>
      <c r="V202" s="214"/>
      <c r="W202" s="214"/>
      <c r="X202" s="214"/>
      <c r="Y202" s="214"/>
      <c r="Z202" s="214"/>
      <c r="AA202" s="214"/>
      <c r="AB202" s="214"/>
      <c r="AC202" s="214"/>
      <c r="AD202" s="214"/>
      <c r="AE202" s="214"/>
      <c r="AF202" s="214"/>
      <c r="AG202" s="657"/>
      <c r="AH202" s="214"/>
      <c r="AI202" s="214"/>
      <c r="AJ202" s="214"/>
      <c r="AK202" s="214"/>
      <c r="AL202" s="214"/>
      <c r="AM202" s="214"/>
      <c r="AN202" s="214"/>
      <c r="AO202" s="214"/>
      <c r="AP202" s="214"/>
      <c r="AQ202" s="214"/>
      <c r="AR202" s="214"/>
      <c r="AS202" s="214"/>
      <c r="AT202" s="214"/>
      <c r="AU202" s="214"/>
      <c r="AV202" s="214"/>
      <c r="AW202" s="214"/>
      <c r="AX202" s="214"/>
      <c r="AY202" s="214"/>
      <c r="AZ202" s="628"/>
      <c r="BA202" s="214"/>
      <c r="BB202" s="214"/>
      <c r="BC202" s="214"/>
      <c r="BD202" s="214"/>
      <c r="BE202" s="214"/>
      <c r="BF202" s="214"/>
      <c r="BG202" s="657"/>
      <c r="BH202" s="214"/>
      <c r="BJ202" s="214"/>
      <c r="BK202" s="214"/>
      <c r="BL202" s="214"/>
      <c r="BM202" s="214"/>
      <c r="BN202" s="214"/>
      <c r="BO202" s="214"/>
      <c r="BP202" s="214"/>
      <c r="BQ202" s="214"/>
      <c r="BR202" s="214"/>
      <c r="BS202" s="214"/>
    </row>
    <row r="203" spans="1:71" s="630" customFormat="1" x14ac:dyDescent="0.25">
      <c r="A203" s="214"/>
      <c r="B203" s="214"/>
      <c r="C203" s="214"/>
      <c r="D203" s="214"/>
      <c r="E203" s="214"/>
      <c r="F203" s="214"/>
      <c r="G203" s="214"/>
      <c r="H203" s="214"/>
      <c r="I203" s="214"/>
      <c r="J203" s="214"/>
      <c r="K203" s="214"/>
      <c r="L203" s="214"/>
      <c r="M203" s="214"/>
      <c r="N203" s="214"/>
      <c r="O203" s="214"/>
      <c r="P203" s="214"/>
      <c r="Q203" s="657"/>
      <c r="R203" s="214"/>
      <c r="S203" s="214"/>
      <c r="T203" s="214"/>
      <c r="U203" s="214"/>
      <c r="V203" s="214"/>
      <c r="W203" s="214"/>
      <c r="X203" s="214"/>
      <c r="Y203" s="214"/>
      <c r="Z203" s="214"/>
      <c r="AA203" s="214"/>
      <c r="AB203" s="214"/>
      <c r="AC203" s="214"/>
      <c r="AD203" s="214"/>
      <c r="AE203" s="214"/>
      <c r="AF203" s="214"/>
      <c r="AG203" s="657"/>
      <c r="AH203" s="214"/>
      <c r="AI203" s="214"/>
      <c r="AJ203" s="214"/>
      <c r="AK203" s="214"/>
      <c r="AL203" s="214"/>
      <c r="AM203" s="214"/>
      <c r="AN203" s="214"/>
      <c r="AO203" s="214"/>
      <c r="AP203" s="214"/>
      <c r="AQ203" s="214"/>
      <c r="AR203" s="214"/>
      <c r="AS203" s="214"/>
      <c r="AT203" s="214"/>
      <c r="AU203" s="214"/>
      <c r="AV203" s="214"/>
      <c r="AW203" s="214"/>
      <c r="AX203" s="214"/>
      <c r="AY203" s="214"/>
      <c r="AZ203" s="628"/>
      <c r="BA203" s="214"/>
      <c r="BB203" s="214"/>
      <c r="BC203" s="214"/>
      <c r="BD203" s="214"/>
      <c r="BE203" s="214"/>
      <c r="BF203" s="214"/>
      <c r="BG203" s="657"/>
      <c r="BH203" s="214"/>
      <c r="BJ203" s="214"/>
      <c r="BK203" s="214"/>
      <c r="BL203" s="214"/>
      <c r="BM203" s="214"/>
      <c r="BN203" s="214"/>
      <c r="BO203" s="214"/>
      <c r="BP203" s="214"/>
      <c r="BQ203" s="214"/>
      <c r="BR203" s="214"/>
      <c r="BS203" s="214"/>
    </row>
    <row r="204" spans="1:71" s="630" customFormat="1" x14ac:dyDescent="0.25">
      <c r="A204" s="214"/>
      <c r="B204" s="214"/>
      <c r="C204" s="214"/>
      <c r="D204" s="214"/>
      <c r="E204" s="214"/>
      <c r="F204" s="214"/>
      <c r="G204" s="214"/>
      <c r="H204" s="214"/>
      <c r="I204" s="214"/>
      <c r="J204" s="214"/>
      <c r="K204" s="214"/>
      <c r="L204" s="214"/>
      <c r="M204" s="214"/>
      <c r="N204" s="214"/>
      <c r="O204" s="214"/>
      <c r="P204" s="214"/>
      <c r="Q204" s="657"/>
      <c r="R204" s="214"/>
      <c r="S204" s="214"/>
      <c r="T204" s="214"/>
      <c r="U204" s="214"/>
      <c r="V204" s="214"/>
      <c r="W204" s="214"/>
      <c r="X204" s="214"/>
      <c r="Y204" s="214"/>
      <c r="Z204" s="214"/>
      <c r="AA204" s="214"/>
      <c r="AB204" s="214"/>
      <c r="AC204" s="214"/>
      <c r="AD204" s="214"/>
      <c r="AE204" s="214"/>
      <c r="AF204" s="214"/>
      <c r="AG204" s="657"/>
      <c r="AH204" s="214"/>
      <c r="AI204" s="214"/>
      <c r="AJ204" s="214"/>
      <c r="AK204" s="214"/>
      <c r="AL204" s="214"/>
      <c r="AM204" s="214"/>
      <c r="AN204" s="214"/>
      <c r="AO204" s="214"/>
      <c r="AP204" s="214"/>
      <c r="AQ204" s="214"/>
      <c r="AR204" s="214"/>
      <c r="AS204" s="214"/>
      <c r="AT204" s="214"/>
      <c r="AU204" s="214"/>
      <c r="AV204" s="214"/>
      <c r="AW204" s="214"/>
      <c r="AX204" s="214"/>
      <c r="AY204" s="214"/>
      <c r="AZ204" s="628"/>
      <c r="BA204" s="214"/>
      <c r="BB204" s="214"/>
      <c r="BC204" s="214"/>
      <c r="BD204" s="214"/>
      <c r="BE204" s="214"/>
      <c r="BF204" s="214"/>
      <c r="BG204" s="657"/>
      <c r="BH204" s="214"/>
      <c r="BJ204" s="214"/>
      <c r="BK204" s="214"/>
      <c r="BL204" s="214"/>
      <c r="BM204" s="214"/>
      <c r="BN204" s="214"/>
      <c r="BO204" s="214"/>
      <c r="BP204" s="214"/>
      <c r="BQ204" s="214"/>
      <c r="BR204" s="214"/>
      <c r="BS204" s="214"/>
    </row>
    <row r="205" spans="1:71" s="630" customFormat="1" x14ac:dyDescent="0.25">
      <c r="A205" s="214"/>
      <c r="B205" s="214"/>
      <c r="C205" s="214"/>
      <c r="D205" s="214"/>
      <c r="E205" s="214"/>
      <c r="F205" s="214"/>
      <c r="G205" s="214"/>
      <c r="H205" s="214"/>
      <c r="I205" s="214"/>
      <c r="J205" s="214"/>
      <c r="K205" s="214"/>
      <c r="L205" s="214"/>
      <c r="M205" s="214"/>
      <c r="N205" s="214"/>
      <c r="O205" s="214"/>
      <c r="P205" s="214"/>
      <c r="Q205" s="657"/>
      <c r="R205" s="214"/>
      <c r="S205" s="214"/>
      <c r="T205" s="214"/>
      <c r="U205" s="214"/>
      <c r="V205" s="214"/>
      <c r="W205" s="214"/>
      <c r="X205" s="214"/>
      <c r="Y205" s="214"/>
      <c r="Z205" s="214"/>
      <c r="AA205" s="214"/>
      <c r="AB205" s="214"/>
      <c r="AC205" s="214"/>
      <c r="AD205" s="214"/>
      <c r="AE205" s="214"/>
      <c r="AF205" s="214"/>
      <c r="AG205" s="657"/>
      <c r="AH205" s="214"/>
      <c r="AI205" s="214"/>
      <c r="AJ205" s="214"/>
      <c r="AK205" s="214"/>
      <c r="AL205" s="214"/>
      <c r="AM205" s="214"/>
      <c r="AN205" s="214"/>
      <c r="AO205" s="214"/>
      <c r="AP205" s="214"/>
      <c r="AQ205" s="214"/>
      <c r="AR205" s="214"/>
      <c r="AS205" s="214"/>
      <c r="AT205" s="214"/>
      <c r="AU205" s="214"/>
      <c r="AV205" s="214"/>
      <c r="AW205" s="214"/>
      <c r="AX205" s="214"/>
      <c r="AY205" s="214"/>
      <c r="AZ205" s="628"/>
      <c r="BA205" s="214"/>
      <c r="BB205" s="214"/>
      <c r="BC205" s="214"/>
      <c r="BD205" s="214"/>
      <c r="BE205" s="214"/>
      <c r="BF205" s="214"/>
      <c r="BG205" s="657"/>
      <c r="BH205" s="214"/>
      <c r="BJ205" s="214"/>
      <c r="BK205" s="214"/>
      <c r="BL205" s="214"/>
      <c r="BM205" s="214"/>
      <c r="BN205" s="214"/>
      <c r="BO205" s="214"/>
      <c r="BP205" s="214"/>
      <c r="BQ205" s="214"/>
      <c r="BR205" s="214"/>
      <c r="BS205" s="214"/>
    </row>
    <row r="206" spans="1:71" s="630" customFormat="1" x14ac:dyDescent="0.25">
      <c r="A206" s="214"/>
      <c r="B206" s="214"/>
      <c r="C206" s="214"/>
      <c r="D206" s="214"/>
      <c r="E206" s="214"/>
      <c r="F206" s="214"/>
      <c r="G206" s="214"/>
      <c r="H206" s="214"/>
      <c r="I206" s="214"/>
      <c r="J206" s="214"/>
      <c r="K206" s="214"/>
      <c r="L206" s="214"/>
      <c r="M206" s="214"/>
      <c r="N206" s="214"/>
      <c r="O206" s="214"/>
      <c r="P206" s="214"/>
      <c r="Q206" s="657"/>
      <c r="R206" s="214"/>
      <c r="S206" s="214"/>
      <c r="T206" s="214"/>
      <c r="U206" s="214"/>
      <c r="V206" s="214"/>
      <c r="W206" s="214"/>
      <c r="X206" s="214"/>
      <c r="Y206" s="214"/>
      <c r="Z206" s="214"/>
      <c r="AA206" s="214"/>
      <c r="AB206" s="214"/>
      <c r="AC206" s="214"/>
      <c r="AD206" s="214"/>
      <c r="AE206" s="214"/>
      <c r="AF206" s="214"/>
      <c r="AG206" s="657"/>
      <c r="AH206" s="214"/>
      <c r="AI206" s="214"/>
      <c r="AJ206" s="214"/>
      <c r="AK206" s="214"/>
      <c r="AL206" s="214"/>
      <c r="AM206" s="214"/>
      <c r="AN206" s="214"/>
      <c r="AO206" s="214"/>
      <c r="AP206" s="214"/>
      <c r="AQ206" s="214"/>
      <c r="AR206" s="214"/>
      <c r="AS206" s="214"/>
      <c r="AT206" s="214"/>
      <c r="AU206" s="214"/>
      <c r="AV206" s="214"/>
      <c r="AW206" s="214"/>
      <c r="AX206" s="214"/>
      <c r="AY206" s="214"/>
      <c r="AZ206" s="628"/>
      <c r="BA206" s="214"/>
      <c r="BB206" s="214"/>
      <c r="BC206" s="214"/>
      <c r="BD206" s="214"/>
      <c r="BE206" s="214"/>
      <c r="BF206" s="214"/>
      <c r="BG206" s="657"/>
      <c r="BH206" s="214"/>
      <c r="BJ206" s="214"/>
      <c r="BK206" s="214"/>
      <c r="BL206" s="214"/>
      <c r="BM206" s="214"/>
      <c r="BN206" s="214"/>
      <c r="BO206" s="214"/>
      <c r="BP206" s="214"/>
      <c r="BQ206" s="214"/>
      <c r="BR206" s="214"/>
      <c r="BS206" s="214"/>
    </row>
    <row r="207" spans="1:71" s="630" customFormat="1" x14ac:dyDescent="0.25">
      <c r="A207" s="214"/>
      <c r="B207" s="214"/>
      <c r="C207" s="214"/>
      <c r="D207" s="214"/>
      <c r="E207" s="214"/>
      <c r="F207" s="214"/>
      <c r="G207" s="214"/>
      <c r="H207" s="214"/>
      <c r="I207" s="214"/>
      <c r="J207" s="214"/>
      <c r="K207" s="214"/>
      <c r="L207" s="214"/>
      <c r="M207" s="214"/>
      <c r="N207" s="214"/>
      <c r="O207" s="214"/>
      <c r="P207" s="214"/>
      <c r="Q207" s="657"/>
      <c r="R207" s="214"/>
      <c r="S207" s="214"/>
      <c r="T207" s="214"/>
      <c r="U207" s="214"/>
      <c r="V207" s="214"/>
      <c r="W207" s="214"/>
      <c r="X207" s="214"/>
      <c r="Y207" s="214"/>
      <c r="Z207" s="214"/>
      <c r="AA207" s="214"/>
      <c r="AB207" s="214"/>
      <c r="AC207" s="214"/>
      <c r="AD207" s="214"/>
      <c r="AE207" s="214"/>
      <c r="AF207" s="214"/>
      <c r="AG207" s="657"/>
      <c r="AH207" s="214"/>
      <c r="AI207" s="214"/>
      <c r="AJ207" s="214"/>
      <c r="AK207" s="214"/>
      <c r="AL207" s="214"/>
      <c r="AM207" s="214"/>
      <c r="AN207" s="214"/>
      <c r="AO207" s="214"/>
      <c r="AP207" s="214"/>
      <c r="AQ207" s="214"/>
      <c r="AR207" s="214"/>
      <c r="AS207" s="214"/>
      <c r="AT207" s="214"/>
      <c r="AU207" s="214"/>
      <c r="AV207" s="214"/>
      <c r="AW207" s="214"/>
      <c r="AX207" s="214"/>
      <c r="AY207" s="214"/>
      <c r="AZ207" s="628"/>
      <c r="BA207" s="214"/>
      <c r="BB207" s="214"/>
      <c r="BC207" s="214"/>
      <c r="BD207" s="214"/>
      <c r="BE207" s="214"/>
      <c r="BF207" s="214"/>
      <c r="BG207" s="657"/>
      <c r="BH207" s="214"/>
      <c r="BJ207" s="214"/>
      <c r="BK207" s="214"/>
      <c r="BL207" s="214"/>
      <c r="BM207" s="214"/>
      <c r="BN207" s="214"/>
      <c r="BO207" s="214"/>
      <c r="BP207" s="214"/>
      <c r="BQ207" s="214"/>
      <c r="BR207" s="214"/>
      <c r="BS207" s="214"/>
    </row>
    <row r="208" spans="1:71" s="630" customFormat="1" x14ac:dyDescent="0.25">
      <c r="A208" s="214"/>
      <c r="B208" s="214"/>
      <c r="C208" s="214"/>
      <c r="D208" s="214"/>
      <c r="E208" s="214"/>
      <c r="F208" s="214"/>
      <c r="G208" s="214"/>
      <c r="H208" s="214"/>
      <c r="I208" s="214"/>
      <c r="J208" s="214"/>
      <c r="K208" s="214"/>
      <c r="L208" s="214"/>
      <c r="M208" s="214"/>
      <c r="N208" s="214"/>
      <c r="O208" s="214"/>
      <c r="P208" s="214"/>
      <c r="Q208" s="657"/>
      <c r="R208" s="214"/>
      <c r="S208" s="214"/>
      <c r="T208" s="214"/>
      <c r="U208" s="214"/>
      <c r="V208" s="214"/>
      <c r="W208" s="214"/>
      <c r="X208" s="214"/>
      <c r="Y208" s="214"/>
      <c r="Z208" s="214"/>
      <c r="AA208" s="214"/>
      <c r="AB208" s="214"/>
      <c r="AC208" s="214"/>
      <c r="AD208" s="214"/>
      <c r="AE208" s="214"/>
      <c r="AF208" s="214"/>
      <c r="AG208" s="657"/>
      <c r="AH208" s="214"/>
      <c r="AI208" s="214"/>
      <c r="AJ208" s="214"/>
      <c r="AK208" s="214"/>
      <c r="AL208" s="214"/>
      <c r="AM208" s="214"/>
      <c r="AN208" s="214"/>
      <c r="AO208" s="214"/>
      <c r="AP208" s="214"/>
      <c r="AQ208" s="214"/>
      <c r="AR208" s="214"/>
      <c r="AS208" s="214"/>
      <c r="AT208" s="214"/>
      <c r="AU208" s="214"/>
      <c r="AV208" s="214"/>
      <c r="AW208" s="214"/>
      <c r="AX208" s="214"/>
      <c r="AY208" s="214"/>
      <c r="AZ208" s="628"/>
      <c r="BA208" s="214"/>
      <c r="BB208" s="214"/>
      <c r="BC208" s="214"/>
      <c r="BD208" s="214"/>
      <c r="BE208" s="214"/>
      <c r="BF208" s="214"/>
      <c r="BG208" s="657"/>
      <c r="BH208" s="214"/>
      <c r="BJ208" s="214"/>
      <c r="BK208" s="214"/>
      <c r="BL208" s="214"/>
      <c r="BM208" s="214"/>
      <c r="BN208" s="214"/>
      <c r="BO208" s="214"/>
      <c r="BP208" s="214"/>
      <c r="BQ208" s="214"/>
      <c r="BR208" s="214"/>
      <c r="BS208" s="214"/>
    </row>
    <row r="209" spans="1:71" s="630" customFormat="1" x14ac:dyDescent="0.25">
      <c r="A209" s="214"/>
      <c r="B209" s="214"/>
      <c r="C209" s="214"/>
      <c r="D209" s="214"/>
      <c r="E209" s="214"/>
      <c r="F209" s="214"/>
      <c r="G209" s="214"/>
      <c r="H209" s="214"/>
      <c r="I209" s="214"/>
      <c r="J209" s="214"/>
      <c r="K209" s="214"/>
      <c r="L209" s="214"/>
      <c r="M209" s="214"/>
      <c r="N209" s="214"/>
      <c r="O209" s="214"/>
      <c r="P209" s="214"/>
      <c r="Q209" s="657"/>
      <c r="R209" s="214"/>
      <c r="S209" s="214"/>
      <c r="T209" s="214"/>
      <c r="U209" s="214"/>
      <c r="V209" s="214"/>
      <c r="W209" s="214"/>
      <c r="X209" s="214"/>
      <c r="Y209" s="214"/>
      <c r="Z209" s="214"/>
      <c r="AA209" s="214"/>
      <c r="AB209" s="214"/>
      <c r="AC209" s="214"/>
      <c r="AD209" s="214"/>
      <c r="AE209" s="214"/>
      <c r="AF209" s="214"/>
      <c r="AG209" s="657"/>
      <c r="AH209" s="214"/>
      <c r="AI209" s="214"/>
      <c r="AJ209" s="214"/>
      <c r="AK209" s="214"/>
      <c r="AL209" s="214"/>
      <c r="AM209" s="214"/>
      <c r="AN209" s="214"/>
      <c r="AO209" s="214"/>
      <c r="AP209" s="214"/>
      <c r="AQ209" s="214"/>
      <c r="AR209" s="214"/>
      <c r="AS209" s="214"/>
      <c r="AT209" s="214"/>
      <c r="AU209" s="214"/>
      <c r="AV209" s="214"/>
      <c r="AW209" s="214"/>
      <c r="AX209" s="214"/>
      <c r="AY209" s="214"/>
      <c r="AZ209" s="628"/>
      <c r="BA209" s="214"/>
      <c r="BB209" s="214"/>
      <c r="BC209" s="214"/>
      <c r="BD209" s="214"/>
      <c r="BE209" s="214"/>
      <c r="BF209" s="214"/>
      <c r="BG209" s="657"/>
      <c r="BH209" s="214"/>
      <c r="BJ209" s="214"/>
      <c r="BK209" s="214"/>
      <c r="BL209" s="214"/>
      <c r="BM209" s="214"/>
      <c r="BN209" s="214"/>
      <c r="BO209" s="214"/>
      <c r="BP209" s="214"/>
      <c r="BQ209" s="214"/>
      <c r="BR209" s="214"/>
      <c r="BS209" s="214"/>
    </row>
    <row r="210" spans="1:71" s="630" customFormat="1" x14ac:dyDescent="0.25">
      <c r="A210" s="214"/>
      <c r="B210" s="214"/>
      <c r="C210" s="214"/>
      <c r="D210" s="214"/>
      <c r="E210" s="214"/>
      <c r="F210" s="214"/>
      <c r="G210" s="214"/>
      <c r="H210" s="214"/>
      <c r="I210" s="214"/>
      <c r="J210" s="214"/>
      <c r="K210" s="214"/>
      <c r="L210" s="214"/>
      <c r="M210" s="214"/>
      <c r="N210" s="214"/>
      <c r="O210" s="214"/>
      <c r="P210" s="214"/>
      <c r="Q210" s="657"/>
      <c r="R210" s="214"/>
      <c r="S210" s="214"/>
      <c r="T210" s="214"/>
      <c r="U210" s="214"/>
      <c r="V210" s="214"/>
      <c r="W210" s="214"/>
      <c r="X210" s="214"/>
      <c r="Y210" s="214"/>
      <c r="Z210" s="214"/>
      <c r="AA210" s="214"/>
      <c r="AB210" s="214"/>
      <c r="AC210" s="214"/>
      <c r="AD210" s="214"/>
      <c r="AE210" s="214"/>
      <c r="AF210" s="214"/>
      <c r="AG210" s="657"/>
      <c r="AH210" s="214"/>
      <c r="AI210" s="214"/>
      <c r="AJ210" s="214"/>
      <c r="AK210" s="214"/>
      <c r="AL210" s="214"/>
      <c r="AM210" s="214"/>
      <c r="AN210" s="214"/>
      <c r="AO210" s="214"/>
      <c r="AP210" s="214"/>
      <c r="AQ210" s="214"/>
      <c r="AR210" s="214"/>
      <c r="AS210" s="214"/>
      <c r="AT210" s="214"/>
      <c r="AU210" s="214"/>
      <c r="AV210" s="214"/>
      <c r="AW210" s="214"/>
      <c r="AX210" s="214"/>
      <c r="AY210" s="214"/>
      <c r="AZ210" s="628"/>
      <c r="BA210" s="214"/>
      <c r="BB210" s="214"/>
      <c r="BC210" s="214"/>
      <c r="BD210" s="214"/>
      <c r="BE210" s="214"/>
      <c r="BF210" s="214"/>
      <c r="BG210" s="657"/>
      <c r="BH210" s="214"/>
      <c r="BJ210" s="214"/>
      <c r="BK210" s="214"/>
      <c r="BL210" s="214"/>
      <c r="BM210" s="214"/>
      <c r="BN210" s="214"/>
      <c r="BO210" s="214"/>
      <c r="BP210" s="214"/>
      <c r="BQ210" s="214"/>
      <c r="BR210" s="214"/>
      <c r="BS210" s="214"/>
    </row>
    <row r="211" spans="1:71" s="630" customFormat="1" x14ac:dyDescent="0.25">
      <c r="A211" s="214"/>
      <c r="B211" s="214"/>
      <c r="C211" s="214"/>
      <c r="D211" s="214"/>
      <c r="E211" s="214"/>
      <c r="F211" s="214"/>
      <c r="G211" s="214"/>
      <c r="H211" s="214"/>
      <c r="I211" s="214"/>
      <c r="J211" s="214"/>
      <c r="K211" s="214"/>
      <c r="L211" s="214"/>
      <c r="M211" s="214"/>
      <c r="N211" s="214"/>
      <c r="O211" s="214"/>
      <c r="P211" s="214"/>
      <c r="Q211" s="657"/>
      <c r="R211" s="214"/>
      <c r="S211" s="214"/>
      <c r="T211" s="214"/>
      <c r="U211" s="214"/>
      <c r="V211" s="214"/>
      <c r="W211" s="214"/>
      <c r="X211" s="214"/>
      <c r="Y211" s="214"/>
      <c r="Z211" s="214"/>
      <c r="AA211" s="214"/>
      <c r="AB211" s="214"/>
      <c r="AC211" s="214"/>
      <c r="AD211" s="214"/>
      <c r="AE211" s="214"/>
      <c r="AF211" s="214"/>
      <c r="AG211" s="657"/>
      <c r="AH211" s="214"/>
      <c r="AI211" s="214"/>
      <c r="AJ211" s="214"/>
      <c r="AK211" s="214"/>
      <c r="AL211" s="214"/>
      <c r="AM211" s="214"/>
      <c r="AN211" s="214"/>
      <c r="AO211" s="214"/>
      <c r="AP211" s="214"/>
      <c r="AQ211" s="214"/>
      <c r="AR211" s="214"/>
      <c r="AS211" s="214"/>
      <c r="AT211" s="214"/>
      <c r="AU211" s="214"/>
      <c r="AV211" s="214"/>
      <c r="AW211" s="214"/>
      <c r="AX211" s="214"/>
      <c r="AY211" s="214"/>
      <c r="AZ211" s="628"/>
      <c r="BA211" s="214"/>
      <c r="BB211" s="214"/>
      <c r="BC211" s="214"/>
      <c r="BD211" s="214"/>
      <c r="BE211" s="214"/>
      <c r="BF211" s="214"/>
      <c r="BG211" s="657"/>
      <c r="BH211" s="214"/>
      <c r="BJ211" s="214"/>
      <c r="BK211" s="214"/>
      <c r="BL211" s="214"/>
      <c r="BM211" s="214"/>
      <c r="BN211" s="214"/>
      <c r="BO211" s="214"/>
      <c r="BP211" s="214"/>
      <c r="BQ211" s="214"/>
      <c r="BR211" s="214"/>
      <c r="BS211" s="214"/>
    </row>
    <row r="212" spans="1:71" s="630" customFormat="1" x14ac:dyDescent="0.25">
      <c r="A212" s="214"/>
      <c r="B212" s="214"/>
      <c r="C212" s="214"/>
      <c r="D212" s="214"/>
      <c r="E212" s="214"/>
      <c r="F212" s="214"/>
      <c r="G212" s="214"/>
      <c r="H212" s="214"/>
      <c r="I212" s="214"/>
      <c r="J212" s="214"/>
      <c r="K212" s="214"/>
      <c r="L212" s="214"/>
      <c r="M212" s="214"/>
      <c r="N212" s="214"/>
      <c r="O212" s="214"/>
      <c r="P212" s="214"/>
      <c r="Q212" s="657"/>
      <c r="R212" s="214"/>
      <c r="S212" s="214"/>
      <c r="T212" s="214"/>
      <c r="U212" s="214"/>
      <c r="V212" s="214"/>
      <c r="W212" s="214"/>
      <c r="X212" s="214"/>
      <c r="Y212" s="214"/>
      <c r="Z212" s="214"/>
      <c r="AA212" s="214"/>
      <c r="AB212" s="214"/>
      <c r="AC212" s="214"/>
      <c r="AD212" s="214"/>
      <c r="AE212" s="214"/>
      <c r="AF212" s="214"/>
      <c r="AG212" s="657"/>
      <c r="AH212" s="214"/>
      <c r="AI212" s="214"/>
      <c r="AJ212" s="214"/>
      <c r="AK212" s="214"/>
      <c r="AL212" s="214"/>
      <c r="AM212" s="214"/>
      <c r="AN212" s="214"/>
      <c r="AO212" s="214"/>
      <c r="AP212" s="214"/>
      <c r="AQ212" s="214"/>
      <c r="AR212" s="214"/>
      <c r="AS212" s="214"/>
      <c r="AT212" s="214"/>
      <c r="AU212" s="214"/>
      <c r="AV212" s="214"/>
      <c r="AW212" s="214"/>
      <c r="AX212" s="214"/>
      <c r="AY212" s="214"/>
      <c r="AZ212" s="628"/>
      <c r="BA212" s="214"/>
      <c r="BB212" s="214"/>
      <c r="BC212" s="214"/>
      <c r="BD212" s="214"/>
      <c r="BE212" s="214"/>
      <c r="BF212" s="214"/>
      <c r="BG212" s="657"/>
      <c r="BH212" s="214"/>
      <c r="BJ212" s="214"/>
      <c r="BK212" s="214"/>
      <c r="BL212" s="214"/>
      <c r="BM212" s="214"/>
      <c r="BN212" s="214"/>
      <c r="BO212" s="214"/>
      <c r="BP212" s="214"/>
      <c r="BQ212" s="214"/>
      <c r="BR212" s="214"/>
      <c r="BS212" s="214"/>
    </row>
    <row r="213" spans="1:71" s="630" customFormat="1" x14ac:dyDescent="0.25">
      <c r="A213" s="214"/>
      <c r="B213" s="214"/>
      <c r="C213" s="214"/>
      <c r="D213" s="214"/>
      <c r="E213" s="214"/>
      <c r="F213" s="214"/>
      <c r="G213" s="214"/>
      <c r="H213" s="214"/>
      <c r="I213" s="214"/>
      <c r="J213" s="214"/>
      <c r="K213" s="214"/>
      <c r="L213" s="214"/>
      <c r="M213" s="214"/>
      <c r="N213" s="214"/>
      <c r="O213" s="214"/>
      <c r="P213" s="214"/>
      <c r="Q213" s="657"/>
      <c r="R213" s="214"/>
      <c r="S213" s="214"/>
      <c r="T213" s="214"/>
      <c r="U213" s="214"/>
      <c r="V213" s="214"/>
      <c r="W213" s="214"/>
      <c r="X213" s="214"/>
      <c r="Y213" s="214"/>
      <c r="Z213" s="214"/>
      <c r="AA213" s="214"/>
      <c r="AB213" s="214"/>
      <c r="AC213" s="214"/>
      <c r="AD213" s="214"/>
      <c r="AE213" s="214"/>
      <c r="AF213" s="214"/>
      <c r="AG213" s="657"/>
      <c r="AH213" s="214"/>
      <c r="AI213" s="214"/>
      <c r="AJ213" s="214"/>
      <c r="AK213" s="214"/>
      <c r="AL213" s="214"/>
      <c r="AM213" s="214"/>
      <c r="AN213" s="214"/>
      <c r="AO213" s="214"/>
      <c r="AP213" s="214"/>
      <c r="AQ213" s="214"/>
      <c r="AR213" s="214"/>
      <c r="AS213" s="214"/>
      <c r="AT213" s="214"/>
      <c r="AU213" s="214"/>
      <c r="AV213" s="214"/>
      <c r="AW213" s="214"/>
      <c r="AX213" s="214"/>
      <c r="AY213" s="214"/>
      <c r="AZ213" s="628"/>
      <c r="BA213" s="214"/>
      <c r="BB213" s="214"/>
      <c r="BC213" s="214"/>
      <c r="BD213" s="214"/>
      <c r="BE213" s="214"/>
      <c r="BF213" s="214"/>
      <c r="BG213" s="657"/>
      <c r="BH213" s="214"/>
      <c r="BJ213" s="214"/>
      <c r="BK213" s="214"/>
      <c r="BL213" s="214"/>
      <c r="BM213" s="214"/>
      <c r="BN213" s="214"/>
      <c r="BO213" s="214"/>
      <c r="BP213" s="214"/>
      <c r="BQ213" s="214"/>
      <c r="BR213" s="214"/>
      <c r="BS213" s="214"/>
    </row>
    <row r="214" spans="1:71" s="630" customFormat="1" x14ac:dyDescent="0.25">
      <c r="A214" s="214"/>
      <c r="B214" s="214"/>
      <c r="C214" s="214"/>
      <c r="D214" s="214"/>
      <c r="E214" s="214"/>
      <c r="F214" s="214"/>
      <c r="G214" s="214"/>
      <c r="H214" s="214"/>
      <c r="I214" s="214"/>
      <c r="J214" s="214"/>
      <c r="K214" s="214"/>
      <c r="L214" s="214"/>
      <c r="M214" s="214"/>
      <c r="N214" s="214"/>
      <c r="O214" s="214"/>
      <c r="P214" s="214"/>
      <c r="Q214" s="657"/>
      <c r="R214" s="214"/>
      <c r="S214" s="214"/>
      <c r="T214" s="214"/>
      <c r="U214" s="214"/>
      <c r="V214" s="214"/>
      <c r="W214" s="214"/>
      <c r="X214" s="214"/>
      <c r="Y214" s="214"/>
      <c r="Z214" s="214"/>
      <c r="AA214" s="214"/>
      <c r="AB214" s="214"/>
      <c r="AC214" s="214"/>
      <c r="AD214" s="214"/>
      <c r="AE214" s="214"/>
      <c r="AF214" s="214"/>
      <c r="AG214" s="657"/>
      <c r="AH214" s="214"/>
      <c r="AI214" s="214"/>
      <c r="AJ214" s="214"/>
      <c r="AK214" s="214"/>
      <c r="AL214" s="214"/>
      <c r="AM214" s="214"/>
      <c r="AN214" s="214"/>
      <c r="AO214" s="214"/>
      <c r="AP214" s="214"/>
      <c r="AQ214" s="214"/>
      <c r="AR214" s="214"/>
      <c r="AS214" s="214"/>
      <c r="AT214" s="214"/>
      <c r="AU214" s="214"/>
      <c r="AV214" s="214"/>
      <c r="AW214" s="214"/>
      <c r="AX214" s="214"/>
      <c r="AY214" s="214"/>
      <c r="AZ214" s="628"/>
      <c r="BA214" s="214"/>
      <c r="BB214" s="214"/>
      <c r="BC214" s="214"/>
      <c r="BD214" s="214"/>
      <c r="BE214" s="214"/>
      <c r="BF214" s="214"/>
      <c r="BG214" s="657"/>
      <c r="BH214" s="214"/>
      <c r="BJ214" s="214"/>
      <c r="BK214" s="214"/>
      <c r="BL214" s="214"/>
      <c r="BM214" s="214"/>
      <c r="BN214" s="214"/>
      <c r="BO214" s="214"/>
      <c r="BP214" s="214"/>
      <c r="BQ214" s="214"/>
      <c r="BR214" s="214"/>
      <c r="BS214" s="214"/>
    </row>
    <row r="215" spans="1:71" s="630" customFormat="1" x14ac:dyDescent="0.25">
      <c r="A215" s="214"/>
      <c r="B215" s="214"/>
      <c r="C215" s="214"/>
      <c r="D215" s="214"/>
      <c r="E215" s="214"/>
      <c r="F215" s="214"/>
      <c r="G215" s="214"/>
      <c r="H215" s="214"/>
      <c r="I215" s="214"/>
      <c r="J215" s="214"/>
      <c r="K215" s="214"/>
      <c r="L215" s="214"/>
      <c r="M215" s="214"/>
      <c r="N215" s="214"/>
      <c r="O215" s="214"/>
      <c r="P215" s="214"/>
      <c r="Q215" s="657"/>
      <c r="R215" s="214"/>
      <c r="S215" s="214"/>
      <c r="T215" s="214"/>
      <c r="U215" s="214"/>
      <c r="V215" s="214"/>
      <c r="W215" s="214"/>
      <c r="X215" s="214"/>
      <c r="Y215" s="214"/>
      <c r="Z215" s="214"/>
      <c r="AA215" s="214"/>
      <c r="AB215" s="214"/>
      <c r="AC215" s="214"/>
      <c r="AD215" s="214"/>
      <c r="AE215" s="214"/>
      <c r="AF215" s="214"/>
      <c r="AG215" s="657"/>
      <c r="AH215" s="214"/>
      <c r="AI215" s="214"/>
      <c r="AJ215" s="214"/>
      <c r="AK215" s="214"/>
      <c r="AL215" s="214"/>
      <c r="AM215" s="214"/>
      <c r="AN215" s="214"/>
      <c r="AO215" s="214"/>
      <c r="AP215" s="214"/>
      <c r="AQ215" s="214"/>
      <c r="AR215" s="214"/>
      <c r="AS215" s="214"/>
      <c r="AT215" s="214"/>
      <c r="AU215" s="214"/>
      <c r="AV215" s="214"/>
      <c r="AW215" s="214"/>
      <c r="AX215" s="214"/>
      <c r="AY215" s="214"/>
      <c r="AZ215" s="628"/>
      <c r="BA215" s="214"/>
      <c r="BB215" s="214"/>
      <c r="BC215" s="214"/>
      <c r="BD215" s="214"/>
      <c r="BE215" s="214"/>
      <c r="BF215" s="214"/>
      <c r="BG215" s="657"/>
      <c r="BH215" s="214"/>
      <c r="BJ215" s="214"/>
      <c r="BK215" s="214"/>
      <c r="BL215" s="214"/>
      <c r="BM215" s="214"/>
      <c r="BN215" s="214"/>
      <c r="BO215" s="214"/>
      <c r="BP215" s="214"/>
      <c r="BQ215" s="214"/>
      <c r="BR215" s="214"/>
      <c r="BS215" s="214"/>
    </row>
    <row r="216" spans="1:71" s="630" customFormat="1" x14ac:dyDescent="0.25">
      <c r="A216" s="214"/>
      <c r="B216" s="214"/>
      <c r="C216" s="214"/>
      <c r="D216" s="214"/>
      <c r="E216" s="214"/>
      <c r="F216" s="214"/>
      <c r="G216" s="214"/>
      <c r="H216" s="214"/>
      <c r="I216" s="214"/>
      <c r="J216" s="214"/>
      <c r="K216" s="214"/>
      <c r="L216" s="214"/>
      <c r="M216" s="214"/>
      <c r="N216" s="214"/>
      <c r="O216" s="214"/>
      <c r="P216" s="214"/>
      <c r="Q216" s="657"/>
      <c r="R216" s="214"/>
      <c r="S216" s="214"/>
      <c r="T216" s="214"/>
      <c r="U216" s="214"/>
      <c r="V216" s="214"/>
      <c r="W216" s="214"/>
      <c r="X216" s="214"/>
      <c r="Y216" s="214"/>
      <c r="Z216" s="214"/>
      <c r="AA216" s="214"/>
      <c r="AB216" s="214"/>
      <c r="AC216" s="214"/>
      <c r="AD216" s="214"/>
      <c r="AE216" s="214"/>
      <c r="AF216" s="214"/>
      <c r="AG216" s="657"/>
      <c r="AH216" s="214"/>
      <c r="AI216" s="214"/>
      <c r="AJ216" s="214"/>
      <c r="AK216" s="214"/>
      <c r="AL216" s="214"/>
      <c r="AM216" s="214"/>
      <c r="AN216" s="214"/>
      <c r="AO216" s="214"/>
      <c r="AP216" s="214"/>
      <c r="AQ216" s="214"/>
      <c r="AR216" s="214"/>
      <c r="AS216" s="214"/>
      <c r="AT216" s="214"/>
      <c r="AU216" s="214"/>
      <c r="AV216" s="214"/>
      <c r="AW216" s="214"/>
      <c r="AX216" s="214"/>
      <c r="AY216" s="214"/>
      <c r="AZ216" s="628"/>
      <c r="BA216" s="214"/>
      <c r="BB216" s="214"/>
      <c r="BC216" s="214"/>
      <c r="BD216" s="214"/>
      <c r="BE216" s="214"/>
      <c r="BF216" s="214"/>
      <c r="BG216" s="657"/>
      <c r="BH216" s="214"/>
      <c r="BJ216" s="214"/>
      <c r="BK216" s="214"/>
      <c r="BL216" s="214"/>
      <c r="BM216" s="214"/>
      <c r="BN216" s="214"/>
      <c r="BO216" s="214"/>
      <c r="BP216" s="214"/>
      <c r="BQ216" s="214"/>
      <c r="BR216" s="214"/>
      <c r="BS216" s="214"/>
    </row>
    <row r="217" spans="1:71" s="630" customFormat="1" x14ac:dyDescent="0.25">
      <c r="A217" s="214"/>
      <c r="B217" s="214"/>
      <c r="C217" s="214"/>
      <c r="D217" s="214"/>
      <c r="E217" s="214"/>
      <c r="F217" s="214"/>
      <c r="G217" s="214"/>
      <c r="H217" s="214"/>
      <c r="I217" s="214"/>
      <c r="J217" s="214"/>
      <c r="K217" s="214"/>
      <c r="L217" s="214"/>
      <c r="M217" s="214"/>
      <c r="N217" s="214"/>
      <c r="O217" s="214"/>
      <c r="P217" s="214"/>
      <c r="Q217" s="657"/>
      <c r="R217" s="214"/>
      <c r="S217" s="214"/>
      <c r="T217" s="214"/>
      <c r="U217" s="214"/>
      <c r="V217" s="214"/>
      <c r="W217" s="214"/>
      <c r="X217" s="214"/>
      <c r="Y217" s="214"/>
      <c r="Z217" s="214"/>
      <c r="AA217" s="214"/>
      <c r="AB217" s="214"/>
      <c r="AC217" s="214"/>
      <c r="AD217" s="214"/>
      <c r="AE217" s="214"/>
      <c r="AF217" s="214"/>
      <c r="AG217" s="657"/>
      <c r="AH217" s="214"/>
      <c r="AI217" s="214"/>
      <c r="AJ217" s="214"/>
      <c r="AK217" s="214"/>
      <c r="AL217" s="214"/>
      <c r="AM217" s="214"/>
      <c r="AN217" s="214"/>
      <c r="AO217" s="214"/>
      <c r="AP217" s="214"/>
      <c r="AQ217" s="214"/>
      <c r="AR217" s="214"/>
      <c r="AS217" s="214"/>
      <c r="AT217" s="214"/>
      <c r="AU217" s="214"/>
      <c r="AV217" s="214"/>
      <c r="AW217" s="214"/>
      <c r="AX217" s="214"/>
      <c r="AY217" s="214"/>
      <c r="AZ217" s="628"/>
      <c r="BA217" s="214"/>
      <c r="BB217" s="214"/>
      <c r="BC217" s="214"/>
      <c r="BD217" s="214"/>
      <c r="BE217" s="214"/>
      <c r="BF217" s="214"/>
      <c r="BG217" s="657"/>
      <c r="BH217" s="214"/>
      <c r="BJ217" s="214"/>
      <c r="BK217" s="214"/>
      <c r="BL217" s="214"/>
      <c r="BM217" s="214"/>
      <c r="BN217" s="214"/>
      <c r="BO217" s="214"/>
      <c r="BP217" s="214"/>
      <c r="BQ217" s="214"/>
      <c r="BR217" s="214"/>
      <c r="BS217" s="214"/>
    </row>
    <row r="218" spans="1:71" s="630" customFormat="1" x14ac:dyDescent="0.25">
      <c r="A218" s="214"/>
      <c r="B218" s="214"/>
      <c r="C218" s="214"/>
      <c r="D218" s="214"/>
      <c r="E218" s="214"/>
      <c r="F218" s="214"/>
      <c r="G218" s="214"/>
      <c r="H218" s="214"/>
      <c r="I218" s="214"/>
      <c r="J218" s="214"/>
      <c r="K218" s="214"/>
      <c r="L218" s="214"/>
      <c r="M218" s="214"/>
      <c r="N218" s="214"/>
      <c r="O218" s="214"/>
      <c r="P218" s="214"/>
      <c r="Q218" s="657"/>
      <c r="R218" s="214"/>
      <c r="S218" s="214"/>
      <c r="T218" s="214"/>
      <c r="U218" s="214"/>
      <c r="V218" s="214"/>
      <c r="W218" s="214"/>
      <c r="X218" s="214"/>
      <c r="Y218" s="214"/>
      <c r="Z218" s="214"/>
      <c r="AA218" s="214"/>
      <c r="AB218" s="214"/>
      <c r="AC218" s="214"/>
      <c r="AD218" s="214"/>
      <c r="AE218" s="214"/>
      <c r="AF218" s="214"/>
      <c r="AG218" s="657"/>
      <c r="AH218" s="214"/>
      <c r="AI218" s="214"/>
      <c r="AJ218" s="214"/>
      <c r="AK218" s="214"/>
      <c r="AL218" s="214"/>
      <c r="AM218" s="214"/>
      <c r="AN218" s="214"/>
      <c r="AO218" s="214"/>
      <c r="AP218" s="214"/>
      <c r="AQ218" s="214"/>
      <c r="AR218" s="214"/>
      <c r="AS218" s="214"/>
      <c r="AT218" s="214"/>
      <c r="AU218" s="214"/>
      <c r="AV218" s="214"/>
      <c r="AW218" s="214"/>
      <c r="AX218" s="214"/>
      <c r="AY218" s="214"/>
      <c r="AZ218" s="628"/>
      <c r="BA218" s="214"/>
      <c r="BB218" s="214"/>
      <c r="BC218" s="214"/>
      <c r="BD218" s="214"/>
      <c r="BE218" s="214"/>
      <c r="BF218" s="214"/>
      <c r="BG218" s="657"/>
      <c r="BH218" s="214"/>
      <c r="BJ218" s="214"/>
      <c r="BK218" s="214"/>
      <c r="BL218" s="214"/>
      <c r="BM218" s="214"/>
      <c r="BN218" s="214"/>
      <c r="BO218" s="214"/>
      <c r="BP218" s="214"/>
      <c r="BQ218" s="214"/>
      <c r="BR218" s="214"/>
      <c r="BS218" s="214"/>
    </row>
    <row r="219" spans="1:71" s="630" customFormat="1" x14ac:dyDescent="0.25">
      <c r="A219" s="214"/>
      <c r="B219" s="214"/>
      <c r="C219" s="214"/>
      <c r="D219" s="214"/>
      <c r="E219" s="214"/>
      <c r="F219" s="214"/>
      <c r="G219" s="214"/>
      <c r="H219" s="214"/>
      <c r="I219" s="214"/>
      <c r="J219" s="214"/>
      <c r="K219" s="214"/>
      <c r="L219" s="214"/>
      <c r="M219" s="214"/>
      <c r="N219" s="214"/>
      <c r="O219" s="214"/>
      <c r="P219" s="214"/>
      <c r="Q219" s="657"/>
      <c r="R219" s="214"/>
      <c r="S219" s="214"/>
      <c r="T219" s="214"/>
      <c r="U219" s="214"/>
      <c r="V219" s="214"/>
      <c r="W219" s="214"/>
      <c r="X219" s="214"/>
      <c r="Y219" s="214"/>
      <c r="Z219" s="214"/>
      <c r="AA219" s="214"/>
      <c r="AB219" s="214"/>
      <c r="AC219" s="214"/>
      <c r="AD219" s="214"/>
      <c r="AE219" s="214"/>
      <c r="AF219" s="214"/>
      <c r="AG219" s="657"/>
      <c r="AH219" s="214"/>
      <c r="AI219" s="214"/>
      <c r="AJ219" s="214"/>
      <c r="AK219" s="214"/>
      <c r="AL219" s="214"/>
      <c r="AM219" s="214"/>
      <c r="AN219" s="214"/>
      <c r="AO219" s="214"/>
      <c r="AP219" s="214"/>
      <c r="AQ219" s="214"/>
      <c r="AR219" s="214"/>
      <c r="AS219" s="214"/>
      <c r="AT219" s="214"/>
      <c r="AU219" s="214"/>
      <c r="AV219" s="214"/>
      <c r="AW219" s="214"/>
      <c r="AX219" s="214"/>
      <c r="AY219" s="214"/>
      <c r="AZ219" s="628"/>
      <c r="BA219" s="214"/>
      <c r="BB219" s="214"/>
      <c r="BC219" s="214"/>
      <c r="BD219" s="214"/>
      <c r="BE219" s="214"/>
      <c r="BF219" s="214"/>
      <c r="BG219" s="657"/>
      <c r="BH219" s="214"/>
      <c r="BJ219" s="214"/>
      <c r="BK219" s="214"/>
      <c r="BL219" s="214"/>
      <c r="BM219" s="214"/>
      <c r="BN219" s="214"/>
      <c r="BO219" s="214"/>
      <c r="BP219" s="214"/>
      <c r="BQ219" s="214"/>
      <c r="BR219" s="214"/>
      <c r="BS219" s="214"/>
    </row>
    <row r="220" spans="1:71" s="630" customFormat="1" x14ac:dyDescent="0.25">
      <c r="A220" s="214"/>
      <c r="B220" s="214"/>
      <c r="C220" s="214"/>
      <c r="D220" s="214"/>
      <c r="E220" s="214"/>
      <c r="F220" s="214"/>
      <c r="G220" s="214"/>
      <c r="H220" s="214"/>
      <c r="I220" s="214"/>
      <c r="J220" s="214"/>
      <c r="K220" s="214"/>
      <c r="L220" s="214"/>
      <c r="M220" s="214"/>
      <c r="N220" s="214"/>
      <c r="O220" s="214"/>
      <c r="P220" s="214"/>
      <c r="Q220" s="657"/>
      <c r="R220" s="214"/>
      <c r="S220" s="214"/>
      <c r="T220" s="214"/>
      <c r="U220" s="214"/>
      <c r="V220" s="214"/>
      <c r="W220" s="214"/>
      <c r="X220" s="214"/>
      <c r="Y220" s="214"/>
      <c r="Z220" s="214"/>
      <c r="AA220" s="214"/>
      <c r="AB220" s="214"/>
      <c r="AC220" s="214"/>
      <c r="AD220" s="214"/>
      <c r="AE220" s="214"/>
      <c r="AF220" s="214"/>
      <c r="AG220" s="657"/>
      <c r="AH220" s="214"/>
      <c r="AI220" s="214"/>
      <c r="AJ220" s="214"/>
      <c r="AK220" s="214"/>
      <c r="AL220" s="214"/>
      <c r="AM220" s="214"/>
      <c r="AN220" s="214"/>
      <c r="AO220" s="214"/>
      <c r="AP220" s="214"/>
      <c r="AQ220" s="214"/>
      <c r="AR220" s="214"/>
      <c r="AS220" s="214"/>
      <c r="AT220" s="214"/>
      <c r="AU220" s="214"/>
      <c r="AV220" s="214"/>
      <c r="AW220" s="214"/>
      <c r="AX220" s="214"/>
      <c r="AY220" s="214"/>
      <c r="AZ220" s="628"/>
      <c r="BA220" s="214"/>
      <c r="BB220" s="214"/>
      <c r="BC220" s="214"/>
      <c r="BD220" s="214"/>
      <c r="BE220" s="214"/>
      <c r="BF220" s="214"/>
      <c r="BG220" s="657"/>
      <c r="BH220" s="214"/>
      <c r="BJ220" s="214"/>
      <c r="BK220" s="214"/>
      <c r="BL220" s="214"/>
      <c r="BM220" s="214"/>
      <c r="BN220" s="214"/>
      <c r="BO220" s="214"/>
      <c r="BP220" s="214"/>
      <c r="BQ220" s="214"/>
      <c r="BR220" s="214"/>
      <c r="BS220" s="214"/>
    </row>
    <row r="221" spans="1:71" s="630" customFormat="1" x14ac:dyDescent="0.25">
      <c r="A221" s="214"/>
      <c r="B221" s="214"/>
      <c r="C221" s="214"/>
      <c r="D221" s="214"/>
      <c r="E221" s="214"/>
      <c r="F221" s="214"/>
      <c r="G221" s="214"/>
      <c r="H221" s="214"/>
      <c r="I221" s="214"/>
      <c r="J221" s="214"/>
      <c r="K221" s="214"/>
      <c r="L221" s="214"/>
      <c r="M221" s="214"/>
      <c r="N221" s="214"/>
      <c r="O221" s="214"/>
      <c r="P221" s="214"/>
      <c r="Q221" s="657"/>
      <c r="R221" s="214"/>
      <c r="S221" s="214"/>
      <c r="T221" s="214"/>
      <c r="U221" s="214"/>
      <c r="V221" s="214"/>
      <c r="W221" s="214"/>
      <c r="X221" s="214"/>
      <c r="Y221" s="214"/>
      <c r="Z221" s="214"/>
      <c r="AA221" s="214"/>
      <c r="AB221" s="214"/>
      <c r="AC221" s="214"/>
      <c r="AD221" s="214"/>
      <c r="AE221" s="214"/>
      <c r="AF221" s="214"/>
      <c r="AG221" s="657"/>
      <c r="AH221" s="214"/>
      <c r="AI221" s="214"/>
      <c r="AJ221" s="214"/>
      <c r="AK221" s="214"/>
      <c r="AL221" s="214"/>
      <c r="AM221" s="214"/>
      <c r="AN221" s="214"/>
      <c r="AO221" s="214"/>
      <c r="AP221" s="214"/>
      <c r="AQ221" s="214"/>
      <c r="AR221" s="214"/>
      <c r="AS221" s="214"/>
      <c r="AT221" s="214"/>
      <c r="AU221" s="214"/>
      <c r="AV221" s="214"/>
      <c r="AW221" s="214"/>
      <c r="AX221" s="214"/>
      <c r="AY221" s="214"/>
      <c r="AZ221" s="628"/>
      <c r="BA221" s="214"/>
      <c r="BB221" s="214"/>
      <c r="BC221" s="214"/>
      <c r="BD221" s="214"/>
      <c r="BE221" s="214"/>
      <c r="BF221" s="214"/>
      <c r="BG221" s="657"/>
      <c r="BH221" s="214"/>
      <c r="BJ221" s="214"/>
      <c r="BK221" s="214"/>
      <c r="BL221" s="214"/>
      <c r="BM221" s="214"/>
      <c r="BN221" s="214"/>
      <c r="BO221" s="214"/>
      <c r="BP221" s="214"/>
      <c r="BQ221" s="214"/>
      <c r="BR221" s="214"/>
      <c r="BS221" s="214"/>
    </row>
    <row r="222" spans="1:71" s="630" customFormat="1" x14ac:dyDescent="0.25">
      <c r="A222" s="214"/>
      <c r="B222" s="214"/>
      <c r="C222" s="214"/>
      <c r="D222" s="214"/>
      <c r="E222" s="214"/>
      <c r="F222" s="214"/>
      <c r="G222" s="214"/>
      <c r="H222" s="214"/>
      <c r="I222" s="214"/>
      <c r="J222" s="214"/>
      <c r="K222" s="214"/>
      <c r="L222" s="214"/>
      <c r="M222" s="214"/>
      <c r="N222" s="214"/>
      <c r="O222" s="214"/>
      <c r="P222" s="214"/>
      <c r="Q222" s="657"/>
      <c r="R222" s="214"/>
      <c r="S222" s="214"/>
      <c r="T222" s="214"/>
      <c r="U222" s="214"/>
      <c r="V222" s="214"/>
      <c r="W222" s="214"/>
      <c r="X222" s="214"/>
      <c r="Y222" s="214"/>
      <c r="Z222" s="214"/>
      <c r="AA222" s="214"/>
      <c r="AB222" s="214"/>
      <c r="AC222" s="214"/>
      <c r="AD222" s="214"/>
      <c r="AE222" s="214"/>
      <c r="AF222" s="214"/>
      <c r="AG222" s="657"/>
      <c r="AH222" s="214"/>
      <c r="AI222" s="214"/>
      <c r="AJ222" s="214"/>
      <c r="AK222" s="214"/>
      <c r="AL222" s="214"/>
      <c r="AM222" s="214"/>
      <c r="AN222" s="214"/>
      <c r="AO222" s="214"/>
      <c r="AP222" s="214"/>
      <c r="AQ222" s="214"/>
      <c r="AR222" s="214"/>
      <c r="AS222" s="214"/>
      <c r="AT222" s="214"/>
      <c r="AU222" s="214"/>
      <c r="AV222" s="214"/>
      <c r="AW222" s="214"/>
      <c r="AX222" s="214"/>
      <c r="AY222" s="214"/>
      <c r="AZ222" s="628"/>
      <c r="BA222" s="214"/>
      <c r="BB222" s="214"/>
      <c r="BC222" s="214"/>
      <c r="BD222" s="214"/>
      <c r="BE222" s="214"/>
      <c r="BF222" s="214"/>
      <c r="BG222" s="657"/>
      <c r="BH222" s="214"/>
      <c r="BJ222" s="214"/>
      <c r="BK222" s="214"/>
      <c r="BL222" s="214"/>
      <c r="BM222" s="214"/>
      <c r="BN222" s="214"/>
      <c r="BO222" s="214"/>
      <c r="BP222" s="214"/>
      <c r="BQ222" s="214"/>
      <c r="BR222" s="214"/>
      <c r="BS222" s="214"/>
    </row>
    <row r="223" spans="1:71" s="630" customFormat="1" x14ac:dyDescent="0.25">
      <c r="A223" s="214"/>
      <c r="B223" s="214"/>
      <c r="C223" s="214"/>
      <c r="D223" s="214"/>
      <c r="E223" s="214"/>
      <c r="F223" s="214"/>
      <c r="G223" s="214"/>
      <c r="H223" s="214"/>
      <c r="I223" s="214"/>
      <c r="J223" s="214"/>
      <c r="K223" s="214"/>
      <c r="L223" s="214"/>
      <c r="M223" s="214"/>
      <c r="N223" s="214"/>
      <c r="O223" s="214"/>
      <c r="P223" s="214"/>
      <c r="Q223" s="657"/>
      <c r="R223" s="214"/>
      <c r="S223" s="214"/>
      <c r="T223" s="214"/>
      <c r="U223" s="214"/>
      <c r="V223" s="214"/>
      <c r="W223" s="214"/>
      <c r="X223" s="214"/>
      <c r="Y223" s="214"/>
      <c r="Z223" s="214"/>
      <c r="AA223" s="214"/>
      <c r="AB223" s="214"/>
      <c r="AC223" s="214"/>
      <c r="AD223" s="214"/>
      <c r="AE223" s="214"/>
      <c r="AF223" s="214"/>
      <c r="AG223" s="657"/>
      <c r="AH223" s="214"/>
      <c r="AI223" s="214"/>
      <c r="AJ223" s="214"/>
      <c r="AK223" s="214"/>
      <c r="AL223" s="214"/>
      <c r="AM223" s="214"/>
      <c r="AN223" s="214"/>
      <c r="AO223" s="214"/>
      <c r="AP223" s="214"/>
      <c r="AQ223" s="214"/>
      <c r="AR223" s="214"/>
      <c r="AS223" s="214"/>
      <c r="AT223" s="214"/>
      <c r="AU223" s="214"/>
      <c r="AV223" s="214"/>
      <c r="AW223" s="214"/>
      <c r="AX223" s="214"/>
      <c r="AY223" s="214"/>
      <c r="AZ223" s="628"/>
      <c r="BA223" s="214"/>
      <c r="BB223" s="214"/>
      <c r="BC223" s="214"/>
      <c r="BD223" s="214"/>
      <c r="BE223" s="214"/>
      <c r="BF223" s="214"/>
      <c r="BG223" s="657"/>
      <c r="BH223" s="214"/>
      <c r="BJ223" s="214"/>
      <c r="BK223" s="214"/>
      <c r="BL223" s="214"/>
      <c r="BM223" s="214"/>
      <c r="BN223" s="214"/>
      <c r="BO223" s="214"/>
      <c r="BP223" s="214"/>
      <c r="BQ223" s="214"/>
      <c r="BR223" s="214"/>
      <c r="BS223" s="214"/>
    </row>
    <row r="224" spans="1:71" s="630" customFormat="1" x14ac:dyDescent="0.25">
      <c r="A224" s="214"/>
      <c r="B224" s="214"/>
      <c r="C224" s="214"/>
      <c r="D224" s="214"/>
      <c r="E224" s="214"/>
      <c r="F224" s="214"/>
      <c r="G224" s="214"/>
      <c r="H224" s="214"/>
      <c r="I224" s="214"/>
      <c r="J224" s="214"/>
      <c r="K224" s="214"/>
      <c r="L224" s="214"/>
      <c r="M224" s="214"/>
      <c r="N224" s="214"/>
      <c r="O224" s="214"/>
      <c r="P224" s="214"/>
      <c r="Q224" s="657"/>
      <c r="R224" s="214"/>
      <c r="S224" s="214"/>
      <c r="T224" s="214"/>
      <c r="U224" s="214"/>
      <c r="V224" s="214"/>
      <c r="W224" s="214"/>
      <c r="X224" s="214"/>
      <c r="Y224" s="214"/>
      <c r="Z224" s="214"/>
      <c r="AA224" s="214"/>
      <c r="AB224" s="214"/>
      <c r="AC224" s="214"/>
      <c r="AD224" s="214"/>
      <c r="AE224" s="214"/>
      <c r="AF224" s="214"/>
      <c r="AG224" s="657"/>
      <c r="AH224" s="214"/>
      <c r="AI224" s="214"/>
      <c r="AJ224" s="214"/>
      <c r="AK224" s="214"/>
      <c r="AL224" s="214"/>
      <c r="AM224" s="214"/>
      <c r="AN224" s="214"/>
      <c r="AO224" s="214"/>
      <c r="AP224" s="214"/>
      <c r="AQ224" s="214"/>
      <c r="AR224" s="214"/>
      <c r="AS224" s="214"/>
      <c r="AT224" s="214"/>
      <c r="AU224" s="214"/>
      <c r="AV224" s="214"/>
      <c r="AW224" s="214"/>
      <c r="AX224" s="214"/>
      <c r="AY224" s="214"/>
      <c r="AZ224" s="628"/>
      <c r="BA224" s="214"/>
      <c r="BB224" s="214"/>
      <c r="BC224" s="214"/>
      <c r="BD224" s="214"/>
      <c r="BE224" s="214"/>
      <c r="BF224" s="214"/>
      <c r="BG224" s="657"/>
      <c r="BH224" s="214"/>
      <c r="BJ224" s="214"/>
      <c r="BK224" s="214"/>
      <c r="BL224" s="214"/>
      <c r="BM224" s="214"/>
      <c r="BN224" s="214"/>
      <c r="BO224" s="214"/>
      <c r="BP224" s="214"/>
      <c r="BQ224" s="214"/>
      <c r="BR224" s="214"/>
      <c r="BS224" s="214"/>
    </row>
    <row r="225" spans="1:71" s="630" customFormat="1" x14ac:dyDescent="0.25">
      <c r="A225" s="214"/>
      <c r="B225" s="214"/>
      <c r="C225" s="214"/>
      <c r="D225" s="214"/>
      <c r="E225" s="214"/>
      <c r="F225" s="214"/>
      <c r="G225" s="214"/>
      <c r="H225" s="214"/>
      <c r="I225" s="214"/>
      <c r="J225" s="214"/>
      <c r="K225" s="214"/>
      <c r="L225" s="214"/>
      <c r="M225" s="214"/>
      <c r="N225" s="214"/>
      <c r="O225" s="214"/>
      <c r="P225" s="214"/>
      <c r="Q225" s="657"/>
      <c r="R225" s="214"/>
      <c r="S225" s="214"/>
      <c r="T225" s="214"/>
      <c r="U225" s="214"/>
      <c r="V225" s="214"/>
      <c r="W225" s="214"/>
      <c r="X225" s="214"/>
      <c r="Y225" s="214"/>
      <c r="Z225" s="214"/>
      <c r="AA225" s="214"/>
      <c r="AB225" s="214"/>
      <c r="AC225" s="214"/>
      <c r="AD225" s="214"/>
      <c r="AE225" s="214"/>
      <c r="AF225" s="214"/>
      <c r="AG225" s="657"/>
      <c r="AH225" s="214"/>
      <c r="AI225" s="214"/>
      <c r="AJ225" s="214"/>
      <c r="AK225" s="214"/>
      <c r="AL225" s="214"/>
      <c r="AM225" s="214"/>
      <c r="AN225" s="214"/>
      <c r="AO225" s="214"/>
      <c r="AP225" s="214"/>
      <c r="AQ225" s="214"/>
      <c r="AR225" s="214"/>
      <c r="AS225" s="214"/>
      <c r="AT225" s="214"/>
      <c r="AU225" s="214"/>
      <c r="AV225" s="214"/>
      <c r="AW225" s="214"/>
      <c r="AX225" s="214"/>
      <c r="AY225" s="214"/>
      <c r="AZ225" s="628"/>
      <c r="BA225" s="214"/>
      <c r="BB225" s="214"/>
      <c r="BC225" s="214"/>
      <c r="BD225" s="214"/>
      <c r="BE225" s="214"/>
      <c r="BF225" s="214"/>
      <c r="BG225" s="657"/>
      <c r="BH225" s="214"/>
      <c r="BJ225" s="214"/>
      <c r="BK225" s="214"/>
      <c r="BL225" s="214"/>
      <c r="BM225" s="214"/>
      <c r="BN225" s="214"/>
      <c r="BO225" s="214"/>
      <c r="BP225" s="214"/>
      <c r="BQ225" s="214"/>
      <c r="BR225" s="214"/>
      <c r="BS225" s="214"/>
    </row>
    <row r="226" spans="1:71" s="630" customFormat="1" x14ac:dyDescent="0.25">
      <c r="A226" s="214"/>
      <c r="B226" s="214"/>
      <c r="C226" s="214"/>
      <c r="D226" s="214"/>
      <c r="E226" s="214"/>
      <c r="F226" s="214"/>
      <c r="G226" s="214"/>
      <c r="H226" s="214"/>
      <c r="I226" s="214"/>
      <c r="J226" s="214"/>
      <c r="K226" s="214"/>
      <c r="L226" s="214"/>
      <c r="M226" s="214"/>
      <c r="N226" s="214"/>
      <c r="O226" s="214"/>
      <c r="P226" s="214"/>
      <c r="Q226" s="657"/>
      <c r="R226" s="214"/>
      <c r="S226" s="214"/>
      <c r="T226" s="214"/>
      <c r="U226" s="214"/>
      <c r="V226" s="214"/>
      <c r="W226" s="214"/>
      <c r="X226" s="214"/>
      <c r="Y226" s="214"/>
      <c r="Z226" s="214"/>
      <c r="AA226" s="214"/>
      <c r="AB226" s="214"/>
      <c r="AC226" s="214"/>
      <c r="AD226" s="214"/>
      <c r="AE226" s="214"/>
      <c r="AF226" s="214"/>
      <c r="AG226" s="657"/>
      <c r="AH226" s="214"/>
      <c r="AI226" s="214"/>
      <c r="AJ226" s="214"/>
      <c r="AK226" s="214"/>
      <c r="AL226" s="214"/>
      <c r="AM226" s="214"/>
      <c r="AN226" s="214"/>
      <c r="AO226" s="214"/>
      <c r="AP226" s="214"/>
      <c r="AQ226" s="214"/>
      <c r="AR226" s="214"/>
      <c r="AS226" s="214"/>
      <c r="AT226" s="214"/>
      <c r="AU226" s="214"/>
      <c r="AV226" s="214"/>
      <c r="AW226" s="214"/>
      <c r="AX226" s="214"/>
      <c r="AY226" s="214"/>
      <c r="AZ226" s="628"/>
      <c r="BA226" s="214"/>
      <c r="BB226" s="214"/>
      <c r="BC226" s="214"/>
      <c r="BD226" s="214"/>
      <c r="BE226" s="214"/>
      <c r="BF226" s="214"/>
      <c r="BG226" s="657"/>
      <c r="BH226" s="214"/>
      <c r="BJ226" s="214"/>
      <c r="BK226" s="214"/>
      <c r="BL226" s="214"/>
      <c r="BM226" s="214"/>
      <c r="BN226" s="214"/>
      <c r="BO226" s="214"/>
      <c r="BP226" s="214"/>
      <c r="BQ226" s="214"/>
      <c r="BR226" s="214"/>
      <c r="BS226" s="214"/>
    </row>
    <row r="227" spans="1:71" s="630" customFormat="1" x14ac:dyDescent="0.25">
      <c r="A227" s="214"/>
      <c r="B227" s="214"/>
      <c r="C227" s="214"/>
      <c r="D227" s="214"/>
      <c r="E227" s="214"/>
      <c r="F227" s="214"/>
      <c r="G227" s="214"/>
      <c r="H227" s="214"/>
      <c r="I227" s="214"/>
      <c r="J227" s="214"/>
      <c r="K227" s="214"/>
      <c r="L227" s="214"/>
      <c r="M227" s="214"/>
      <c r="N227" s="214"/>
      <c r="O227" s="214"/>
      <c r="P227" s="214"/>
      <c r="Q227" s="657"/>
      <c r="R227" s="214"/>
      <c r="S227" s="214"/>
      <c r="T227" s="214"/>
      <c r="U227" s="214"/>
      <c r="V227" s="214"/>
      <c r="W227" s="214"/>
      <c r="X227" s="214"/>
      <c r="Y227" s="214"/>
      <c r="Z227" s="214"/>
      <c r="AA227" s="214"/>
      <c r="AB227" s="214"/>
      <c r="AC227" s="214"/>
      <c r="AD227" s="214"/>
      <c r="AE227" s="214"/>
      <c r="AF227" s="214"/>
      <c r="AG227" s="657"/>
      <c r="AH227" s="214"/>
      <c r="AI227" s="214"/>
      <c r="AJ227" s="214"/>
      <c r="AK227" s="214"/>
      <c r="AL227" s="214"/>
      <c r="AM227" s="214"/>
      <c r="AN227" s="214"/>
      <c r="AO227" s="214"/>
      <c r="AP227" s="214"/>
      <c r="AQ227" s="214"/>
      <c r="AR227" s="214"/>
      <c r="AS227" s="214"/>
      <c r="AT227" s="214"/>
      <c r="AU227" s="214"/>
      <c r="AV227" s="214"/>
      <c r="AW227" s="214"/>
      <c r="AX227" s="214"/>
      <c r="AY227" s="214"/>
      <c r="AZ227" s="628"/>
      <c r="BA227" s="214"/>
      <c r="BB227" s="214"/>
      <c r="BC227" s="214"/>
      <c r="BD227" s="214"/>
      <c r="BE227" s="214"/>
      <c r="BF227" s="214"/>
      <c r="BG227" s="657"/>
      <c r="BH227" s="214"/>
      <c r="BJ227" s="214"/>
      <c r="BK227" s="214"/>
      <c r="BL227" s="214"/>
      <c r="BM227" s="214"/>
      <c r="BN227" s="214"/>
      <c r="BO227" s="214"/>
      <c r="BP227" s="214"/>
      <c r="BQ227" s="214"/>
      <c r="BR227" s="214"/>
      <c r="BS227" s="214"/>
    </row>
    <row r="228" spans="1:71" s="630" customFormat="1" x14ac:dyDescent="0.25">
      <c r="A228" s="214"/>
      <c r="B228" s="214"/>
      <c r="C228" s="214"/>
      <c r="D228" s="214"/>
      <c r="E228" s="214"/>
      <c r="F228" s="214"/>
      <c r="G228" s="214"/>
      <c r="H228" s="214"/>
      <c r="I228" s="214"/>
      <c r="J228" s="214"/>
      <c r="K228" s="214"/>
      <c r="L228" s="214"/>
      <c r="M228" s="214"/>
      <c r="N228" s="214"/>
      <c r="O228" s="214"/>
      <c r="P228" s="214"/>
      <c r="Q228" s="657"/>
      <c r="R228" s="214"/>
      <c r="S228" s="214"/>
      <c r="T228" s="214"/>
      <c r="U228" s="214"/>
      <c r="V228" s="214"/>
      <c r="W228" s="214"/>
      <c r="X228" s="214"/>
      <c r="Y228" s="214"/>
      <c r="Z228" s="214"/>
      <c r="AA228" s="214"/>
      <c r="AB228" s="214"/>
      <c r="AC228" s="214"/>
      <c r="AD228" s="214"/>
      <c r="AE228" s="214"/>
      <c r="AF228" s="214"/>
      <c r="AG228" s="657"/>
      <c r="AH228" s="214"/>
      <c r="AI228" s="214"/>
      <c r="AJ228" s="214"/>
      <c r="AK228" s="214"/>
      <c r="AL228" s="214"/>
      <c r="AM228" s="214"/>
      <c r="AN228" s="214"/>
      <c r="AO228" s="214"/>
      <c r="AP228" s="214"/>
      <c r="AQ228" s="214"/>
      <c r="AR228" s="214"/>
      <c r="AS228" s="214"/>
      <c r="AT228" s="214"/>
      <c r="AU228" s="214"/>
      <c r="AV228" s="214"/>
      <c r="AW228" s="214"/>
      <c r="AX228" s="214"/>
      <c r="AY228" s="214"/>
      <c r="AZ228" s="628"/>
      <c r="BA228" s="214"/>
      <c r="BB228" s="214"/>
      <c r="BC228" s="214"/>
      <c r="BD228" s="214"/>
      <c r="BE228" s="214"/>
      <c r="BF228" s="214"/>
      <c r="BG228" s="657"/>
      <c r="BH228" s="214"/>
      <c r="BJ228" s="214"/>
      <c r="BK228" s="214"/>
      <c r="BL228" s="214"/>
      <c r="BM228" s="214"/>
      <c r="BN228" s="214"/>
      <c r="BO228" s="214"/>
      <c r="BP228" s="214"/>
      <c r="BQ228" s="214"/>
      <c r="BR228" s="214"/>
      <c r="BS228" s="214"/>
    </row>
    <row r="229" spans="1:71" s="630" customFormat="1" x14ac:dyDescent="0.25">
      <c r="A229" s="214"/>
      <c r="B229" s="214"/>
      <c r="C229" s="214"/>
      <c r="D229" s="214"/>
      <c r="E229" s="214"/>
      <c r="F229" s="214"/>
      <c r="G229" s="214"/>
      <c r="H229" s="214"/>
      <c r="I229" s="214"/>
      <c r="J229" s="214"/>
      <c r="K229" s="214"/>
      <c r="L229" s="214"/>
      <c r="M229" s="214"/>
      <c r="N229" s="214"/>
      <c r="O229" s="214"/>
      <c r="P229" s="214"/>
      <c r="Q229" s="657"/>
      <c r="R229" s="214"/>
      <c r="S229" s="214"/>
      <c r="T229" s="214"/>
      <c r="U229" s="214"/>
      <c r="V229" s="214"/>
      <c r="W229" s="214"/>
      <c r="X229" s="214"/>
      <c r="Y229" s="214"/>
      <c r="Z229" s="214"/>
      <c r="AA229" s="214"/>
      <c r="AB229" s="214"/>
      <c r="AC229" s="214"/>
      <c r="AD229" s="214"/>
      <c r="AE229" s="214"/>
      <c r="AF229" s="214"/>
      <c r="AG229" s="657"/>
      <c r="AH229" s="214"/>
      <c r="AI229" s="214"/>
      <c r="AJ229" s="214"/>
      <c r="AK229" s="214"/>
      <c r="AL229" s="214"/>
      <c r="AM229" s="214"/>
      <c r="AN229" s="214"/>
      <c r="AO229" s="214"/>
      <c r="AP229" s="214"/>
      <c r="AQ229" s="214"/>
      <c r="AR229" s="214"/>
      <c r="AS229" s="214"/>
      <c r="AT229" s="214"/>
      <c r="AU229" s="214"/>
      <c r="AV229" s="214"/>
      <c r="AW229" s="214"/>
      <c r="AX229" s="214"/>
      <c r="AY229" s="214"/>
      <c r="AZ229" s="628"/>
      <c r="BA229" s="214"/>
      <c r="BB229" s="214"/>
      <c r="BC229" s="214"/>
      <c r="BD229" s="214"/>
      <c r="BE229" s="214"/>
      <c r="BF229" s="214"/>
      <c r="BG229" s="657"/>
      <c r="BH229" s="214"/>
      <c r="BJ229" s="214"/>
      <c r="BK229" s="214"/>
      <c r="BL229" s="214"/>
      <c r="BM229" s="214"/>
      <c r="BN229" s="214"/>
      <c r="BO229" s="214"/>
      <c r="BP229" s="214"/>
      <c r="BQ229" s="214"/>
      <c r="BR229" s="214"/>
      <c r="BS229" s="214"/>
    </row>
    <row r="230" spans="1:71" s="630" customFormat="1" x14ac:dyDescent="0.25">
      <c r="A230" s="214"/>
      <c r="B230" s="214"/>
      <c r="C230" s="214"/>
      <c r="D230" s="214"/>
      <c r="E230" s="214"/>
      <c r="F230" s="214"/>
      <c r="G230" s="214"/>
      <c r="H230" s="214"/>
      <c r="I230" s="214"/>
      <c r="J230" s="214"/>
      <c r="K230" s="214"/>
      <c r="L230" s="214"/>
      <c r="M230" s="214"/>
      <c r="N230" s="214"/>
      <c r="O230" s="214"/>
      <c r="P230" s="214"/>
      <c r="Q230" s="657"/>
      <c r="R230" s="214"/>
      <c r="S230" s="214"/>
      <c r="T230" s="214"/>
      <c r="U230" s="214"/>
      <c r="V230" s="214"/>
      <c r="W230" s="214"/>
      <c r="X230" s="214"/>
      <c r="Y230" s="214"/>
      <c r="Z230" s="214"/>
      <c r="AA230" s="214"/>
      <c r="AB230" s="214"/>
      <c r="AC230" s="214"/>
      <c r="AD230" s="214"/>
      <c r="AE230" s="214"/>
      <c r="AF230" s="214"/>
      <c r="AG230" s="657"/>
      <c r="AH230" s="214"/>
      <c r="AI230" s="214"/>
      <c r="AJ230" s="214"/>
      <c r="AK230" s="214"/>
      <c r="AL230" s="214"/>
      <c r="AM230" s="214"/>
      <c r="AN230" s="214"/>
      <c r="AO230" s="214"/>
      <c r="AP230" s="214"/>
      <c r="AQ230" s="214"/>
      <c r="AR230" s="214"/>
      <c r="AS230" s="214"/>
      <c r="AT230" s="214"/>
      <c r="AU230" s="214"/>
      <c r="AV230" s="214"/>
      <c r="AW230" s="214"/>
      <c r="AX230" s="214"/>
      <c r="AY230" s="214"/>
      <c r="AZ230" s="628"/>
      <c r="BA230" s="214"/>
      <c r="BB230" s="214"/>
      <c r="BC230" s="214"/>
      <c r="BD230" s="214"/>
      <c r="BE230" s="214"/>
      <c r="BF230" s="214"/>
      <c r="BG230" s="657"/>
      <c r="BH230" s="214"/>
      <c r="BJ230" s="214"/>
      <c r="BK230" s="214"/>
      <c r="BL230" s="214"/>
      <c r="BM230" s="214"/>
      <c r="BN230" s="214"/>
      <c r="BO230" s="214"/>
      <c r="BP230" s="214"/>
      <c r="BQ230" s="214"/>
      <c r="BR230" s="214"/>
      <c r="BS230" s="214"/>
    </row>
    <row r="231" spans="1:71" s="630" customFormat="1" x14ac:dyDescent="0.25">
      <c r="A231" s="214"/>
      <c r="B231" s="214"/>
      <c r="C231" s="214"/>
      <c r="D231" s="214"/>
      <c r="E231" s="214"/>
      <c r="F231" s="214"/>
      <c r="G231" s="214"/>
      <c r="H231" s="214"/>
      <c r="I231" s="214"/>
      <c r="J231" s="214"/>
      <c r="K231" s="214"/>
      <c r="L231" s="214"/>
      <c r="M231" s="214"/>
      <c r="N231" s="214"/>
      <c r="O231" s="214"/>
      <c r="P231" s="214"/>
      <c r="Q231" s="657"/>
      <c r="R231" s="214"/>
      <c r="S231" s="214"/>
      <c r="T231" s="214"/>
      <c r="U231" s="214"/>
      <c r="V231" s="214"/>
      <c r="W231" s="214"/>
      <c r="X231" s="214"/>
      <c r="Y231" s="214"/>
      <c r="Z231" s="214"/>
      <c r="AA231" s="214"/>
      <c r="AB231" s="214"/>
      <c r="AC231" s="214"/>
      <c r="AD231" s="214"/>
      <c r="AE231" s="214"/>
      <c r="AF231" s="214"/>
      <c r="AG231" s="657"/>
      <c r="AH231" s="214"/>
      <c r="AI231" s="214"/>
      <c r="AJ231" s="214"/>
      <c r="AK231" s="214"/>
      <c r="AL231" s="214"/>
      <c r="AM231" s="214"/>
      <c r="AN231" s="214"/>
      <c r="AO231" s="214"/>
      <c r="AP231" s="214"/>
      <c r="AQ231" s="214"/>
      <c r="AR231" s="214"/>
      <c r="AS231" s="214"/>
      <c r="AT231" s="214"/>
      <c r="AU231" s="214"/>
      <c r="AV231" s="214"/>
      <c r="AW231" s="214"/>
      <c r="AX231" s="214"/>
      <c r="AY231" s="214"/>
      <c r="AZ231" s="628"/>
      <c r="BA231" s="214"/>
      <c r="BB231" s="214"/>
      <c r="BC231" s="214"/>
      <c r="BD231" s="214"/>
      <c r="BE231" s="214"/>
      <c r="BF231" s="214"/>
      <c r="BG231" s="657"/>
      <c r="BH231" s="214"/>
      <c r="BJ231" s="214"/>
      <c r="BK231" s="214"/>
      <c r="BL231" s="214"/>
      <c r="BM231" s="214"/>
      <c r="BN231" s="214"/>
      <c r="BO231" s="214"/>
      <c r="BP231" s="214"/>
      <c r="BQ231" s="214"/>
      <c r="BR231" s="214"/>
      <c r="BS231" s="214"/>
    </row>
    <row r="232" spans="1:71" s="630" customFormat="1" x14ac:dyDescent="0.25">
      <c r="A232" s="214"/>
      <c r="B232" s="214"/>
      <c r="C232" s="214"/>
      <c r="D232" s="214"/>
      <c r="E232" s="214"/>
      <c r="F232" s="214"/>
      <c r="G232" s="214"/>
      <c r="H232" s="214"/>
      <c r="I232" s="214"/>
      <c r="J232" s="214"/>
      <c r="K232" s="214"/>
      <c r="L232" s="214"/>
      <c r="M232" s="214"/>
      <c r="N232" s="214"/>
      <c r="O232" s="214"/>
      <c r="P232" s="214"/>
      <c r="Q232" s="657"/>
      <c r="R232" s="214"/>
      <c r="S232" s="214"/>
      <c r="T232" s="214"/>
      <c r="U232" s="214"/>
      <c r="V232" s="214"/>
      <c r="W232" s="214"/>
      <c r="X232" s="214"/>
      <c r="Y232" s="214"/>
      <c r="Z232" s="214"/>
      <c r="AA232" s="214"/>
      <c r="AB232" s="214"/>
      <c r="AC232" s="214"/>
      <c r="AD232" s="214"/>
      <c r="AE232" s="214"/>
      <c r="AF232" s="214"/>
      <c r="AG232" s="657"/>
      <c r="AH232" s="214"/>
      <c r="AI232" s="214"/>
      <c r="AJ232" s="214"/>
      <c r="AK232" s="214"/>
      <c r="AL232" s="214"/>
      <c r="AM232" s="214"/>
      <c r="AN232" s="214"/>
      <c r="AO232" s="214"/>
      <c r="AP232" s="214"/>
      <c r="AQ232" s="214"/>
      <c r="AR232" s="214"/>
      <c r="AS232" s="214"/>
      <c r="AT232" s="214"/>
      <c r="AU232" s="214"/>
      <c r="AV232" s="214"/>
      <c r="AW232" s="214"/>
      <c r="AX232" s="214"/>
      <c r="AY232" s="214"/>
      <c r="AZ232" s="628"/>
      <c r="BA232" s="214"/>
      <c r="BB232" s="214"/>
      <c r="BC232" s="214"/>
      <c r="BD232" s="214"/>
      <c r="BE232" s="214"/>
      <c r="BF232" s="214"/>
      <c r="BG232" s="657"/>
      <c r="BH232" s="214"/>
      <c r="BJ232" s="214"/>
      <c r="BK232" s="214"/>
      <c r="BL232" s="214"/>
      <c r="BM232" s="214"/>
      <c r="BN232" s="214"/>
      <c r="BO232" s="214"/>
      <c r="BP232" s="214"/>
      <c r="BQ232" s="214"/>
      <c r="BR232" s="214"/>
      <c r="BS232" s="214"/>
    </row>
    <row r="233" spans="1:71" s="630" customFormat="1" x14ac:dyDescent="0.25">
      <c r="A233" s="214"/>
      <c r="B233" s="214"/>
      <c r="C233" s="214"/>
      <c r="D233" s="214"/>
      <c r="E233" s="214"/>
      <c r="F233" s="214"/>
      <c r="G233" s="214"/>
      <c r="H233" s="214"/>
      <c r="I233" s="214"/>
      <c r="J233" s="214"/>
      <c r="K233" s="214"/>
      <c r="L233" s="214"/>
      <c r="M233" s="214"/>
      <c r="N233" s="214"/>
      <c r="O233" s="214"/>
      <c r="P233" s="214"/>
      <c r="Q233" s="657"/>
      <c r="R233" s="214"/>
      <c r="S233" s="214"/>
      <c r="T233" s="214"/>
      <c r="U233" s="214"/>
      <c r="V233" s="214"/>
      <c r="W233" s="214"/>
      <c r="X233" s="214"/>
      <c r="Y233" s="214"/>
      <c r="Z233" s="214"/>
      <c r="AA233" s="214"/>
      <c r="AB233" s="214"/>
      <c r="AC233" s="214"/>
      <c r="AD233" s="214"/>
      <c r="AE233" s="214"/>
      <c r="AF233" s="214"/>
      <c r="AG233" s="657"/>
      <c r="AH233" s="214"/>
      <c r="AI233" s="214"/>
      <c r="AJ233" s="214"/>
      <c r="AK233" s="214"/>
      <c r="AL233" s="214"/>
      <c r="AM233" s="214"/>
      <c r="AN233" s="214"/>
      <c r="AO233" s="214"/>
      <c r="AP233" s="214"/>
      <c r="AQ233" s="214"/>
      <c r="AR233" s="214"/>
      <c r="AS233" s="214"/>
      <c r="AT233" s="214"/>
      <c r="AU233" s="214"/>
      <c r="AV233" s="214"/>
      <c r="AW233" s="214"/>
      <c r="AX233" s="214"/>
      <c r="AY233" s="214"/>
      <c r="AZ233" s="628"/>
      <c r="BA233" s="214"/>
      <c r="BB233" s="214"/>
      <c r="BC233" s="214"/>
      <c r="BD233" s="214"/>
      <c r="BE233" s="214"/>
      <c r="BF233" s="214"/>
      <c r="BG233" s="657"/>
      <c r="BH233" s="214"/>
      <c r="BJ233" s="214"/>
      <c r="BK233" s="214"/>
      <c r="BL233" s="214"/>
      <c r="BM233" s="214"/>
      <c r="BN233" s="214"/>
      <c r="BO233" s="214"/>
      <c r="BP233" s="214"/>
      <c r="BQ233" s="214"/>
      <c r="BR233" s="214"/>
      <c r="BS233" s="214"/>
    </row>
    <row r="234" spans="1:71" s="630" customFormat="1" x14ac:dyDescent="0.25">
      <c r="A234" s="214"/>
      <c r="B234" s="214"/>
      <c r="C234" s="214"/>
      <c r="D234" s="214"/>
      <c r="E234" s="214"/>
      <c r="F234" s="214"/>
      <c r="G234" s="214"/>
      <c r="H234" s="214"/>
      <c r="I234" s="214"/>
      <c r="J234" s="214"/>
      <c r="K234" s="214"/>
      <c r="L234" s="214"/>
      <c r="M234" s="214"/>
      <c r="N234" s="214"/>
      <c r="O234" s="214"/>
      <c r="P234" s="214"/>
      <c r="Q234" s="657"/>
      <c r="R234" s="214"/>
      <c r="S234" s="214"/>
      <c r="T234" s="214"/>
      <c r="U234" s="214"/>
      <c r="V234" s="214"/>
      <c r="W234" s="214"/>
      <c r="X234" s="214"/>
      <c r="Y234" s="214"/>
      <c r="Z234" s="214"/>
      <c r="AA234" s="214"/>
      <c r="AB234" s="214"/>
      <c r="AC234" s="214"/>
      <c r="AD234" s="214"/>
      <c r="AE234" s="214"/>
      <c r="AF234" s="214"/>
      <c r="AG234" s="657"/>
      <c r="AH234" s="214"/>
      <c r="AI234" s="214"/>
      <c r="AJ234" s="214"/>
      <c r="AK234" s="214"/>
      <c r="AL234" s="214"/>
      <c r="AM234" s="214"/>
      <c r="AN234" s="214"/>
      <c r="AO234" s="214"/>
      <c r="AP234" s="214"/>
      <c r="AQ234" s="214"/>
      <c r="AR234" s="214"/>
      <c r="AS234" s="214"/>
      <c r="AT234" s="214"/>
      <c r="AU234" s="214"/>
      <c r="AV234" s="214"/>
      <c r="AW234" s="214"/>
      <c r="AX234" s="214"/>
      <c r="AY234" s="214"/>
      <c r="AZ234" s="628"/>
      <c r="BA234" s="214"/>
      <c r="BB234" s="214"/>
      <c r="BC234" s="214"/>
      <c r="BD234" s="214"/>
      <c r="BE234" s="214"/>
      <c r="BF234" s="214"/>
      <c r="BG234" s="657"/>
      <c r="BH234" s="214"/>
      <c r="BJ234" s="214"/>
      <c r="BK234" s="214"/>
      <c r="BL234" s="214"/>
      <c r="BM234" s="214"/>
      <c r="BN234" s="214"/>
      <c r="BO234" s="214"/>
      <c r="BP234" s="214"/>
      <c r="BQ234" s="214"/>
      <c r="BR234" s="214"/>
      <c r="BS234" s="214"/>
    </row>
    <row r="235" spans="1:71" s="630" customFormat="1" x14ac:dyDescent="0.25">
      <c r="A235" s="214"/>
      <c r="B235" s="214"/>
      <c r="C235" s="214"/>
      <c r="D235" s="214"/>
      <c r="E235" s="214"/>
      <c r="F235" s="214"/>
      <c r="G235" s="214"/>
      <c r="H235" s="214"/>
      <c r="I235" s="214"/>
      <c r="J235" s="214"/>
      <c r="K235" s="214"/>
      <c r="L235" s="214"/>
      <c r="M235" s="214"/>
      <c r="N235" s="214"/>
      <c r="O235" s="214"/>
      <c r="P235" s="214"/>
      <c r="Q235" s="657"/>
      <c r="R235" s="214"/>
      <c r="S235" s="214"/>
      <c r="T235" s="214"/>
      <c r="U235" s="214"/>
      <c r="V235" s="214"/>
      <c r="W235" s="214"/>
      <c r="X235" s="214"/>
      <c r="Y235" s="214"/>
      <c r="Z235" s="214"/>
      <c r="AA235" s="214"/>
      <c r="AB235" s="214"/>
      <c r="AC235" s="214"/>
      <c r="AD235" s="214"/>
      <c r="AE235" s="214"/>
      <c r="AF235" s="214"/>
      <c r="AG235" s="657"/>
      <c r="AH235" s="214"/>
      <c r="AI235" s="214"/>
      <c r="AJ235" s="214"/>
      <c r="AK235" s="214"/>
      <c r="AL235" s="214"/>
      <c r="AM235" s="214"/>
      <c r="AN235" s="214"/>
      <c r="AO235" s="214"/>
      <c r="AP235" s="214"/>
      <c r="AQ235" s="214"/>
      <c r="AR235" s="214"/>
      <c r="AS235" s="214"/>
      <c r="AT235" s="214"/>
      <c r="AU235" s="214"/>
      <c r="AV235" s="214"/>
      <c r="AW235" s="214"/>
      <c r="AX235" s="214"/>
      <c r="AY235" s="214"/>
      <c r="AZ235" s="628"/>
      <c r="BA235" s="214"/>
      <c r="BB235" s="214"/>
      <c r="BC235" s="214"/>
      <c r="BD235" s="214"/>
      <c r="BE235" s="214"/>
      <c r="BF235" s="214"/>
      <c r="BG235" s="657"/>
      <c r="BH235" s="214"/>
      <c r="BJ235" s="214"/>
      <c r="BK235" s="214"/>
      <c r="BL235" s="214"/>
      <c r="BM235" s="214"/>
      <c r="BN235" s="214"/>
      <c r="BO235" s="214"/>
      <c r="BP235" s="214"/>
      <c r="BQ235" s="214"/>
      <c r="BR235" s="214"/>
      <c r="BS235" s="214"/>
    </row>
    <row r="236" spans="1:71" s="630" customFormat="1" x14ac:dyDescent="0.25">
      <c r="A236" s="214"/>
      <c r="B236" s="214"/>
      <c r="C236" s="214"/>
      <c r="D236" s="214"/>
      <c r="E236" s="214"/>
      <c r="F236" s="214"/>
      <c r="G236" s="214"/>
      <c r="H236" s="214"/>
      <c r="I236" s="214"/>
      <c r="J236" s="214"/>
      <c r="K236" s="214"/>
      <c r="L236" s="214"/>
      <c r="M236" s="214"/>
      <c r="N236" s="214"/>
      <c r="O236" s="214"/>
      <c r="P236" s="214"/>
      <c r="Q236" s="657"/>
      <c r="R236" s="214"/>
      <c r="S236" s="214"/>
      <c r="T236" s="214"/>
      <c r="U236" s="214"/>
      <c r="V236" s="214"/>
      <c r="W236" s="214"/>
      <c r="X236" s="214"/>
      <c r="Y236" s="214"/>
      <c r="Z236" s="214"/>
      <c r="AA236" s="214"/>
      <c r="AB236" s="214"/>
      <c r="AC236" s="214"/>
      <c r="AD236" s="214"/>
      <c r="AE236" s="214"/>
      <c r="AF236" s="214"/>
      <c r="AG236" s="657"/>
      <c r="AH236" s="214"/>
      <c r="AI236" s="214"/>
      <c r="AJ236" s="214"/>
      <c r="AK236" s="214"/>
      <c r="AL236" s="214"/>
      <c r="AM236" s="214"/>
      <c r="AN236" s="214"/>
      <c r="AO236" s="214"/>
      <c r="AP236" s="214"/>
      <c r="AQ236" s="214"/>
      <c r="AR236" s="214"/>
      <c r="AS236" s="214"/>
      <c r="AT236" s="214"/>
      <c r="AU236" s="214"/>
      <c r="AV236" s="214"/>
      <c r="AW236" s="214"/>
      <c r="AX236" s="214"/>
      <c r="AY236" s="214"/>
      <c r="AZ236" s="628"/>
      <c r="BA236" s="214"/>
      <c r="BB236" s="214"/>
      <c r="BC236" s="214"/>
      <c r="BD236" s="214"/>
      <c r="BE236" s="214"/>
      <c r="BF236" s="214"/>
      <c r="BG236" s="657"/>
      <c r="BH236" s="214"/>
      <c r="BJ236" s="214"/>
      <c r="BK236" s="214"/>
      <c r="BL236" s="214"/>
      <c r="BM236" s="214"/>
      <c r="BN236" s="214"/>
      <c r="BO236" s="214"/>
      <c r="BP236" s="214"/>
      <c r="BQ236" s="214"/>
      <c r="BR236" s="214"/>
      <c r="BS236" s="214"/>
    </row>
    <row r="237" spans="1:71" s="630" customFormat="1" x14ac:dyDescent="0.25">
      <c r="A237" s="214"/>
      <c r="B237" s="214"/>
      <c r="C237" s="214"/>
      <c r="D237" s="214"/>
      <c r="E237" s="214"/>
      <c r="F237" s="214"/>
      <c r="G237" s="214"/>
      <c r="H237" s="214"/>
      <c r="I237" s="214"/>
      <c r="J237" s="214"/>
      <c r="K237" s="214"/>
      <c r="L237" s="214"/>
      <c r="M237" s="214"/>
      <c r="N237" s="214"/>
      <c r="O237" s="214"/>
      <c r="P237" s="214"/>
      <c r="Q237" s="657"/>
      <c r="R237" s="214"/>
      <c r="S237" s="214"/>
      <c r="T237" s="214"/>
      <c r="U237" s="214"/>
      <c r="V237" s="214"/>
      <c r="W237" s="214"/>
      <c r="X237" s="214"/>
      <c r="Y237" s="214"/>
      <c r="Z237" s="214"/>
      <c r="AA237" s="214"/>
      <c r="AB237" s="214"/>
      <c r="AC237" s="214"/>
      <c r="AD237" s="214"/>
      <c r="AE237" s="214"/>
      <c r="AF237" s="214"/>
      <c r="AG237" s="657"/>
      <c r="AH237" s="214"/>
      <c r="AI237" s="214"/>
      <c r="AJ237" s="214"/>
      <c r="AK237" s="214"/>
      <c r="AL237" s="214"/>
      <c r="AM237" s="214"/>
      <c r="AN237" s="214"/>
      <c r="AO237" s="214"/>
      <c r="AP237" s="214"/>
      <c r="AQ237" s="214"/>
      <c r="AR237" s="214"/>
      <c r="AS237" s="214"/>
      <c r="AT237" s="214"/>
      <c r="AU237" s="214"/>
      <c r="AV237" s="214"/>
      <c r="AW237" s="214"/>
      <c r="AX237" s="214"/>
      <c r="AY237" s="214"/>
      <c r="AZ237" s="628"/>
      <c r="BA237" s="214"/>
      <c r="BB237" s="214"/>
      <c r="BC237" s="214"/>
      <c r="BD237" s="214"/>
      <c r="BE237" s="214"/>
      <c r="BF237" s="214"/>
      <c r="BG237" s="657"/>
      <c r="BH237" s="214"/>
      <c r="BJ237" s="214"/>
      <c r="BK237" s="214"/>
      <c r="BL237" s="214"/>
      <c r="BM237" s="214"/>
      <c r="BN237" s="214"/>
      <c r="BO237" s="214"/>
      <c r="BP237" s="214"/>
      <c r="BQ237" s="214"/>
      <c r="BR237" s="214"/>
      <c r="BS237" s="214"/>
    </row>
    <row r="238" spans="1:71" s="630" customFormat="1" x14ac:dyDescent="0.25">
      <c r="A238" s="214"/>
      <c r="B238" s="214"/>
      <c r="C238" s="214"/>
      <c r="D238" s="214"/>
      <c r="E238" s="214"/>
      <c r="F238" s="214"/>
      <c r="G238" s="214"/>
      <c r="H238" s="214"/>
      <c r="I238" s="214"/>
      <c r="J238" s="214"/>
      <c r="K238" s="214"/>
      <c r="L238" s="214"/>
      <c r="M238" s="214"/>
      <c r="N238" s="214"/>
      <c r="O238" s="214"/>
      <c r="P238" s="214"/>
      <c r="Q238" s="657"/>
      <c r="R238" s="214"/>
      <c r="S238" s="214"/>
      <c r="T238" s="214"/>
      <c r="U238" s="214"/>
      <c r="V238" s="214"/>
      <c r="W238" s="214"/>
      <c r="X238" s="214"/>
      <c r="Y238" s="214"/>
      <c r="Z238" s="214"/>
      <c r="AA238" s="214"/>
      <c r="AB238" s="214"/>
      <c r="AC238" s="214"/>
      <c r="AD238" s="214"/>
      <c r="AE238" s="214"/>
      <c r="AF238" s="214"/>
      <c r="AG238" s="657"/>
      <c r="AH238" s="214"/>
      <c r="AI238" s="214"/>
      <c r="AJ238" s="214"/>
      <c r="AK238" s="214"/>
      <c r="AL238" s="214"/>
      <c r="AM238" s="214"/>
      <c r="AN238" s="214"/>
      <c r="AO238" s="214"/>
      <c r="AP238" s="214"/>
      <c r="AQ238" s="214"/>
      <c r="AR238" s="214"/>
      <c r="AS238" s="214"/>
      <c r="AT238" s="214"/>
      <c r="AU238" s="214"/>
      <c r="AV238" s="214"/>
      <c r="AW238" s="214"/>
      <c r="AX238" s="214"/>
      <c r="AY238" s="214"/>
      <c r="AZ238" s="628"/>
      <c r="BA238" s="214"/>
      <c r="BB238" s="214"/>
      <c r="BC238" s="214"/>
      <c r="BD238" s="214"/>
      <c r="BE238" s="214"/>
      <c r="BF238" s="214"/>
      <c r="BG238" s="657"/>
      <c r="BH238" s="214"/>
      <c r="BJ238" s="214"/>
      <c r="BK238" s="214"/>
      <c r="BL238" s="214"/>
      <c r="BM238" s="214"/>
      <c r="BN238" s="214"/>
      <c r="BO238" s="214"/>
      <c r="BP238" s="214"/>
      <c r="BQ238" s="214"/>
      <c r="BR238" s="214"/>
      <c r="BS238" s="214"/>
    </row>
    <row r="239" spans="1:71" s="630" customFormat="1" x14ac:dyDescent="0.25">
      <c r="A239" s="214"/>
      <c r="B239" s="214"/>
      <c r="C239" s="214"/>
      <c r="D239" s="214"/>
      <c r="E239" s="214"/>
      <c r="F239" s="214"/>
      <c r="G239" s="214"/>
      <c r="H239" s="214"/>
      <c r="I239" s="214"/>
      <c r="J239" s="214"/>
      <c r="K239" s="214"/>
      <c r="L239" s="214"/>
      <c r="M239" s="214"/>
      <c r="N239" s="214"/>
      <c r="O239" s="214"/>
      <c r="P239" s="214"/>
      <c r="Q239" s="657"/>
      <c r="R239" s="214"/>
      <c r="S239" s="214"/>
      <c r="T239" s="214"/>
      <c r="U239" s="214"/>
      <c r="V239" s="214"/>
      <c r="W239" s="214"/>
      <c r="X239" s="214"/>
      <c r="Y239" s="214"/>
      <c r="Z239" s="214"/>
      <c r="AA239" s="214"/>
      <c r="AB239" s="214"/>
      <c r="AC239" s="214"/>
      <c r="AD239" s="214"/>
      <c r="AE239" s="214"/>
      <c r="AF239" s="214"/>
      <c r="AG239" s="657"/>
      <c r="AH239" s="214"/>
      <c r="AI239" s="214"/>
      <c r="AJ239" s="214"/>
      <c r="AK239" s="214"/>
      <c r="AL239" s="214"/>
      <c r="AM239" s="214"/>
      <c r="AN239" s="214"/>
      <c r="AO239" s="214"/>
      <c r="AP239" s="214"/>
      <c r="AQ239" s="214"/>
      <c r="AR239" s="214"/>
      <c r="AS239" s="214"/>
      <c r="AT239" s="214"/>
      <c r="AU239" s="214"/>
      <c r="AV239" s="214"/>
      <c r="AW239" s="214"/>
      <c r="AX239" s="214"/>
      <c r="AY239" s="214"/>
      <c r="AZ239" s="628"/>
      <c r="BA239" s="214"/>
      <c r="BB239" s="214"/>
      <c r="BC239" s="214"/>
      <c r="BD239" s="214"/>
      <c r="BE239" s="214"/>
      <c r="BF239" s="214"/>
      <c r="BG239" s="657"/>
      <c r="BH239" s="214"/>
      <c r="BJ239" s="214"/>
      <c r="BK239" s="214"/>
      <c r="BL239" s="214"/>
      <c r="BM239" s="214"/>
      <c r="BN239" s="214"/>
      <c r="BO239" s="214"/>
      <c r="BP239" s="214"/>
      <c r="BQ239" s="214"/>
      <c r="BR239" s="214"/>
      <c r="BS239" s="214"/>
    </row>
    <row r="240" spans="1:71" s="630" customFormat="1" x14ac:dyDescent="0.25">
      <c r="A240" s="214"/>
      <c r="B240" s="214"/>
      <c r="C240" s="214"/>
      <c r="D240" s="214"/>
      <c r="E240" s="214"/>
      <c r="F240" s="214"/>
      <c r="G240" s="214"/>
      <c r="H240" s="214"/>
      <c r="I240" s="214"/>
      <c r="J240" s="214"/>
      <c r="K240" s="214"/>
      <c r="L240" s="214"/>
      <c r="M240" s="214"/>
      <c r="N240" s="214"/>
      <c r="O240" s="214"/>
      <c r="P240" s="214"/>
      <c r="Q240" s="657"/>
      <c r="R240" s="214"/>
      <c r="S240" s="214"/>
      <c r="T240" s="214"/>
      <c r="U240" s="214"/>
      <c r="V240" s="214"/>
      <c r="W240" s="214"/>
      <c r="X240" s="214"/>
      <c r="Y240" s="214"/>
      <c r="Z240" s="214"/>
      <c r="AA240" s="214"/>
      <c r="AB240" s="214"/>
      <c r="AC240" s="214"/>
      <c r="AD240" s="214"/>
      <c r="AE240" s="214"/>
      <c r="AF240" s="214"/>
      <c r="AG240" s="657"/>
      <c r="AH240" s="214"/>
      <c r="AI240" s="214"/>
      <c r="AJ240" s="214"/>
      <c r="AK240" s="214"/>
      <c r="AL240" s="214"/>
      <c r="AM240" s="214"/>
      <c r="AN240" s="214"/>
      <c r="AO240" s="214"/>
      <c r="AP240" s="214"/>
      <c r="AQ240" s="214"/>
      <c r="AR240" s="214"/>
      <c r="AS240" s="214"/>
      <c r="AT240" s="214"/>
      <c r="AU240" s="214"/>
      <c r="AV240" s="214"/>
      <c r="AW240" s="214"/>
      <c r="AX240" s="214"/>
      <c r="AY240" s="214"/>
      <c r="AZ240" s="628"/>
      <c r="BA240" s="214"/>
      <c r="BB240" s="214"/>
      <c r="BC240" s="214"/>
      <c r="BD240" s="214"/>
      <c r="BE240" s="214"/>
      <c r="BF240" s="214"/>
      <c r="BG240" s="657"/>
      <c r="BH240" s="214"/>
      <c r="BJ240" s="214"/>
      <c r="BK240" s="214"/>
      <c r="BL240" s="214"/>
      <c r="BM240" s="214"/>
      <c r="BN240" s="214"/>
      <c r="BO240" s="214"/>
      <c r="BP240" s="214"/>
      <c r="BQ240" s="214"/>
      <c r="BR240" s="214"/>
      <c r="BS240" s="214"/>
    </row>
    <row r="241" spans="1:71" s="630" customFormat="1" x14ac:dyDescent="0.25">
      <c r="A241" s="214"/>
      <c r="B241" s="214"/>
      <c r="C241" s="214"/>
      <c r="D241" s="214"/>
      <c r="E241" s="214"/>
      <c r="F241" s="214"/>
      <c r="G241" s="214"/>
      <c r="H241" s="214"/>
      <c r="I241" s="214"/>
      <c r="J241" s="214"/>
      <c r="K241" s="214"/>
      <c r="L241" s="214"/>
      <c r="M241" s="214"/>
      <c r="N241" s="214"/>
      <c r="O241" s="214"/>
      <c r="P241" s="214"/>
      <c r="Q241" s="657"/>
      <c r="R241" s="214"/>
      <c r="S241" s="214"/>
      <c r="T241" s="214"/>
      <c r="U241" s="214"/>
      <c r="V241" s="214"/>
      <c r="W241" s="214"/>
      <c r="X241" s="214"/>
      <c r="Y241" s="214"/>
      <c r="Z241" s="214"/>
      <c r="AA241" s="214"/>
      <c r="AB241" s="214"/>
      <c r="AC241" s="214"/>
      <c r="AD241" s="214"/>
      <c r="AE241" s="214"/>
      <c r="AF241" s="214"/>
      <c r="AG241" s="657"/>
      <c r="AH241" s="214"/>
      <c r="AI241" s="214"/>
      <c r="AJ241" s="214"/>
      <c r="AK241" s="214"/>
      <c r="AL241" s="214"/>
      <c r="AM241" s="214"/>
      <c r="AN241" s="214"/>
      <c r="AO241" s="214"/>
      <c r="AP241" s="214"/>
      <c r="AQ241" s="214"/>
      <c r="AR241" s="214"/>
      <c r="AS241" s="214"/>
      <c r="AT241" s="214"/>
      <c r="AU241" s="214"/>
      <c r="AV241" s="214"/>
      <c r="AW241" s="214"/>
      <c r="AX241" s="214"/>
      <c r="AY241" s="214"/>
      <c r="AZ241" s="628"/>
      <c r="BA241" s="214"/>
      <c r="BB241" s="214"/>
      <c r="BC241" s="214"/>
      <c r="BD241" s="214"/>
      <c r="BE241" s="214"/>
      <c r="BF241" s="214"/>
      <c r="BG241" s="657"/>
      <c r="BH241" s="214"/>
      <c r="BJ241" s="214"/>
      <c r="BK241" s="214"/>
      <c r="BL241" s="214"/>
      <c r="BM241" s="214"/>
      <c r="BN241" s="214"/>
      <c r="BO241" s="214"/>
      <c r="BP241" s="214"/>
      <c r="BQ241" s="214"/>
      <c r="BR241" s="214"/>
      <c r="BS241" s="214"/>
    </row>
    <row r="242" spans="1:71" s="630" customFormat="1" x14ac:dyDescent="0.25">
      <c r="A242" s="214"/>
      <c r="B242" s="214"/>
      <c r="C242" s="214"/>
      <c r="D242" s="214"/>
      <c r="E242" s="214"/>
      <c r="F242" s="214"/>
      <c r="G242" s="214"/>
      <c r="H242" s="214"/>
      <c r="I242" s="214"/>
      <c r="J242" s="214"/>
      <c r="K242" s="214"/>
      <c r="L242" s="214"/>
      <c r="M242" s="214"/>
      <c r="N242" s="214"/>
      <c r="O242" s="214"/>
      <c r="P242" s="214"/>
      <c r="Q242" s="657"/>
      <c r="R242" s="214"/>
      <c r="S242" s="214"/>
      <c r="T242" s="214"/>
      <c r="U242" s="214"/>
      <c r="V242" s="214"/>
      <c r="W242" s="214"/>
      <c r="X242" s="214"/>
      <c r="Y242" s="214"/>
      <c r="Z242" s="214"/>
      <c r="AA242" s="214"/>
      <c r="AB242" s="214"/>
      <c r="AC242" s="214"/>
      <c r="AD242" s="214"/>
      <c r="AE242" s="214"/>
      <c r="AF242" s="214"/>
      <c r="AG242" s="657"/>
      <c r="AH242" s="214"/>
      <c r="AI242" s="214"/>
      <c r="AJ242" s="214"/>
      <c r="AK242" s="214"/>
      <c r="AL242" s="214"/>
      <c r="AM242" s="214"/>
      <c r="AN242" s="214"/>
      <c r="AO242" s="214"/>
      <c r="AP242" s="214"/>
      <c r="AQ242" s="214"/>
      <c r="AR242" s="214"/>
      <c r="AS242" s="214"/>
      <c r="AT242" s="214"/>
      <c r="AU242" s="214"/>
      <c r="AV242" s="214"/>
      <c r="AW242" s="214"/>
      <c r="AX242" s="214"/>
      <c r="AY242" s="214"/>
      <c r="AZ242" s="628"/>
      <c r="BA242" s="214"/>
      <c r="BB242" s="214"/>
      <c r="BC242" s="214"/>
      <c r="BD242" s="214"/>
      <c r="BE242" s="214"/>
      <c r="BF242" s="214"/>
      <c r="BG242" s="657"/>
      <c r="BH242" s="214"/>
      <c r="BJ242" s="214"/>
      <c r="BK242" s="214"/>
      <c r="BL242" s="214"/>
      <c r="BM242" s="214"/>
      <c r="BN242" s="214"/>
      <c r="BO242" s="214"/>
      <c r="BP242" s="214"/>
      <c r="BQ242" s="214"/>
      <c r="BR242" s="214"/>
      <c r="BS242" s="214"/>
    </row>
    <row r="243" spans="1:71" s="630" customFormat="1" x14ac:dyDescent="0.25">
      <c r="A243" s="214"/>
      <c r="B243" s="214"/>
      <c r="C243" s="214"/>
      <c r="D243" s="214"/>
      <c r="E243" s="214"/>
      <c r="F243" s="214"/>
      <c r="G243" s="214"/>
      <c r="H243" s="214"/>
      <c r="I243" s="214"/>
      <c r="J243" s="214"/>
      <c r="K243" s="214"/>
      <c r="L243" s="214"/>
      <c r="M243" s="214"/>
      <c r="N243" s="214"/>
      <c r="O243" s="214"/>
      <c r="P243" s="214"/>
      <c r="Q243" s="657"/>
      <c r="R243" s="214"/>
      <c r="S243" s="214"/>
      <c r="T243" s="214"/>
      <c r="U243" s="214"/>
      <c r="V243" s="214"/>
      <c r="W243" s="214"/>
      <c r="X243" s="214"/>
      <c r="Y243" s="214"/>
      <c r="Z243" s="214"/>
      <c r="AA243" s="214"/>
      <c r="AB243" s="214"/>
      <c r="AC243" s="214"/>
      <c r="AD243" s="214"/>
      <c r="AE243" s="214"/>
      <c r="AF243" s="214"/>
      <c r="AG243" s="657"/>
      <c r="AH243" s="214"/>
      <c r="AI243" s="214"/>
      <c r="AJ243" s="214"/>
      <c r="AK243" s="214"/>
      <c r="AL243" s="214"/>
      <c r="AM243" s="214"/>
      <c r="AN243" s="214"/>
      <c r="AO243" s="214"/>
      <c r="AP243" s="214"/>
      <c r="AQ243" s="214"/>
      <c r="AR243" s="214"/>
      <c r="AS243" s="214"/>
      <c r="AT243" s="214"/>
      <c r="AU243" s="214"/>
      <c r="AV243" s="214"/>
      <c r="AW243" s="214"/>
      <c r="AX243" s="214"/>
      <c r="AY243" s="214"/>
      <c r="AZ243" s="628"/>
      <c r="BA243" s="214"/>
      <c r="BB243" s="214"/>
      <c r="BC243" s="214"/>
      <c r="BD243" s="214"/>
      <c r="BE243" s="214"/>
      <c r="BF243" s="214"/>
      <c r="BG243" s="657"/>
      <c r="BH243" s="214"/>
      <c r="BJ243" s="214"/>
      <c r="BK243" s="214"/>
      <c r="BL243" s="214"/>
      <c r="BM243" s="214"/>
      <c r="BN243" s="214"/>
      <c r="BO243" s="214"/>
      <c r="BP243" s="214"/>
      <c r="BQ243" s="214"/>
      <c r="BR243" s="214"/>
      <c r="BS243" s="214"/>
    </row>
    <row r="244" spans="1:71" s="630" customFormat="1" x14ac:dyDescent="0.25">
      <c r="A244" s="214"/>
      <c r="B244" s="214"/>
      <c r="C244" s="214"/>
      <c r="D244" s="214"/>
      <c r="E244" s="214"/>
      <c r="F244" s="214"/>
      <c r="G244" s="214"/>
      <c r="H244" s="214"/>
      <c r="I244" s="214"/>
      <c r="J244" s="214"/>
      <c r="K244" s="214"/>
      <c r="L244" s="214"/>
      <c r="M244" s="214"/>
      <c r="N244" s="214"/>
      <c r="O244" s="214"/>
      <c r="P244" s="214"/>
      <c r="Q244" s="657"/>
      <c r="R244" s="214"/>
      <c r="S244" s="214"/>
      <c r="T244" s="214"/>
      <c r="U244" s="214"/>
      <c r="V244" s="214"/>
      <c r="W244" s="214"/>
      <c r="X244" s="214"/>
      <c r="Y244" s="214"/>
      <c r="Z244" s="214"/>
      <c r="AA244" s="214"/>
      <c r="AB244" s="214"/>
      <c r="AC244" s="214"/>
      <c r="AD244" s="214"/>
      <c r="AE244" s="214"/>
      <c r="AF244" s="214"/>
      <c r="AG244" s="657"/>
      <c r="AH244" s="214"/>
      <c r="AI244" s="214"/>
      <c r="AJ244" s="214"/>
      <c r="AK244" s="214"/>
      <c r="AL244" s="214"/>
      <c r="AM244" s="214"/>
      <c r="AN244" s="214"/>
      <c r="AO244" s="214"/>
      <c r="AP244" s="214"/>
      <c r="AQ244" s="214"/>
      <c r="AR244" s="214"/>
      <c r="AS244" s="214"/>
      <c r="AT244" s="214"/>
      <c r="AU244" s="214"/>
      <c r="AV244" s="214"/>
      <c r="AW244" s="214"/>
      <c r="AX244" s="214"/>
      <c r="AY244" s="214"/>
      <c r="AZ244" s="628"/>
      <c r="BA244" s="214"/>
      <c r="BB244" s="214"/>
      <c r="BC244" s="214"/>
      <c r="BD244" s="214"/>
      <c r="BE244" s="214"/>
      <c r="BF244" s="214"/>
      <c r="BG244" s="657"/>
      <c r="BH244" s="214"/>
      <c r="BJ244" s="214"/>
      <c r="BK244" s="214"/>
      <c r="BL244" s="214"/>
      <c r="BM244" s="214"/>
      <c r="BN244" s="214"/>
      <c r="BO244" s="214"/>
      <c r="BP244" s="214"/>
      <c r="BQ244" s="214"/>
      <c r="BR244" s="214"/>
      <c r="BS244" s="214"/>
    </row>
    <row r="245" spans="1:71" s="630" customFormat="1" x14ac:dyDescent="0.25">
      <c r="A245" s="214"/>
      <c r="B245" s="214"/>
      <c r="C245" s="214"/>
      <c r="D245" s="214"/>
      <c r="E245" s="214"/>
      <c r="F245" s="214"/>
      <c r="G245" s="214"/>
      <c r="H245" s="214"/>
      <c r="I245" s="214"/>
      <c r="J245" s="214"/>
      <c r="K245" s="214"/>
      <c r="L245" s="214"/>
      <c r="M245" s="214"/>
      <c r="N245" s="214"/>
      <c r="O245" s="214"/>
      <c r="P245" s="214"/>
      <c r="Q245" s="657"/>
      <c r="R245" s="214"/>
      <c r="S245" s="214"/>
      <c r="T245" s="214"/>
      <c r="U245" s="214"/>
      <c r="V245" s="214"/>
      <c r="W245" s="214"/>
      <c r="X245" s="214"/>
      <c r="Y245" s="214"/>
      <c r="Z245" s="214"/>
      <c r="AA245" s="214"/>
      <c r="AB245" s="214"/>
      <c r="AC245" s="214"/>
      <c r="AD245" s="214"/>
      <c r="AE245" s="214"/>
      <c r="AF245" s="214"/>
      <c r="AG245" s="657"/>
      <c r="AH245" s="214"/>
      <c r="AI245" s="214"/>
      <c r="AJ245" s="214"/>
      <c r="AK245" s="214"/>
      <c r="AL245" s="214"/>
      <c r="AM245" s="214"/>
      <c r="AN245" s="214"/>
      <c r="AO245" s="214"/>
      <c r="AP245" s="214"/>
      <c r="AQ245" s="214"/>
      <c r="AR245" s="214"/>
      <c r="AS245" s="214"/>
      <c r="AT245" s="214"/>
      <c r="AU245" s="214"/>
      <c r="AV245" s="214"/>
      <c r="AW245" s="214"/>
      <c r="AX245" s="214"/>
      <c r="AY245" s="214"/>
      <c r="AZ245" s="628"/>
      <c r="BA245" s="214"/>
      <c r="BB245" s="214"/>
      <c r="BC245" s="214"/>
      <c r="BD245" s="214"/>
      <c r="BE245" s="214"/>
      <c r="BF245" s="214"/>
      <c r="BG245" s="657"/>
      <c r="BH245" s="214"/>
      <c r="BJ245" s="214"/>
      <c r="BK245" s="214"/>
      <c r="BL245" s="214"/>
      <c r="BM245" s="214"/>
      <c r="BN245" s="214"/>
      <c r="BO245" s="214"/>
      <c r="BP245" s="214"/>
      <c r="BQ245" s="214"/>
      <c r="BR245" s="214"/>
      <c r="BS245" s="214"/>
    </row>
    <row r="246" spans="1:71" s="630" customFormat="1" x14ac:dyDescent="0.25">
      <c r="A246" s="214"/>
      <c r="B246" s="214"/>
      <c r="C246" s="214"/>
      <c r="D246" s="214"/>
      <c r="E246" s="214"/>
      <c r="F246" s="214"/>
      <c r="G246" s="214"/>
      <c r="H246" s="214"/>
      <c r="I246" s="214"/>
      <c r="J246" s="214"/>
      <c r="K246" s="214"/>
      <c r="L246" s="214"/>
      <c r="M246" s="214"/>
      <c r="N246" s="214"/>
      <c r="O246" s="214"/>
      <c r="P246" s="214"/>
      <c r="Q246" s="657"/>
      <c r="R246" s="214"/>
      <c r="S246" s="214"/>
      <c r="T246" s="214"/>
      <c r="U246" s="214"/>
      <c r="V246" s="214"/>
      <c r="W246" s="214"/>
      <c r="X246" s="214"/>
      <c r="Y246" s="214"/>
      <c r="Z246" s="214"/>
      <c r="AA246" s="214"/>
      <c r="AB246" s="214"/>
      <c r="AC246" s="214"/>
      <c r="AD246" s="214"/>
      <c r="AE246" s="214"/>
      <c r="AF246" s="214"/>
      <c r="AG246" s="657"/>
      <c r="AH246" s="214"/>
      <c r="AI246" s="214"/>
      <c r="AJ246" s="214"/>
      <c r="AK246" s="214"/>
      <c r="AL246" s="214"/>
      <c r="AM246" s="214"/>
      <c r="AN246" s="214"/>
      <c r="AO246" s="214"/>
      <c r="AP246" s="214"/>
      <c r="AQ246" s="214"/>
      <c r="AR246" s="214"/>
      <c r="AS246" s="214"/>
      <c r="AT246" s="214"/>
      <c r="AU246" s="214"/>
      <c r="AV246" s="214"/>
      <c r="AW246" s="214"/>
      <c r="AX246" s="214"/>
      <c r="AY246" s="214"/>
      <c r="AZ246" s="628"/>
      <c r="BA246" s="214"/>
      <c r="BB246" s="214"/>
      <c r="BC246" s="214"/>
      <c r="BD246" s="214"/>
      <c r="BE246" s="214"/>
      <c r="BF246" s="214"/>
      <c r="BG246" s="657"/>
      <c r="BH246" s="214"/>
      <c r="BJ246" s="214"/>
      <c r="BK246" s="214"/>
      <c r="BL246" s="214"/>
      <c r="BM246" s="214"/>
      <c r="BN246" s="214"/>
      <c r="BO246" s="214"/>
      <c r="BP246" s="214"/>
      <c r="BQ246" s="214"/>
      <c r="BR246" s="214"/>
      <c r="BS246" s="214"/>
    </row>
    <row r="247" spans="1:71" s="630" customFormat="1" x14ac:dyDescent="0.25">
      <c r="A247" s="214"/>
      <c r="B247" s="214"/>
      <c r="C247" s="214"/>
      <c r="D247" s="214"/>
      <c r="E247" s="214"/>
      <c r="F247" s="214"/>
      <c r="G247" s="214"/>
      <c r="H247" s="214"/>
      <c r="I247" s="214"/>
      <c r="J247" s="214"/>
      <c r="K247" s="214"/>
      <c r="L247" s="214"/>
      <c r="M247" s="214"/>
      <c r="N247" s="214"/>
      <c r="O247" s="214"/>
      <c r="P247" s="214"/>
      <c r="Q247" s="657"/>
      <c r="R247" s="214"/>
      <c r="S247" s="214"/>
      <c r="T247" s="214"/>
      <c r="U247" s="214"/>
      <c r="V247" s="214"/>
      <c r="W247" s="214"/>
      <c r="X247" s="214"/>
      <c r="Y247" s="214"/>
      <c r="Z247" s="214"/>
      <c r="AA247" s="214"/>
      <c r="AB247" s="214"/>
      <c r="AC247" s="214"/>
      <c r="AD247" s="214"/>
      <c r="AE247" s="214"/>
      <c r="AF247" s="214"/>
      <c r="AG247" s="657"/>
      <c r="AH247" s="214"/>
      <c r="AI247" s="214"/>
      <c r="AJ247" s="214"/>
      <c r="AK247" s="214"/>
      <c r="AL247" s="214"/>
      <c r="AM247" s="214"/>
      <c r="AN247" s="214"/>
      <c r="AO247" s="214"/>
      <c r="AP247" s="214"/>
      <c r="AQ247" s="214"/>
      <c r="AR247" s="214"/>
      <c r="AS247" s="214"/>
      <c r="AT247" s="214"/>
      <c r="AU247" s="214"/>
      <c r="AV247" s="214"/>
      <c r="AW247" s="214"/>
      <c r="AX247" s="214"/>
      <c r="AY247" s="214"/>
      <c r="AZ247" s="628"/>
      <c r="BA247" s="214"/>
      <c r="BB247" s="214"/>
      <c r="BC247" s="214"/>
      <c r="BD247" s="214"/>
      <c r="BE247" s="214"/>
      <c r="BF247" s="214"/>
      <c r="BG247" s="657"/>
      <c r="BH247" s="214"/>
      <c r="BJ247" s="214"/>
      <c r="BK247" s="214"/>
      <c r="BL247" s="214"/>
      <c r="BM247" s="214"/>
      <c r="BN247" s="214"/>
      <c r="BO247" s="214"/>
      <c r="BP247" s="214"/>
      <c r="BQ247" s="214"/>
      <c r="BR247" s="214"/>
      <c r="BS247" s="214"/>
    </row>
    <row r="248" spans="1:71" s="630" customFormat="1" x14ac:dyDescent="0.25">
      <c r="A248" s="214"/>
      <c r="B248" s="214"/>
      <c r="C248" s="214"/>
      <c r="D248" s="214"/>
      <c r="E248" s="214"/>
      <c r="F248" s="214"/>
      <c r="G248" s="214"/>
      <c r="H248" s="214"/>
      <c r="I248" s="214"/>
      <c r="J248" s="214"/>
      <c r="K248" s="214"/>
      <c r="L248" s="214"/>
      <c r="M248" s="214"/>
      <c r="N248" s="214"/>
      <c r="O248" s="214"/>
      <c r="P248" s="214"/>
      <c r="Q248" s="657"/>
      <c r="R248" s="214"/>
      <c r="S248" s="214"/>
      <c r="T248" s="214"/>
      <c r="U248" s="214"/>
      <c r="V248" s="214"/>
      <c r="W248" s="214"/>
      <c r="X248" s="214"/>
      <c r="Y248" s="214"/>
      <c r="Z248" s="214"/>
      <c r="AA248" s="214"/>
      <c r="AB248" s="214"/>
      <c r="AC248" s="214"/>
      <c r="AD248" s="214"/>
      <c r="AE248" s="214"/>
      <c r="AF248" s="214"/>
      <c r="AG248" s="657"/>
      <c r="AH248" s="214"/>
      <c r="AI248" s="214"/>
      <c r="AJ248" s="214"/>
      <c r="AK248" s="214"/>
      <c r="AL248" s="214"/>
      <c r="AM248" s="214"/>
      <c r="AN248" s="214"/>
      <c r="AO248" s="214"/>
      <c r="AP248" s="214"/>
      <c r="AQ248" s="214"/>
      <c r="AR248" s="214"/>
      <c r="AS248" s="214"/>
      <c r="AT248" s="214"/>
      <c r="AU248" s="214"/>
      <c r="AV248" s="214"/>
      <c r="AW248" s="214"/>
      <c r="AX248" s="214"/>
      <c r="AY248" s="214"/>
      <c r="AZ248" s="628"/>
      <c r="BA248" s="214"/>
      <c r="BB248" s="214"/>
      <c r="BC248" s="214"/>
      <c r="BD248" s="214"/>
      <c r="BE248" s="214"/>
      <c r="BF248" s="214"/>
      <c r="BG248" s="657"/>
      <c r="BH248" s="214"/>
      <c r="BJ248" s="214"/>
      <c r="BK248" s="214"/>
      <c r="BL248" s="214"/>
      <c r="BM248" s="214"/>
      <c r="BN248" s="214"/>
      <c r="BO248" s="214"/>
      <c r="BP248" s="214"/>
      <c r="BQ248" s="214"/>
      <c r="BR248" s="214"/>
      <c r="BS248" s="214"/>
    </row>
    <row r="249" spans="1:71" s="630" customFormat="1" x14ac:dyDescent="0.25">
      <c r="A249" s="214"/>
      <c r="B249" s="214"/>
      <c r="C249" s="214"/>
      <c r="D249" s="214"/>
      <c r="E249" s="214"/>
      <c r="F249" s="214"/>
      <c r="G249" s="214"/>
      <c r="H249" s="214"/>
      <c r="I249" s="214"/>
      <c r="J249" s="214"/>
      <c r="K249" s="214"/>
      <c r="L249" s="214"/>
      <c r="M249" s="214"/>
      <c r="N249" s="214"/>
      <c r="O249" s="214"/>
      <c r="P249" s="214"/>
      <c r="Q249" s="657"/>
      <c r="R249" s="214"/>
      <c r="S249" s="214"/>
      <c r="T249" s="214"/>
      <c r="U249" s="214"/>
      <c r="V249" s="214"/>
      <c r="W249" s="214"/>
      <c r="X249" s="214"/>
      <c r="Y249" s="214"/>
      <c r="Z249" s="214"/>
      <c r="AA249" s="214"/>
      <c r="AB249" s="214"/>
      <c r="AC249" s="214"/>
      <c r="AD249" s="214"/>
      <c r="AE249" s="214"/>
      <c r="AF249" s="214"/>
      <c r="AG249" s="657"/>
      <c r="AH249" s="214"/>
      <c r="AI249" s="214"/>
      <c r="AJ249" s="214"/>
      <c r="AK249" s="214"/>
      <c r="AL249" s="214"/>
      <c r="AM249" s="214"/>
      <c r="AN249" s="214"/>
      <c r="AO249" s="214"/>
      <c r="AP249" s="214"/>
      <c r="AQ249" s="214"/>
      <c r="AR249" s="214"/>
      <c r="AS249" s="214"/>
      <c r="AT249" s="214"/>
      <c r="AU249" s="214"/>
      <c r="AV249" s="214"/>
      <c r="AW249" s="214"/>
      <c r="AX249" s="214"/>
      <c r="AY249" s="214"/>
      <c r="AZ249" s="628"/>
      <c r="BA249" s="214"/>
      <c r="BB249" s="214"/>
      <c r="BC249" s="214"/>
      <c r="BD249" s="214"/>
      <c r="BE249" s="214"/>
      <c r="BF249" s="214"/>
      <c r="BG249" s="657"/>
      <c r="BH249" s="214"/>
      <c r="BJ249" s="214"/>
      <c r="BK249" s="214"/>
      <c r="BL249" s="214"/>
      <c r="BM249" s="214"/>
      <c r="BN249" s="214"/>
      <c r="BO249" s="214"/>
      <c r="BP249" s="214"/>
      <c r="BQ249" s="214"/>
      <c r="BR249" s="214"/>
      <c r="BS249" s="214"/>
    </row>
    <row r="250" spans="1:71" s="630" customFormat="1" x14ac:dyDescent="0.25">
      <c r="A250" s="214"/>
      <c r="B250" s="214"/>
      <c r="C250" s="214"/>
      <c r="D250" s="214"/>
      <c r="E250" s="214"/>
      <c r="F250" s="214"/>
      <c r="G250" s="214"/>
      <c r="H250" s="214"/>
      <c r="I250" s="214"/>
      <c r="J250" s="214"/>
      <c r="K250" s="214"/>
      <c r="L250" s="214"/>
      <c r="M250" s="214"/>
      <c r="N250" s="214"/>
      <c r="O250" s="214"/>
      <c r="P250" s="214"/>
      <c r="Q250" s="657"/>
      <c r="R250" s="214"/>
      <c r="S250" s="214"/>
      <c r="T250" s="214"/>
      <c r="U250" s="214"/>
      <c r="V250" s="214"/>
      <c r="W250" s="214"/>
      <c r="X250" s="214"/>
      <c r="Y250" s="214"/>
      <c r="Z250" s="214"/>
      <c r="AA250" s="214"/>
      <c r="AB250" s="214"/>
      <c r="AC250" s="214"/>
      <c r="AD250" s="214"/>
      <c r="AE250" s="214"/>
      <c r="AF250" s="214"/>
      <c r="AG250" s="657"/>
      <c r="AH250" s="214"/>
      <c r="AI250" s="214"/>
      <c r="AJ250" s="214"/>
      <c r="AK250" s="214"/>
      <c r="AL250" s="214"/>
      <c r="AM250" s="214"/>
      <c r="AN250" s="214"/>
      <c r="AO250" s="214"/>
      <c r="AP250" s="214"/>
      <c r="AQ250" s="214"/>
      <c r="AR250" s="214"/>
      <c r="AS250" s="214"/>
      <c r="AT250" s="214"/>
      <c r="AU250" s="214"/>
      <c r="AV250" s="214"/>
      <c r="AW250" s="214"/>
      <c r="AX250" s="214"/>
      <c r="AY250" s="214"/>
      <c r="AZ250" s="628"/>
      <c r="BA250" s="214"/>
      <c r="BB250" s="214"/>
      <c r="BC250" s="214"/>
      <c r="BD250" s="214"/>
      <c r="BE250" s="214"/>
      <c r="BF250" s="214"/>
      <c r="BG250" s="657"/>
      <c r="BH250" s="214"/>
      <c r="BJ250" s="214"/>
      <c r="BK250" s="214"/>
      <c r="BL250" s="214"/>
      <c r="BM250" s="214"/>
      <c r="BN250" s="214"/>
      <c r="BO250" s="214"/>
      <c r="BP250" s="214"/>
      <c r="BQ250" s="214"/>
      <c r="BR250" s="214"/>
      <c r="BS250" s="214"/>
    </row>
    <row r="251" spans="1:71" s="630" customFormat="1" x14ac:dyDescent="0.25">
      <c r="A251" s="214"/>
      <c r="B251" s="214"/>
      <c r="C251" s="214"/>
      <c r="D251" s="214"/>
      <c r="E251" s="214"/>
      <c r="F251" s="214"/>
      <c r="G251" s="214"/>
      <c r="H251" s="214"/>
      <c r="I251" s="214"/>
      <c r="J251" s="214"/>
      <c r="K251" s="214"/>
      <c r="L251" s="214"/>
      <c r="M251" s="214"/>
      <c r="N251" s="214"/>
      <c r="O251" s="214"/>
      <c r="P251" s="214"/>
      <c r="Q251" s="657"/>
      <c r="R251" s="214"/>
      <c r="S251" s="214"/>
      <c r="T251" s="214"/>
      <c r="U251" s="214"/>
      <c r="V251" s="214"/>
      <c r="W251" s="214"/>
      <c r="X251" s="214"/>
      <c r="Y251" s="214"/>
      <c r="Z251" s="214"/>
      <c r="AA251" s="214"/>
      <c r="AB251" s="214"/>
      <c r="AC251" s="214"/>
      <c r="AD251" s="214"/>
      <c r="AE251" s="214"/>
      <c r="AF251" s="214"/>
      <c r="AG251" s="657"/>
      <c r="AH251" s="214"/>
      <c r="AI251" s="214"/>
      <c r="AJ251" s="214"/>
      <c r="AK251" s="214"/>
      <c r="AL251" s="214"/>
      <c r="AM251" s="214"/>
      <c r="AN251" s="214"/>
      <c r="AO251" s="214"/>
      <c r="AP251" s="214"/>
      <c r="AQ251" s="214"/>
      <c r="AR251" s="214"/>
      <c r="AS251" s="214"/>
      <c r="AT251" s="214"/>
      <c r="AU251" s="214"/>
      <c r="AV251" s="214"/>
      <c r="AW251" s="214"/>
      <c r="AX251" s="214"/>
      <c r="AY251" s="214"/>
      <c r="AZ251" s="628"/>
      <c r="BA251" s="214"/>
      <c r="BB251" s="214"/>
      <c r="BC251" s="214"/>
      <c r="BD251" s="214"/>
      <c r="BE251" s="214"/>
      <c r="BF251" s="214"/>
      <c r="BG251" s="657"/>
      <c r="BH251" s="214"/>
      <c r="BJ251" s="214"/>
      <c r="BK251" s="214"/>
      <c r="BL251" s="214"/>
      <c r="BM251" s="214"/>
      <c r="BN251" s="214"/>
      <c r="BO251" s="214"/>
      <c r="BP251" s="214"/>
      <c r="BQ251" s="214"/>
      <c r="BR251" s="214"/>
      <c r="BS251" s="214"/>
    </row>
    <row r="252" spans="1:71" s="630" customFormat="1" x14ac:dyDescent="0.25">
      <c r="A252" s="214"/>
      <c r="B252" s="214"/>
      <c r="C252" s="214"/>
      <c r="D252" s="214"/>
      <c r="E252" s="214"/>
      <c r="F252" s="214"/>
      <c r="G252" s="214"/>
      <c r="H252" s="214"/>
      <c r="I252" s="214"/>
      <c r="J252" s="214"/>
      <c r="K252" s="214"/>
      <c r="L252" s="214"/>
      <c r="M252" s="214"/>
      <c r="N252" s="214"/>
      <c r="O252" s="214"/>
      <c r="P252" s="214"/>
      <c r="Q252" s="657"/>
      <c r="R252" s="214"/>
      <c r="S252" s="214"/>
      <c r="T252" s="214"/>
      <c r="U252" s="214"/>
      <c r="V252" s="214"/>
      <c r="W252" s="214"/>
      <c r="X252" s="214"/>
      <c r="Y252" s="214"/>
      <c r="Z252" s="214"/>
      <c r="AA252" s="214"/>
      <c r="AB252" s="214"/>
      <c r="AC252" s="214"/>
      <c r="AD252" s="214"/>
      <c r="AE252" s="214"/>
      <c r="AF252" s="214"/>
      <c r="AG252" s="657"/>
      <c r="AH252" s="214"/>
      <c r="AI252" s="214"/>
      <c r="AJ252" s="214"/>
      <c r="AK252" s="214"/>
      <c r="AL252" s="214"/>
      <c r="AM252" s="214"/>
      <c r="AN252" s="214"/>
      <c r="AO252" s="214"/>
      <c r="AP252" s="214"/>
      <c r="AQ252" s="214"/>
      <c r="AR252" s="214"/>
      <c r="AS252" s="214"/>
      <c r="AT252" s="214"/>
      <c r="AU252" s="214"/>
      <c r="AV252" s="214"/>
      <c r="AW252" s="214"/>
      <c r="AX252" s="214"/>
      <c r="AY252" s="214"/>
      <c r="AZ252" s="628"/>
      <c r="BA252" s="214"/>
      <c r="BB252" s="214"/>
      <c r="BC252" s="214"/>
      <c r="BD252" s="214"/>
      <c r="BE252" s="214"/>
      <c r="BF252" s="214"/>
      <c r="BG252" s="657"/>
      <c r="BH252" s="214"/>
      <c r="BJ252" s="214"/>
      <c r="BK252" s="214"/>
      <c r="BL252" s="214"/>
      <c r="BM252" s="214"/>
      <c r="BN252" s="214"/>
      <c r="BO252" s="214"/>
      <c r="BP252" s="214"/>
      <c r="BQ252" s="214"/>
      <c r="BR252" s="214"/>
      <c r="BS252" s="214"/>
    </row>
    <row r="253" spans="1:71" s="630" customFormat="1" x14ac:dyDescent="0.25">
      <c r="A253" s="214"/>
      <c r="B253" s="214"/>
      <c r="C253" s="214"/>
      <c r="D253" s="214"/>
      <c r="E253" s="214"/>
      <c r="F253" s="214"/>
      <c r="G253" s="214"/>
      <c r="H253" s="214"/>
      <c r="I253" s="214"/>
      <c r="J253" s="214"/>
      <c r="K253" s="214"/>
      <c r="L253" s="214"/>
      <c r="M253" s="214"/>
      <c r="N253" s="214"/>
      <c r="O253" s="214"/>
      <c r="P253" s="214"/>
      <c r="Q253" s="657"/>
      <c r="R253" s="214"/>
      <c r="S253" s="214"/>
      <c r="T253" s="214"/>
      <c r="U253" s="214"/>
      <c r="V253" s="214"/>
      <c r="W253" s="214"/>
      <c r="X253" s="214"/>
      <c r="Y253" s="214"/>
      <c r="Z253" s="214"/>
      <c r="AA253" s="214"/>
      <c r="AB253" s="214"/>
      <c r="AC253" s="214"/>
      <c r="AD253" s="214"/>
      <c r="AE253" s="214"/>
      <c r="AF253" s="214"/>
      <c r="AG253" s="657"/>
      <c r="AH253" s="214"/>
      <c r="AI253" s="214"/>
      <c r="AJ253" s="214"/>
      <c r="AK253" s="214"/>
      <c r="AL253" s="214"/>
      <c r="AM253" s="214"/>
      <c r="AN253" s="214"/>
      <c r="AO253" s="214"/>
      <c r="AP253" s="214"/>
      <c r="AQ253" s="214"/>
      <c r="AR253" s="214"/>
      <c r="AS253" s="214"/>
      <c r="AT253" s="214"/>
      <c r="AU253" s="214"/>
      <c r="AV253" s="214"/>
      <c r="AW253" s="214"/>
      <c r="AX253" s="214"/>
      <c r="AY253" s="214"/>
      <c r="AZ253" s="628"/>
      <c r="BA253" s="214"/>
      <c r="BB253" s="214"/>
      <c r="BC253" s="214"/>
      <c r="BD253" s="214"/>
      <c r="BE253" s="214"/>
      <c r="BF253" s="214"/>
      <c r="BG253" s="657"/>
      <c r="BH253" s="214"/>
      <c r="BJ253" s="214"/>
      <c r="BK253" s="214"/>
      <c r="BL253" s="214"/>
      <c r="BM253" s="214"/>
      <c r="BN253" s="214"/>
      <c r="BO253" s="214"/>
      <c r="BP253" s="214"/>
      <c r="BQ253" s="214"/>
      <c r="BR253" s="214"/>
      <c r="BS253" s="214"/>
    </row>
    <row r="254" spans="1:71" s="630" customFormat="1" x14ac:dyDescent="0.25">
      <c r="A254" s="214"/>
      <c r="B254" s="214"/>
      <c r="C254" s="214"/>
      <c r="D254" s="214"/>
      <c r="E254" s="214"/>
      <c r="F254" s="214"/>
      <c r="G254" s="214"/>
      <c r="H254" s="214"/>
      <c r="I254" s="214"/>
      <c r="J254" s="214"/>
      <c r="K254" s="214"/>
      <c r="L254" s="214"/>
      <c r="M254" s="214"/>
      <c r="N254" s="214"/>
      <c r="O254" s="214"/>
      <c r="P254" s="214"/>
      <c r="Q254" s="657"/>
      <c r="R254" s="214"/>
      <c r="S254" s="214"/>
      <c r="T254" s="214"/>
      <c r="U254" s="214"/>
      <c r="V254" s="214"/>
      <c r="W254" s="214"/>
      <c r="X254" s="214"/>
      <c r="Y254" s="214"/>
      <c r="Z254" s="214"/>
      <c r="AA254" s="214"/>
      <c r="AB254" s="214"/>
      <c r="AC254" s="214"/>
      <c r="AD254" s="214"/>
      <c r="AE254" s="214"/>
      <c r="AF254" s="214"/>
      <c r="AG254" s="657"/>
      <c r="AH254" s="214"/>
      <c r="AI254" s="214"/>
      <c r="AJ254" s="214"/>
      <c r="AK254" s="214"/>
      <c r="AL254" s="214"/>
      <c r="AM254" s="214"/>
      <c r="AN254" s="214"/>
      <c r="AO254" s="214"/>
      <c r="AP254" s="214"/>
      <c r="AQ254" s="214"/>
      <c r="AR254" s="214"/>
      <c r="AS254" s="214"/>
      <c r="AT254" s="214"/>
      <c r="AU254" s="214"/>
      <c r="AV254" s="214"/>
      <c r="AW254" s="214"/>
      <c r="AX254" s="214"/>
      <c r="AY254" s="214"/>
      <c r="AZ254" s="628"/>
      <c r="BA254" s="214"/>
      <c r="BB254" s="214"/>
      <c r="BC254" s="214"/>
      <c r="BD254" s="214"/>
      <c r="BE254" s="214"/>
      <c r="BF254" s="214"/>
      <c r="BG254" s="657"/>
      <c r="BH254" s="214"/>
      <c r="BJ254" s="214"/>
      <c r="BK254" s="214"/>
      <c r="BL254" s="214"/>
      <c r="BM254" s="214"/>
      <c r="BN254" s="214"/>
      <c r="BO254" s="214"/>
      <c r="BP254" s="214"/>
      <c r="BQ254" s="214"/>
      <c r="BR254" s="214"/>
      <c r="BS254" s="214"/>
    </row>
    <row r="255" spans="1:71" s="630" customFormat="1" x14ac:dyDescent="0.25">
      <c r="A255" s="214"/>
      <c r="B255" s="214"/>
      <c r="C255" s="214"/>
      <c r="D255" s="214"/>
      <c r="E255" s="214"/>
      <c r="F255" s="214"/>
      <c r="G255" s="214"/>
      <c r="H255" s="214"/>
      <c r="I255" s="214"/>
      <c r="J255" s="214"/>
      <c r="K255" s="214"/>
      <c r="L255" s="214"/>
      <c r="M255" s="214"/>
      <c r="N255" s="214"/>
      <c r="O255" s="214"/>
      <c r="P255" s="214"/>
      <c r="Q255" s="657"/>
      <c r="R255" s="214"/>
      <c r="S255" s="214"/>
      <c r="T255" s="214"/>
      <c r="U255" s="214"/>
      <c r="V255" s="214"/>
      <c r="W255" s="214"/>
      <c r="X255" s="214"/>
      <c r="Y255" s="214"/>
      <c r="Z255" s="214"/>
      <c r="AA255" s="214"/>
      <c r="AB255" s="214"/>
      <c r="AC255" s="214"/>
      <c r="AD255" s="214"/>
      <c r="AE255" s="214"/>
      <c r="AF255" s="214"/>
      <c r="AG255" s="657"/>
      <c r="AH255" s="214"/>
      <c r="AI255" s="214"/>
      <c r="AJ255" s="214"/>
      <c r="AK255" s="214"/>
      <c r="AL255" s="214"/>
      <c r="AM255" s="214"/>
      <c r="AN255" s="214"/>
      <c r="AO255" s="214"/>
      <c r="AP255" s="214"/>
      <c r="AQ255" s="214"/>
      <c r="AR255" s="214"/>
      <c r="AS255" s="214"/>
      <c r="AT255" s="214"/>
      <c r="AU255" s="214"/>
      <c r="AV255" s="214"/>
      <c r="AW255" s="214"/>
      <c r="AX255" s="214"/>
      <c r="AY255" s="214"/>
      <c r="AZ255" s="628"/>
      <c r="BA255" s="214"/>
      <c r="BB255" s="214"/>
      <c r="BC255" s="214"/>
      <c r="BD255" s="214"/>
      <c r="BE255" s="214"/>
      <c r="BF255" s="214"/>
      <c r="BG255" s="657"/>
      <c r="BH255" s="214"/>
      <c r="BJ255" s="214"/>
      <c r="BK255" s="214"/>
      <c r="BL255" s="214"/>
      <c r="BM255" s="214"/>
      <c r="BN255" s="214"/>
      <c r="BO255" s="214"/>
      <c r="BP255" s="214"/>
      <c r="BQ255" s="214"/>
      <c r="BR255" s="214"/>
      <c r="BS255" s="214"/>
    </row>
    <row r="256" spans="1:71" s="630" customFormat="1" x14ac:dyDescent="0.25">
      <c r="A256" s="214"/>
      <c r="B256" s="214"/>
      <c r="C256" s="214"/>
      <c r="D256" s="214"/>
      <c r="E256" s="214"/>
      <c r="F256" s="214"/>
      <c r="G256" s="214"/>
      <c r="H256" s="214"/>
      <c r="I256" s="214"/>
      <c r="J256" s="214"/>
      <c r="K256" s="214"/>
      <c r="L256" s="214"/>
      <c r="M256" s="214"/>
      <c r="N256" s="214"/>
      <c r="O256" s="214"/>
      <c r="P256" s="214"/>
      <c r="Q256" s="657"/>
      <c r="R256" s="214"/>
      <c r="S256" s="214"/>
      <c r="T256" s="214"/>
      <c r="U256" s="214"/>
      <c r="V256" s="214"/>
      <c r="W256" s="214"/>
      <c r="X256" s="214"/>
      <c r="Y256" s="214"/>
      <c r="Z256" s="214"/>
      <c r="AA256" s="214"/>
      <c r="AB256" s="214"/>
      <c r="AC256" s="214"/>
      <c r="AD256" s="214"/>
      <c r="AE256" s="214"/>
      <c r="AF256" s="214"/>
      <c r="AG256" s="657"/>
      <c r="AH256" s="214"/>
      <c r="AI256" s="214"/>
      <c r="AJ256" s="214"/>
      <c r="AK256" s="214"/>
      <c r="AL256" s="214"/>
      <c r="AM256" s="214"/>
      <c r="AN256" s="214"/>
      <c r="AO256" s="214"/>
      <c r="AP256" s="214"/>
      <c r="AQ256" s="214"/>
      <c r="AR256" s="214"/>
      <c r="AS256" s="214"/>
      <c r="AT256" s="214"/>
      <c r="AU256" s="214"/>
      <c r="AV256" s="214"/>
      <c r="AW256" s="214"/>
      <c r="AX256" s="214"/>
      <c r="AY256" s="214"/>
      <c r="AZ256" s="628"/>
      <c r="BA256" s="214"/>
      <c r="BB256" s="214"/>
      <c r="BC256" s="214"/>
      <c r="BD256" s="214"/>
      <c r="BE256" s="214"/>
      <c r="BF256" s="214"/>
      <c r="BG256" s="657"/>
      <c r="BH256" s="214"/>
      <c r="BJ256" s="214"/>
      <c r="BK256" s="214"/>
      <c r="BL256" s="214"/>
      <c r="BM256" s="214"/>
      <c r="BN256" s="214"/>
      <c r="BO256" s="214"/>
      <c r="BP256" s="214"/>
      <c r="BQ256" s="214"/>
      <c r="BR256" s="214"/>
      <c r="BS256" s="214"/>
    </row>
    <row r="257" spans="1:71" s="630" customFormat="1" x14ac:dyDescent="0.25">
      <c r="A257" s="214"/>
      <c r="B257" s="214"/>
      <c r="C257" s="214"/>
      <c r="D257" s="214"/>
      <c r="E257" s="214"/>
      <c r="F257" s="214"/>
      <c r="G257" s="214"/>
      <c r="H257" s="214"/>
      <c r="I257" s="214"/>
      <c r="J257" s="214"/>
      <c r="K257" s="214"/>
      <c r="L257" s="214"/>
      <c r="M257" s="214"/>
      <c r="N257" s="214"/>
      <c r="O257" s="214"/>
      <c r="P257" s="214"/>
      <c r="Q257" s="657"/>
      <c r="R257" s="214"/>
      <c r="S257" s="214"/>
      <c r="T257" s="214"/>
      <c r="U257" s="214"/>
      <c r="V257" s="214"/>
      <c r="W257" s="214"/>
      <c r="X257" s="214"/>
      <c r="Y257" s="214"/>
      <c r="Z257" s="214"/>
      <c r="AA257" s="214"/>
      <c r="AB257" s="214"/>
      <c r="AC257" s="214"/>
      <c r="AD257" s="214"/>
      <c r="AE257" s="214"/>
      <c r="AF257" s="214"/>
      <c r="AG257" s="657"/>
      <c r="AH257" s="214"/>
      <c r="AI257" s="214"/>
      <c r="AJ257" s="214"/>
      <c r="AK257" s="214"/>
      <c r="AL257" s="214"/>
      <c r="AM257" s="214"/>
      <c r="AN257" s="214"/>
      <c r="AO257" s="214"/>
      <c r="AP257" s="214"/>
      <c r="AQ257" s="214"/>
      <c r="AR257" s="214"/>
      <c r="AS257" s="214"/>
      <c r="AT257" s="214"/>
      <c r="AU257" s="214"/>
      <c r="AV257" s="214"/>
      <c r="AW257" s="214"/>
      <c r="AX257" s="214"/>
      <c r="AY257" s="214"/>
      <c r="AZ257" s="628"/>
      <c r="BA257" s="214"/>
      <c r="BB257" s="214"/>
      <c r="BC257" s="214"/>
      <c r="BD257" s="214"/>
      <c r="BE257" s="214"/>
      <c r="BF257" s="214"/>
      <c r="BG257" s="657"/>
      <c r="BH257" s="214"/>
      <c r="BJ257" s="214"/>
      <c r="BK257" s="214"/>
      <c r="BL257" s="214"/>
      <c r="BM257" s="214"/>
      <c r="BN257" s="214"/>
      <c r="BO257" s="214"/>
      <c r="BP257" s="214"/>
      <c r="BQ257" s="214"/>
      <c r="BR257" s="214"/>
      <c r="BS257" s="214"/>
    </row>
    <row r="258" spans="1:71" s="630" customFormat="1" x14ac:dyDescent="0.25">
      <c r="A258" s="214"/>
      <c r="B258" s="214"/>
      <c r="C258" s="214"/>
      <c r="D258" s="214"/>
      <c r="E258" s="214"/>
      <c r="F258" s="214"/>
      <c r="G258" s="214"/>
      <c r="H258" s="214"/>
      <c r="I258" s="214"/>
      <c r="J258" s="214"/>
      <c r="K258" s="214"/>
      <c r="L258" s="214"/>
      <c r="M258" s="214"/>
      <c r="N258" s="214"/>
      <c r="O258" s="214"/>
      <c r="P258" s="214"/>
      <c r="Q258" s="657"/>
      <c r="R258" s="214"/>
      <c r="S258" s="214"/>
      <c r="T258" s="214"/>
      <c r="U258" s="214"/>
      <c r="V258" s="214"/>
      <c r="W258" s="214"/>
      <c r="X258" s="214"/>
      <c r="Y258" s="214"/>
      <c r="Z258" s="214"/>
      <c r="AA258" s="214"/>
      <c r="AB258" s="214"/>
      <c r="AC258" s="214"/>
      <c r="AD258" s="214"/>
      <c r="AE258" s="214"/>
      <c r="AF258" s="214"/>
      <c r="AG258" s="657"/>
      <c r="AH258" s="214"/>
      <c r="AI258" s="214"/>
      <c r="AJ258" s="214"/>
      <c r="AK258" s="214"/>
      <c r="AL258" s="214"/>
      <c r="AM258" s="214"/>
      <c r="AN258" s="214"/>
      <c r="AO258" s="214"/>
      <c r="AP258" s="214"/>
      <c r="AQ258" s="214"/>
      <c r="AR258" s="214"/>
      <c r="AS258" s="214"/>
      <c r="AT258" s="214"/>
      <c r="AU258" s="214"/>
      <c r="AV258" s="214"/>
      <c r="AW258" s="214"/>
      <c r="AX258" s="214"/>
      <c r="AY258" s="214"/>
      <c r="AZ258" s="628"/>
      <c r="BA258" s="214"/>
      <c r="BB258" s="214"/>
      <c r="BC258" s="214"/>
      <c r="BD258" s="214"/>
      <c r="BE258" s="214"/>
      <c r="BF258" s="214"/>
      <c r="BG258" s="657"/>
      <c r="BH258" s="214"/>
      <c r="BJ258" s="214"/>
      <c r="BK258" s="214"/>
      <c r="BL258" s="214"/>
      <c r="BM258" s="214"/>
      <c r="BN258" s="214"/>
      <c r="BO258" s="214"/>
      <c r="BP258" s="214"/>
      <c r="BQ258" s="214"/>
      <c r="BR258" s="214"/>
      <c r="BS258" s="214"/>
    </row>
    <row r="259" spans="1:71" s="630" customFormat="1" x14ac:dyDescent="0.25">
      <c r="A259" s="214"/>
      <c r="B259" s="214"/>
      <c r="C259" s="214"/>
      <c r="D259" s="214"/>
      <c r="E259" s="214"/>
      <c r="F259" s="214"/>
      <c r="G259" s="214"/>
      <c r="H259" s="214"/>
      <c r="I259" s="214"/>
      <c r="J259" s="214"/>
      <c r="K259" s="214"/>
      <c r="L259" s="214"/>
      <c r="M259" s="214"/>
      <c r="N259" s="214"/>
      <c r="O259" s="214"/>
      <c r="P259" s="214"/>
      <c r="Q259" s="657"/>
      <c r="R259" s="214"/>
      <c r="S259" s="214"/>
      <c r="T259" s="214"/>
      <c r="U259" s="214"/>
      <c r="V259" s="214"/>
      <c r="W259" s="214"/>
      <c r="X259" s="214"/>
      <c r="Y259" s="214"/>
      <c r="Z259" s="214"/>
      <c r="AA259" s="214"/>
      <c r="AB259" s="214"/>
      <c r="AC259" s="214"/>
      <c r="AD259" s="214"/>
      <c r="AE259" s="214"/>
      <c r="AF259" s="214"/>
      <c r="AG259" s="657"/>
      <c r="AH259" s="214"/>
      <c r="AI259" s="214"/>
      <c r="AJ259" s="214"/>
      <c r="AK259" s="214"/>
      <c r="AL259" s="214"/>
      <c r="AM259" s="214"/>
      <c r="AN259" s="214"/>
      <c r="AO259" s="214"/>
      <c r="AP259" s="214"/>
      <c r="AQ259" s="214"/>
      <c r="AR259" s="214"/>
      <c r="AS259" s="214"/>
      <c r="AT259" s="214"/>
      <c r="AU259" s="214"/>
      <c r="AV259" s="214"/>
      <c r="AW259" s="214"/>
      <c r="AX259" s="214"/>
      <c r="AY259" s="214"/>
      <c r="AZ259" s="628"/>
      <c r="BA259" s="214"/>
      <c r="BB259" s="214"/>
      <c r="BC259" s="214"/>
      <c r="BD259" s="214"/>
      <c r="BE259" s="214"/>
      <c r="BF259" s="214"/>
      <c r="BG259" s="657"/>
      <c r="BH259" s="214"/>
      <c r="BJ259" s="214"/>
      <c r="BK259" s="214"/>
      <c r="BL259" s="214"/>
      <c r="BM259" s="214"/>
      <c r="BN259" s="214"/>
      <c r="BO259" s="214"/>
      <c r="BP259" s="214"/>
      <c r="BQ259" s="214"/>
      <c r="BR259" s="214"/>
      <c r="BS259" s="214"/>
    </row>
    <row r="260" spans="1:71" s="630" customFormat="1" x14ac:dyDescent="0.25">
      <c r="A260" s="214"/>
      <c r="B260" s="214"/>
      <c r="C260" s="214"/>
      <c r="D260" s="214"/>
      <c r="E260" s="214"/>
      <c r="F260" s="214"/>
      <c r="G260" s="214"/>
      <c r="H260" s="214"/>
      <c r="I260" s="214"/>
      <c r="J260" s="214"/>
      <c r="K260" s="214"/>
      <c r="L260" s="214"/>
      <c r="M260" s="214"/>
      <c r="N260" s="214"/>
      <c r="O260" s="214"/>
      <c r="P260" s="214"/>
      <c r="Q260" s="657"/>
      <c r="R260" s="214"/>
      <c r="S260" s="214"/>
      <c r="T260" s="214"/>
      <c r="U260" s="214"/>
      <c r="V260" s="214"/>
      <c r="W260" s="214"/>
      <c r="X260" s="214"/>
      <c r="Y260" s="214"/>
      <c r="Z260" s="214"/>
      <c r="AA260" s="214"/>
      <c r="AB260" s="214"/>
      <c r="AC260" s="214"/>
      <c r="AD260" s="214"/>
      <c r="AE260" s="214"/>
      <c r="AF260" s="214"/>
      <c r="AG260" s="657"/>
      <c r="AH260" s="214"/>
      <c r="AI260" s="214"/>
      <c r="AJ260" s="214"/>
      <c r="AK260" s="214"/>
      <c r="AL260" s="214"/>
      <c r="AM260" s="214"/>
      <c r="AN260" s="214"/>
      <c r="AO260" s="214"/>
      <c r="AP260" s="214"/>
      <c r="AQ260" s="214"/>
      <c r="AR260" s="214"/>
      <c r="AS260" s="214"/>
      <c r="AT260" s="214"/>
      <c r="AU260" s="214"/>
      <c r="AV260" s="214"/>
      <c r="AW260" s="214"/>
      <c r="AX260" s="214"/>
      <c r="AY260" s="214"/>
      <c r="AZ260" s="628"/>
      <c r="BA260" s="214"/>
      <c r="BB260" s="214"/>
      <c r="BC260" s="214"/>
      <c r="BD260" s="214"/>
      <c r="BE260" s="214"/>
      <c r="BF260" s="214"/>
      <c r="BG260" s="657"/>
      <c r="BH260" s="214"/>
      <c r="BJ260" s="214"/>
      <c r="BK260" s="214"/>
      <c r="BL260" s="214"/>
      <c r="BM260" s="214"/>
      <c r="BN260" s="214"/>
      <c r="BO260" s="214"/>
      <c r="BP260" s="214"/>
      <c r="BQ260" s="214"/>
      <c r="BR260" s="214"/>
      <c r="BS260" s="214"/>
    </row>
    <row r="261" spans="1:71" s="630" customFormat="1" x14ac:dyDescent="0.25">
      <c r="A261" s="214"/>
      <c r="B261" s="214"/>
      <c r="C261" s="214"/>
      <c r="D261" s="214"/>
      <c r="E261" s="214"/>
      <c r="F261" s="214"/>
      <c r="G261" s="214"/>
      <c r="H261" s="214"/>
      <c r="I261" s="214"/>
      <c r="J261" s="214"/>
      <c r="K261" s="214"/>
      <c r="L261" s="214"/>
      <c r="M261" s="214"/>
      <c r="N261" s="214"/>
      <c r="O261" s="214"/>
      <c r="P261" s="214"/>
      <c r="Q261" s="657"/>
      <c r="R261" s="214"/>
      <c r="S261" s="214"/>
      <c r="T261" s="214"/>
      <c r="U261" s="214"/>
      <c r="V261" s="214"/>
      <c r="W261" s="214"/>
      <c r="X261" s="214"/>
      <c r="Y261" s="214"/>
      <c r="Z261" s="214"/>
      <c r="AA261" s="214"/>
      <c r="AB261" s="214"/>
      <c r="AC261" s="214"/>
      <c r="AD261" s="214"/>
      <c r="AE261" s="214"/>
      <c r="AF261" s="214"/>
      <c r="AG261" s="657"/>
      <c r="AH261" s="214"/>
      <c r="AI261" s="214"/>
      <c r="AJ261" s="214"/>
      <c r="AK261" s="214"/>
      <c r="AL261" s="214"/>
      <c r="AM261" s="214"/>
      <c r="AN261" s="214"/>
      <c r="AO261" s="214"/>
      <c r="AP261" s="214"/>
      <c r="AQ261" s="214"/>
      <c r="AR261" s="214"/>
      <c r="AS261" s="214"/>
      <c r="AT261" s="214"/>
      <c r="AU261" s="214"/>
      <c r="AV261" s="214"/>
      <c r="AW261" s="214"/>
      <c r="AX261" s="214"/>
      <c r="AY261" s="214"/>
      <c r="AZ261" s="628"/>
      <c r="BA261" s="214"/>
      <c r="BB261" s="214"/>
      <c r="BC261" s="214"/>
      <c r="BD261" s="214"/>
      <c r="BE261" s="214"/>
      <c r="BF261" s="214"/>
      <c r="BG261" s="657"/>
      <c r="BH261" s="214"/>
      <c r="BJ261" s="214"/>
      <c r="BK261" s="214"/>
      <c r="BL261" s="214"/>
      <c r="BM261" s="214"/>
      <c r="BN261" s="214"/>
      <c r="BO261" s="214"/>
      <c r="BP261" s="214"/>
      <c r="BQ261" s="214"/>
      <c r="BR261" s="214"/>
      <c r="BS261" s="214"/>
    </row>
    <row r="262" spans="1:71" s="630" customFormat="1" x14ac:dyDescent="0.25">
      <c r="A262" s="214"/>
      <c r="B262" s="214"/>
      <c r="C262" s="214"/>
      <c r="D262" s="214"/>
      <c r="E262" s="214"/>
      <c r="F262" s="214"/>
      <c r="G262" s="214"/>
      <c r="H262" s="214"/>
      <c r="I262" s="214"/>
      <c r="J262" s="214"/>
      <c r="K262" s="214"/>
      <c r="L262" s="214"/>
      <c r="M262" s="214"/>
      <c r="N262" s="214"/>
      <c r="O262" s="214"/>
      <c r="P262" s="214"/>
      <c r="Q262" s="657"/>
      <c r="R262" s="214"/>
      <c r="S262" s="214"/>
      <c r="T262" s="214"/>
      <c r="U262" s="214"/>
      <c r="V262" s="214"/>
      <c r="W262" s="214"/>
      <c r="X262" s="214"/>
      <c r="Y262" s="214"/>
      <c r="Z262" s="214"/>
      <c r="AA262" s="214"/>
      <c r="AB262" s="214"/>
      <c r="AC262" s="214"/>
      <c r="AD262" s="214"/>
      <c r="AE262" s="214"/>
      <c r="AF262" s="214"/>
      <c r="AG262" s="657"/>
      <c r="AH262" s="214"/>
      <c r="AI262" s="214"/>
      <c r="AJ262" s="214"/>
      <c r="AK262" s="214"/>
      <c r="AL262" s="214"/>
      <c r="AM262" s="214"/>
      <c r="AN262" s="214"/>
      <c r="AO262" s="214"/>
      <c r="AP262" s="214"/>
      <c r="AQ262" s="214"/>
      <c r="AR262" s="214"/>
      <c r="AS262" s="214"/>
      <c r="AT262" s="214"/>
      <c r="AU262" s="214"/>
      <c r="AV262" s="214"/>
      <c r="AW262" s="214"/>
      <c r="AX262" s="214"/>
      <c r="AY262" s="214"/>
      <c r="AZ262" s="628"/>
      <c r="BA262" s="214"/>
      <c r="BB262" s="214"/>
      <c r="BC262" s="214"/>
      <c r="BD262" s="214"/>
      <c r="BE262" s="214"/>
      <c r="BF262" s="214"/>
      <c r="BG262" s="657"/>
      <c r="BH262" s="214"/>
      <c r="BJ262" s="214"/>
      <c r="BK262" s="214"/>
      <c r="BL262" s="214"/>
      <c r="BM262" s="214"/>
      <c r="BN262" s="214"/>
      <c r="BO262" s="214"/>
      <c r="BP262" s="214"/>
      <c r="BQ262" s="214"/>
      <c r="BR262" s="214"/>
      <c r="BS262" s="214"/>
    </row>
    <row r="263" spans="1:71" s="630" customFormat="1" x14ac:dyDescent="0.25">
      <c r="A263" s="214"/>
      <c r="B263" s="214"/>
      <c r="C263" s="214"/>
      <c r="D263" s="214"/>
      <c r="E263" s="214"/>
      <c r="F263" s="214"/>
      <c r="G263" s="214"/>
      <c r="H263" s="214"/>
      <c r="I263" s="214"/>
      <c r="J263" s="214"/>
      <c r="K263" s="214"/>
      <c r="L263" s="214"/>
      <c r="M263" s="214"/>
      <c r="N263" s="214"/>
      <c r="O263" s="214"/>
      <c r="P263" s="214"/>
      <c r="Q263" s="657"/>
      <c r="R263" s="214"/>
      <c r="S263" s="214"/>
      <c r="T263" s="214"/>
      <c r="U263" s="214"/>
      <c r="V263" s="214"/>
      <c r="W263" s="214"/>
      <c r="X263" s="214"/>
      <c r="Y263" s="214"/>
      <c r="Z263" s="214"/>
      <c r="AA263" s="214"/>
      <c r="AB263" s="214"/>
      <c r="AC263" s="214"/>
      <c r="AD263" s="214"/>
      <c r="AE263" s="214"/>
      <c r="AF263" s="214"/>
      <c r="AG263" s="657"/>
      <c r="AH263" s="214"/>
      <c r="AI263" s="214"/>
      <c r="AJ263" s="214"/>
      <c r="AK263" s="214"/>
      <c r="AL263" s="214"/>
      <c r="AM263" s="214"/>
      <c r="AN263" s="214"/>
      <c r="AO263" s="214"/>
      <c r="AP263" s="214"/>
      <c r="AQ263" s="214"/>
      <c r="AR263" s="214"/>
      <c r="AS263" s="214"/>
      <c r="AT263" s="214"/>
      <c r="AU263" s="214"/>
      <c r="AV263" s="214"/>
      <c r="AW263" s="214"/>
      <c r="AX263" s="214"/>
      <c r="AY263" s="214"/>
      <c r="AZ263" s="628"/>
      <c r="BA263" s="214"/>
      <c r="BB263" s="214"/>
      <c r="BC263" s="214"/>
      <c r="BD263" s="214"/>
      <c r="BE263" s="214"/>
      <c r="BF263" s="214"/>
      <c r="BG263" s="657"/>
      <c r="BH263" s="214"/>
      <c r="BJ263" s="214"/>
      <c r="BK263" s="214"/>
      <c r="BL263" s="214"/>
      <c r="BM263" s="214"/>
      <c r="BN263" s="214"/>
      <c r="BO263" s="214"/>
      <c r="BP263" s="214"/>
      <c r="BQ263" s="214"/>
      <c r="BR263" s="214"/>
      <c r="BS263" s="214"/>
    </row>
    <row r="264" spans="1:71" s="630" customFormat="1" x14ac:dyDescent="0.25">
      <c r="A264" s="214"/>
      <c r="B264" s="214"/>
      <c r="C264" s="214"/>
      <c r="D264" s="214"/>
      <c r="E264" s="214"/>
      <c r="F264" s="214"/>
      <c r="G264" s="214"/>
      <c r="H264" s="214"/>
      <c r="I264" s="214"/>
      <c r="J264" s="214"/>
      <c r="K264" s="214"/>
      <c r="L264" s="214"/>
      <c r="M264" s="214"/>
      <c r="N264" s="214"/>
      <c r="O264" s="214"/>
      <c r="P264" s="214"/>
      <c r="Q264" s="657"/>
      <c r="R264" s="214"/>
      <c r="S264" s="214"/>
      <c r="T264" s="214"/>
      <c r="U264" s="214"/>
      <c r="V264" s="214"/>
      <c r="W264" s="214"/>
      <c r="X264" s="214"/>
      <c r="Y264" s="214"/>
      <c r="Z264" s="214"/>
      <c r="AA264" s="214"/>
      <c r="AB264" s="214"/>
      <c r="AC264" s="214"/>
      <c r="AD264" s="214"/>
      <c r="AE264" s="214"/>
      <c r="AF264" s="214"/>
      <c r="AG264" s="657"/>
      <c r="AH264" s="214"/>
      <c r="AI264" s="214"/>
      <c r="AJ264" s="214"/>
      <c r="AK264" s="214"/>
      <c r="AL264" s="214"/>
      <c r="AM264" s="214"/>
      <c r="AN264" s="214"/>
      <c r="AO264" s="214"/>
      <c r="AP264" s="214"/>
      <c r="AQ264" s="214"/>
      <c r="AR264" s="214"/>
      <c r="AS264" s="214"/>
      <c r="AT264" s="214"/>
      <c r="AU264" s="214"/>
      <c r="AV264" s="214"/>
      <c r="AW264" s="214"/>
      <c r="AX264" s="214"/>
      <c r="AY264" s="214"/>
      <c r="AZ264" s="628"/>
      <c r="BA264" s="214"/>
      <c r="BB264" s="214"/>
      <c r="BC264" s="214"/>
      <c r="BD264" s="214"/>
      <c r="BE264" s="214"/>
      <c r="BF264" s="214"/>
      <c r="BG264" s="657"/>
      <c r="BH264" s="214"/>
      <c r="BJ264" s="214"/>
      <c r="BK264" s="214"/>
      <c r="BL264" s="214"/>
      <c r="BM264" s="214"/>
      <c r="BN264" s="214"/>
      <c r="BO264" s="214"/>
      <c r="BP264" s="214"/>
      <c r="BQ264" s="214"/>
      <c r="BR264" s="214"/>
      <c r="BS264" s="214"/>
    </row>
    <row r="265" spans="1:71" s="630" customFormat="1" x14ac:dyDescent="0.25">
      <c r="A265" s="214"/>
      <c r="B265" s="214"/>
      <c r="C265" s="214"/>
      <c r="D265" s="214"/>
      <c r="E265" s="214"/>
      <c r="F265" s="214"/>
      <c r="G265" s="214"/>
      <c r="H265" s="214"/>
      <c r="I265" s="214"/>
      <c r="J265" s="214"/>
      <c r="K265" s="214"/>
      <c r="L265" s="214"/>
      <c r="M265" s="214"/>
      <c r="N265" s="214"/>
      <c r="O265" s="214"/>
      <c r="P265" s="214"/>
      <c r="Q265" s="657"/>
      <c r="R265" s="214"/>
      <c r="S265" s="214"/>
      <c r="T265" s="214"/>
      <c r="U265" s="214"/>
      <c r="V265" s="214"/>
      <c r="W265" s="214"/>
      <c r="X265" s="214"/>
      <c r="Y265" s="214"/>
      <c r="Z265" s="214"/>
      <c r="AA265" s="214"/>
      <c r="AB265" s="214"/>
      <c r="AC265" s="214"/>
      <c r="AD265" s="214"/>
      <c r="AE265" s="214"/>
      <c r="AF265" s="214"/>
      <c r="AG265" s="657"/>
      <c r="AH265" s="214"/>
      <c r="AI265" s="214"/>
      <c r="AJ265" s="214"/>
      <c r="AK265" s="214"/>
      <c r="AL265" s="214"/>
      <c r="AM265" s="214"/>
      <c r="AN265" s="214"/>
      <c r="AO265" s="214"/>
      <c r="AP265" s="214"/>
      <c r="AQ265" s="214"/>
      <c r="AR265" s="214"/>
      <c r="AS265" s="214"/>
      <c r="AT265" s="214"/>
      <c r="AU265" s="214"/>
      <c r="AV265" s="214"/>
      <c r="AW265" s="214"/>
      <c r="AX265" s="214"/>
      <c r="AY265" s="214"/>
      <c r="AZ265" s="628"/>
      <c r="BA265" s="214"/>
      <c r="BB265" s="214"/>
      <c r="BC265" s="214"/>
      <c r="BD265" s="214"/>
      <c r="BE265" s="214"/>
      <c r="BF265" s="214"/>
      <c r="BG265" s="657"/>
      <c r="BH265" s="214"/>
      <c r="BJ265" s="214"/>
      <c r="BK265" s="214"/>
      <c r="BL265" s="214"/>
      <c r="BM265" s="214"/>
      <c r="BN265" s="214"/>
      <c r="BO265" s="214"/>
      <c r="BP265" s="214"/>
      <c r="BQ265" s="214"/>
      <c r="BR265" s="214"/>
      <c r="BS265" s="214"/>
    </row>
    <row r="266" spans="1:71" s="630" customFormat="1" x14ac:dyDescent="0.25">
      <c r="A266" s="214"/>
      <c r="B266" s="214"/>
      <c r="C266" s="214"/>
      <c r="D266" s="214"/>
      <c r="E266" s="214"/>
      <c r="F266" s="214"/>
      <c r="G266" s="214"/>
      <c r="H266" s="214"/>
      <c r="I266" s="214"/>
      <c r="J266" s="214"/>
      <c r="K266" s="214"/>
      <c r="L266" s="214"/>
      <c r="M266" s="214"/>
      <c r="N266" s="214"/>
      <c r="O266" s="214"/>
      <c r="P266" s="214"/>
      <c r="Q266" s="657"/>
      <c r="R266" s="214"/>
      <c r="S266" s="214"/>
      <c r="T266" s="214"/>
      <c r="U266" s="214"/>
      <c r="V266" s="214"/>
      <c r="W266" s="214"/>
      <c r="X266" s="214"/>
      <c r="Y266" s="214"/>
      <c r="Z266" s="214"/>
      <c r="AA266" s="214"/>
      <c r="AB266" s="214"/>
      <c r="AC266" s="214"/>
      <c r="AD266" s="214"/>
      <c r="AE266" s="214"/>
      <c r="AF266" s="214"/>
      <c r="AG266" s="657"/>
      <c r="AH266" s="214"/>
      <c r="AI266" s="214"/>
      <c r="AJ266" s="214"/>
      <c r="AK266" s="214"/>
      <c r="AL266" s="214"/>
      <c r="AM266" s="214"/>
      <c r="AN266" s="214"/>
      <c r="AO266" s="214"/>
      <c r="AP266" s="214"/>
      <c r="AQ266" s="214"/>
      <c r="AR266" s="214"/>
      <c r="AS266" s="214"/>
      <c r="AT266" s="214"/>
      <c r="AU266" s="214"/>
      <c r="AV266" s="214"/>
      <c r="AW266" s="214"/>
      <c r="AX266" s="214"/>
      <c r="AY266" s="214"/>
      <c r="AZ266" s="628"/>
      <c r="BA266" s="214"/>
      <c r="BB266" s="214"/>
      <c r="BC266" s="214"/>
      <c r="BD266" s="214"/>
      <c r="BE266" s="214"/>
      <c r="BF266" s="214"/>
      <c r="BG266" s="657"/>
      <c r="BH266" s="214"/>
      <c r="BJ266" s="214"/>
      <c r="BK266" s="214"/>
      <c r="BL266" s="214"/>
      <c r="BM266" s="214"/>
      <c r="BN266" s="214"/>
      <c r="BO266" s="214"/>
      <c r="BP266" s="214"/>
      <c r="BQ266" s="214"/>
      <c r="BR266" s="214"/>
      <c r="BS266" s="214"/>
    </row>
    <row r="267" spans="1:71" s="630" customFormat="1" x14ac:dyDescent="0.25">
      <c r="A267" s="214"/>
      <c r="B267" s="214"/>
      <c r="C267" s="214"/>
      <c r="D267" s="214"/>
      <c r="E267" s="214"/>
      <c r="F267" s="214"/>
      <c r="G267" s="214"/>
      <c r="H267" s="214"/>
      <c r="I267" s="214"/>
      <c r="J267" s="214"/>
      <c r="K267" s="214"/>
      <c r="L267" s="214"/>
      <c r="M267" s="214"/>
      <c r="N267" s="214"/>
      <c r="O267" s="214"/>
      <c r="P267" s="214"/>
      <c r="Q267" s="657"/>
      <c r="R267" s="214"/>
      <c r="S267" s="214"/>
      <c r="T267" s="214"/>
      <c r="U267" s="214"/>
      <c r="V267" s="214"/>
      <c r="W267" s="214"/>
      <c r="X267" s="214"/>
      <c r="Y267" s="214"/>
      <c r="Z267" s="214"/>
      <c r="AA267" s="214"/>
      <c r="AB267" s="214"/>
      <c r="AC267" s="214"/>
      <c r="AD267" s="214"/>
      <c r="AE267" s="214"/>
      <c r="AF267" s="214"/>
      <c r="AG267" s="657"/>
      <c r="AH267" s="214"/>
      <c r="AI267" s="214"/>
      <c r="AJ267" s="214"/>
      <c r="AK267" s="214"/>
      <c r="AL267" s="214"/>
      <c r="AM267" s="214"/>
      <c r="AN267" s="214"/>
      <c r="AO267" s="214"/>
      <c r="AP267" s="214"/>
      <c r="AQ267" s="214"/>
      <c r="AR267" s="214"/>
      <c r="AS267" s="214"/>
      <c r="AT267" s="214"/>
      <c r="AU267" s="214"/>
      <c r="AV267" s="214"/>
      <c r="AW267" s="214"/>
      <c r="AX267" s="214"/>
      <c r="AY267" s="214"/>
      <c r="AZ267" s="628"/>
      <c r="BA267" s="214"/>
      <c r="BB267" s="214"/>
      <c r="BC267" s="214"/>
      <c r="BD267" s="214"/>
      <c r="BE267" s="214"/>
      <c r="BF267" s="214"/>
      <c r="BG267" s="657"/>
      <c r="BH267" s="214"/>
      <c r="BJ267" s="214"/>
      <c r="BK267" s="214"/>
      <c r="BL267" s="214"/>
      <c r="BM267" s="214"/>
      <c r="BN267" s="214"/>
      <c r="BO267" s="214"/>
      <c r="BP267" s="214"/>
      <c r="BQ267" s="214"/>
      <c r="BR267" s="214"/>
      <c r="BS267" s="214"/>
    </row>
    <row r="268" spans="1:71" s="630" customFormat="1" x14ac:dyDescent="0.25">
      <c r="A268" s="214"/>
      <c r="B268" s="214"/>
      <c r="C268" s="214"/>
      <c r="D268" s="214"/>
      <c r="E268" s="214"/>
      <c r="F268" s="214"/>
      <c r="G268" s="214"/>
      <c r="H268" s="214"/>
      <c r="I268" s="214"/>
      <c r="J268" s="214"/>
      <c r="K268" s="214"/>
      <c r="L268" s="214"/>
      <c r="M268" s="214"/>
      <c r="N268" s="214"/>
      <c r="O268" s="214"/>
      <c r="P268" s="214"/>
      <c r="Q268" s="657"/>
      <c r="R268" s="214"/>
      <c r="S268" s="214"/>
      <c r="T268" s="214"/>
      <c r="U268" s="214"/>
      <c r="V268" s="214"/>
      <c r="W268" s="214"/>
      <c r="X268" s="214"/>
      <c r="Y268" s="214"/>
      <c r="Z268" s="214"/>
      <c r="AA268" s="214"/>
      <c r="AB268" s="214"/>
      <c r="AC268" s="214"/>
      <c r="AD268" s="214"/>
      <c r="AE268" s="214"/>
      <c r="AF268" s="214"/>
      <c r="AG268" s="657"/>
      <c r="AH268" s="214"/>
      <c r="AI268" s="214"/>
      <c r="AJ268" s="214"/>
      <c r="AK268" s="214"/>
      <c r="AL268" s="214"/>
      <c r="AM268" s="214"/>
      <c r="AN268" s="214"/>
      <c r="AO268" s="214"/>
      <c r="AP268" s="214"/>
      <c r="AQ268" s="214"/>
      <c r="AR268" s="214"/>
      <c r="AS268" s="214"/>
      <c r="AT268" s="214"/>
      <c r="AU268" s="214"/>
      <c r="AV268" s="214"/>
      <c r="AW268" s="214"/>
      <c r="AX268" s="214"/>
      <c r="AY268" s="214"/>
      <c r="AZ268" s="628"/>
      <c r="BA268" s="214"/>
      <c r="BB268" s="214"/>
      <c r="BC268" s="214"/>
      <c r="BD268" s="214"/>
      <c r="BE268" s="214"/>
      <c r="BF268" s="214"/>
      <c r="BG268" s="657"/>
      <c r="BH268" s="214"/>
      <c r="BJ268" s="214"/>
      <c r="BK268" s="214"/>
      <c r="BL268" s="214"/>
      <c r="BM268" s="214"/>
      <c r="BN268" s="214"/>
      <c r="BO268" s="214"/>
      <c r="BP268" s="214"/>
      <c r="BQ268" s="214"/>
      <c r="BR268" s="214"/>
      <c r="BS268" s="214"/>
    </row>
    <row r="269" spans="1:71" s="630" customFormat="1" x14ac:dyDescent="0.25">
      <c r="A269" s="214"/>
      <c r="B269" s="214"/>
      <c r="C269" s="214"/>
      <c r="D269" s="214"/>
      <c r="E269" s="214"/>
      <c r="F269" s="214"/>
      <c r="G269" s="214"/>
      <c r="H269" s="214"/>
      <c r="I269" s="214"/>
      <c r="J269" s="214"/>
      <c r="K269" s="214"/>
      <c r="L269" s="214"/>
      <c r="M269" s="214"/>
      <c r="N269" s="214"/>
      <c r="O269" s="214"/>
      <c r="P269" s="214"/>
      <c r="Q269" s="657"/>
      <c r="R269" s="214"/>
      <c r="S269" s="214"/>
      <c r="T269" s="214"/>
      <c r="U269" s="214"/>
      <c r="V269" s="214"/>
      <c r="W269" s="214"/>
      <c r="X269" s="214"/>
      <c r="Y269" s="214"/>
      <c r="Z269" s="214"/>
      <c r="AA269" s="214"/>
      <c r="AB269" s="214"/>
      <c r="AC269" s="214"/>
      <c r="AD269" s="214"/>
      <c r="AE269" s="214"/>
      <c r="AF269" s="214"/>
      <c r="AG269" s="657"/>
      <c r="AH269" s="214"/>
      <c r="AI269" s="214"/>
      <c r="AJ269" s="214"/>
      <c r="AK269" s="214"/>
      <c r="AL269" s="214"/>
      <c r="AM269" s="214"/>
      <c r="AN269" s="214"/>
      <c r="AO269" s="214"/>
      <c r="AP269" s="214"/>
      <c r="AQ269" s="214"/>
      <c r="AR269" s="214"/>
      <c r="AS269" s="214"/>
      <c r="AT269" s="214"/>
      <c r="AU269" s="214"/>
      <c r="AV269" s="214"/>
      <c r="AW269" s="214"/>
      <c r="AX269" s="214"/>
      <c r="AY269" s="214"/>
      <c r="AZ269" s="628"/>
      <c r="BA269" s="214"/>
      <c r="BB269" s="214"/>
      <c r="BC269" s="214"/>
      <c r="BD269" s="214"/>
      <c r="BE269" s="214"/>
      <c r="BF269" s="214"/>
      <c r="BG269" s="657"/>
      <c r="BH269" s="214"/>
      <c r="BJ269" s="214"/>
      <c r="BK269" s="214"/>
      <c r="BL269" s="214"/>
      <c r="BM269" s="214"/>
      <c r="BN269" s="214"/>
      <c r="BO269" s="214"/>
      <c r="BP269" s="214"/>
      <c r="BQ269" s="214"/>
      <c r="BR269" s="214"/>
      <c r="BS269" s="214"/>
    </row>
    <row r="270" spans="1:71" s="630" customFormat="1" x14ac:dyDescent="0.25">
      <c r="A270" s="214"/>
      <c r="B270" s="214"/>
      <c r="C270" s="214"/>
      <c r="D270" s="214"/>
      <c r="E270" s="214"/>
      <c r="F270" s="214"/>
      <c r="G270" s="214"/>
      <c r="H270" s="214"/>
      <c r="I270" s="214"/>
      <c r="J270" s="214"/>
      <c r="K270" s="214"/>
      <c r="L270" s="214"/>
      <c r="M270" s="214"/>
      <c r="N270" s="214"/>
      <c r="O270" s="214"/>
      <c r="P270" s="214"/>
      <c r="Q270" s="657"/>
      <c r="R270" s="214"/>
      <c r="S270" s="214"/>
      <c r="T270" s="214"/>
      <c r="U270" s="214"/>
      <c r="V270" s="214"/>
      <c r="W270" s="214"/>
      <c r="X270" s="214"/>
      <c r="Y270" s="214"/>
      <c r="Z270" s="214"/>
      <c r="AA270" s="214"/>
      <c r="AB270" s="214"/>
      <c r="AC270" s="214"/>
      <c r="AD270" s="214"/>
      <c r="AE270" s="214"/>
      <c r="AF270" s="214"/>
      <c r="AG270" s="657"/>
      <c r="AH270" s="214"/>
      <c r="AI270" s="214"/>
      <c r="AJ270" s="214"/>
      <c r="AK270" s="214"/>
      <c r="AL270" s="214"/>
      <c r="AM270" s="214"/>
      <c r="AN270" s="214"/>
      <c r="AO270" s="214"/>
      <c r="AP270" s="214"/>
      <c r="AQ270" s="214"/>
      <c r="AR270" s="214"/>
      <c r="AS270" s="214"/>
      <c r="AT270" s="214"/>
      <c r="AU270" s="214"/>
      <c r="AV270" s="214"/>
      <c r="AW270" s="214"/>
      <c r="AX270" s="214"/>
      <c r="AY270" s="214"/>
      <c r="AZ270" s="628"/>
      <c r="BA270" s="214"/>
      <c r="BB270" s="214"/>
      <c r="BC270" s="214"/>
      <c r="BD270" s="214"/>
      <c r="BE270" s="214"/>
      <c r="BF270" s="214"/>
      <c r="BG270" s="657"/>
      <c r="BH270" s="214"/>
      <c r="BJ270" s="214"/>
      <c r="BK270" s="214"/>
      <c r="BL270" s="214"/>
      <c r="BM270" s="214"/>
      <c r="BN270" s="214"/>
      <c r="BO270" s="214"/>
      <c r="BP270" s="214"/>
      <c r="BQ270" s="214"/>
      <c r="BR270" s="214"/>
      <c r="BS270" s="214"/>
    </row>
    <row r="271" spans="1:71" s="630" customFormat="1" x14ac:dyDescent="0.25">
      <c r="A271" s="214"/>
      <c r="B271" s="214"/>
      <c r="C271" s="214"/>
      <c r="D271" s="214"/>
      <c r="E271" s="214"/>
      <c r="F271" s="214"/>
      <c r="G271" s="214"/>
      <c r="H271" s="214"/>
      <c r="I271" s="214"/>
      <c r="J271" s="214"/>
      <c r="K271" s="214"/>
      <c r="L271" s="214"/>
      <c r="M271" s="214"/>
      <c r="N271" s="214"/>
      <c r="O271" s="214"/>
      <c r="P271" s="214"/>
      <c r="Q271" s="657"/>
      <c r="R271" s="214"/>
      <c r="S271" s="214"/>
      <c r="T271" s="214"/>
      <c r="U271" s="214"/>
      <c r="V271" s="214"/>
      <c r="W271" s="214"/>
      <c r="X271" s="214"/>
      <c r="Y271" s="214"/>
      <c r="Z271" s="214"/>
      <c r="AA271" s="214"/>
      <c r="AB271" s="214"/>
      <c r="AC271" s="214"/>
      <c r="AD271" s="214"/>
      <c r="AE271" s="214"/>
      <c r="AF271" s="214"/>
      <c r="AG271" s="657"/>
      <c r="AH271" s="214"/>
      <c r="AI271" s="214"/>
      <c r="AJ271" s="214"/>
      <c r="AK271" s="214"/>
      <c r="AL271" s="214"/>
      <c r="AM271" s="214"/>
      <c r="AN271" s="214"/>
      <c r="AO271" s="214"/>
      <c r="AP271" s="214"/>
      <c r="AQ271" s="214"/>
      <c r="AR271" s="214"/>
      <c r="AS271" s="214"/>
      <c r="AT271" s="214"/>
      <c r="AU271" s="214"/>
      <c r="AV271" s="214"/>
      <c r="AW271" s="214"/>
      <c r="AX271" s="214"/>
      <c r="AY271" s="214"/>
      <c r="AZ271" s="628"/>
      <c r="BA271" s="214"/>
      <c r="BB271" s="214"/>
      <c r="BC271" s="214"/>
      <c r="BD271" s="214"/>
      <c r="BE271" s="214"/>
      <c r="BF271" s="214"/>
      <c r="BG271" s="657"/>
      <c r="BH271" s="214"/>
      <c r="BJ271" s="214"/>
      <c r="BK271" s="214"/>
      <c r="BL271" s="214"/>
      <c r="BM271" s="214"/>
      <c r="BN271" s="214"/>
      <c r="BO271" s="214"/>
      <c r="BP271" s="214"/>
      <c r="BQ271" s="214"/>
      <c r="BR271" s="214"/>
      <c r="BS271" s="214"/>
    </row>
    <row r="272" spans="1:71" s="630" customFormat="1" x14ac:dyDescent="0.25">
      <c r="A272" s="214"/>
      <c r="B272" s="214"/>
      <c r="C272" s="214"/>
      <c r="D272" s="214"/>
      <c r="E272" s="214"/>
      <c r="F272" s="214"/>
      <c r="G272" s="214"/>
      <c r="H272" s="214"/>
      <c r="I272" s="214"/>
      <c r="J272" s="214"/>
      <c r="K272" s="214"/>
      <c r="L272" s="214"/>
      <c r="M272" s="214"/>
      <c r="N272" s="214"/>
      <c r="O272" s="214"/>
      <c r="P272" s="214"/>
      <c r="Q272" s="657"/>
      <c r="R272" s="214"/>
      <c r="S272" s="214"/>
      <c r="T272" s="214"/>
      <c r="U272" s="214"/>
      <c r="V272" s="214"/>
      <c r="W272" s="214"/>
      <c r="X272" s="214"/>
      <c r="Y272" s="214"/>
      <c r="Z272" s="214"/>
      <c r="AA272" s="214"/>
      <c r="AB272" s="214"/>
      <c r="AC272" s="214"/>
      <c r="AD272" s="214"/>
      <c r="AE272" s="214"/>
      <c r="AF272" s="214"/>
      <c r="AG272" s="657"/>
      <c r="AH272" s="214"/>
      <c r="AI272" s="214"/>
      <c r="AJ272" s="214"/>
      <c r="AK272" s="214"/>
      <c r="AL272" s="214"/>
      <c r="AM272" s="214"/>
      <c r="AN272" s="214"/>
      <c r="AO272" s="214"/>
      <c r="AP272" s="214"/>
      <c r="AQ272" s="214"/>
      <c r="AR272" s="214"/>
      <c r="AS272" s="214"/>
      <c r="AT272" s="214"/>
      <c r="AU272" s="214"/>
      <c r="AV272" s="214"/>
      <c r="AW272" s="214"/>
      <c r="AX272" s="214"/>
      <c r="AY272" s="214"/>
      <c r="AZ272" s="628"/>
      <c r="BA272" s="214"/>
      <c r="BB272" s="214"/>
      <c r="BC272" s="214"/>
      <c r="BD272" s="214"/>
      <c r="BE272" s="214"/>
      <c r="BF272" s="214"/>
      <c r="BG272" s="657"/>
      <c r="BH272" s="214"/>
      <c r="BJ272" s="214"/>
      <c r="BK272" s="214"/>
      <c r="BL272" s="214"/>
      <c r="BM272" s="214"/>
      <c r="BN272" s="214"/>
      <c r="BO272" s="214"/>
      <c r="BP272" s="214"/>
      <c r="BQ272" s="214"/>
      <c r="BR272" s="214"/>
      <c r="BS272" s="214"/>
    </row>
    <row r="273" spans="1:71" s="630" customFormat="1" x14ac:dyDescent="0.25">
      <c r="A273" s="214"/>
      <c r="B273" s="214"/>
      <c r="C273" s="214"/>
      <c r="D273" s="214"/>
      <c r="E273" s="214"/>
      <c r="F273" s="214"/>
      <c r="G273" s="214"/>
      <c r="H273" s="214"/>
      <c r="I273" s="214"/>
      <c r="J273" s="214"/>
      <c r="K273" s="214"/>
      <c r="L273" s="214"/>
      <c r="M273" s="214"/>
      <c r="N273" s="214"/>
      <c r="O273" s="214"/>
      <c r="P273" s="214"/>
      <c r="Q273" s="657"/>
      <c r="R273" s="214"/>
      <c r="S273" s="214"/>
      <c r="T273" s="214"/>
      <c r="U273" s="214"/>
      <c r="V273" s="214"/>
      <c r="W273" s="214"/>
      <c r="X273" s="214"/>
      <c r="Y273" s="214"/>
      <c r="Z273" s="214"/>
      <c r="AA273" s="214"/>
      <c r="AB273" s="214"/>
      <c r="AC273" s="214"/>
      <c r="AD273" s="214"/>
      <c r="AE273" s="214"/>
      <c r="AF273" s="214"/>
      <c r="AG273" s="657"/>
      <c r="AH273" s="214"/>
      <c r="AI273" s="214"/>
      <c r="AJ273" s="214"/>
      <c r="AK273" s="214"/>
      <c r="AL273" s="214"/>
      <c r="AM273" s="214"/>
      <c r="AN273" s="214"/>
      <c r="AO273" s="214"/>
      <c r="AP273" s="214"/>
      <c r="AQ273" s="214"/>
      <c r="AR273" s="214"/>
      <c r="AS273" s="214"/>
      <c r="AT273" s="214"/>
      <c r="AU273" s="214"/>
      <c r="AV273" s="214"/>
      <c r="AW273" s="214"/>
      <c r="AX273" s="214"/>
      <c r="AY273" s="214"/>
      <c r="AZ273" s="628"/>
      <c r="BA273" s="214"/>
      <c r="BB273" s="214"/>
      <c r="BC273" s="214"/>
      <c r="BD273" s="214"/>
      <c r="BE273" s="214"/>
      <c r="BF273" s="214"/>
      <c r="BG273" s="657"/>
      <c r="BH273" s="214"/>
      <c r="BJ273" s="214"/>
      <c r="BK273" s="214"/>
      <c r="BL273" s="214"/>
      <c r="BM273" s="214"/>
      <c r="BN273" s="214"/>
      <c r="BO273" s="214"/>
      <c r="BP273" s="214"/>
      <c r="BQ273" s="214"/>
      <c r="BR273" s="214"/>
      <c r="BS273" s="214"/>
    </row>
    <row r="274" spans="1:71" s="630" customFormat="1" x14ac:dyDescent="0.25">
      <c r="A274" s="214"/>
      <c r="B274" s="214"/>
      <c r="C274" s="214"/>
      <c r="D274" s="214"/>
      <c r="E274" s="214"/>
      <c r="F274" s="214"/>
      <c r="G274" s="214"/>
      <c r="H274" s="214"/>
      <c r="I274" s="214"/>
      <c r="J274" s="214"/>
      <c r="K274" s="214"/>
      <c r="L274" s="214"/>
      <c r="M274" s="214"/>
      <c r="N274" s="214"/>
      <c r="O274" s="214"/>
      <c r="P274" s="214"/>
      <c r="Q274" s="657"/>
      <c r="R274" s="214"/>
      <c r="S274" s="214"/>
      <c r="T274" s="214"/>
      <c r="U274" s="214"/>
      <c r="V274" s="214"/>
      <c r="W274" s="214"/>
      <c r="X274" s="214"/>
      <c r="Y274" s="214"/>
      <c r="Z274" s="214"/>
      <c r="AA274" s="214"/>
      <c r="AB274" s="214"/>
      <c r="AC274" s="214"/>
      <c r="AD274" s="214"/>
      <c r="AE274" s="214"/>
      <c r="AF274" s="214"/>
      <c r="AG274" s="657"/>
      <c r="AH274" s="214"/>
      <c r="AI274" s="214"/>
      <c r="AJ274" s="214"/>
      <c r="AK274" s="214"/>
      <c r="AL274" s="214"/>
      <c r="AM274" s="214"/>
      <c r="AN274" s="214"/>
      <c r="AO274" s="214"/>
      <c r="AP274" s="214"/>
      <c r="AQ274" s="214"/>
      <c r="AR274" s="214"/>
      <c r="AS274" s="214"/>
      <c r="AT274" s="214"/>
      <c r="AU274" s="214"/>
      <c r="AV274" s="214"/>
      <c r="AW274" s="214"/>
      <c r="AX274" s="214"/>
      <c r="AY274" s="214"/>
      <c r="AZ274" s="628"/>
      <c r="BA274" s="214"/>
      <c r="BB274" s="214"/>
      <c r="BC274" s="214"/>
      <c r="BD274" s="214"/>
      <c r="BE274" s="214"/>
      <c r="BF274" s="214"/>
      <c r="BG274" s="657"/>
      <c r="BH274" s="214"/>
      <c r="BJ274" s="214"/>
      <c r="BK274" s="214"/>
      <c r="BL274" s="214"/>
      <c r="BM274" s="214"/>
      <c r="BN274" s="214"/>
      <c r="BO274" s="214"/>
      <c r="BP274" s="214"/>
      <c r="BQ274" s="214"/>
      <c r="BR274" s="214"/>
      <c r="BS274" s="214"/>
    </row>
    <row r="275" spans="1:71" s="630" customFormat="1" x14ac:dyDescent="0.25">
      <c r="A275" s="214"/>
      <c r="B275" s="214"/>
      <c r="C275" s="214"/>
      <c r="D275" s="214"/>
      <c r="E275" s="214"/>
      <c r="F275" s="214"/>
      <c r="G275" s="214"/>
      <c r="H275" s="214"/>
      <c r="I275" s="214"/>
      <c r="J275" s="214"/>
      <c r="K275" s="214"/>
      <c r="L275" s="214"/>
      <c r="M275" s="214"/>
      <c r="N275" s="214"/>
      <c r="O275" s="214"/>
      <c r="P275" s="214"/>
      <c r="Q275" s="657"/>
      <c r="R275" s="214"/>
      <c r="S275" s="214"/>
      <c r="T275" s="214"/>
      <c r="U275" s="214"/>
      <c r="V275" s="214"/>
      <c r="W275" s="214"/>
      <c r="X275" s="214"/>
      <c r="Y275" s="214"/>
      <c r="Z275" s="214"/>
      <c r="AA275" s="214"/>
      <c r="AB275" s="214"/>
      <c r="AC275" s="214"/>
      <c r="AD275" s="214"/>
      <c r="AE275" s="214"/>
      <c r="AF275" s="214"/>
      <c r="AG275" s="657"/>
      <c r="AH275" s="214"/>
      <c r="AI275" s="214"/>
      <c r="AJ275" s="214"/>
      <c r="AK275" s="214"/>
      <c r="AL275" s="214"/>
      <c r="AM275" s="214"/>
      <c r="AN275" s="214"/>
      <c r="AO275" s="214"/>
      <c r="AP275" s="214"/>
      <c r="AQ275" s="214"/>
      <c r="AR275" s="214"/>
      <c r="AS275" s="214"/>
      <c r="AT275" s="214"/>
      <c r="AU275" s="214"/>
      <c r="AV275" s="214"/>
      <c r="AW275" s="214"/>
      <c r="AX275" s="214"/>
      <c r="AY275" s="214"/>
      <c r="AZ275" s="628"/>
      <c r="BA275" s="214"/>
      <c r="BB275" s="214"/>
      <c r="BC275" s="214"/>
      <c r="BD275" s="214"/>
      <c r="BE275" s="214"/>
      <c r="BF275" s="214"/>
      <c r="BG275" s="657"/>
      <c r="BH275" s="214"/>
      <c r="BJ275" s="214"/>
      <c r="BK275" s="214"/>
      <c r="BL275" s="214"/>
      <c r="BM275" s="214"/>
      <c r="BN275" s="214"/>
      <c r="BO275" s="214"/>
      <c r="BP275" s="214"/>
      <c r="BQ275" s="214"/>
      <c r="BR275" s="214"/>
      <c r="BS275" s="214"/>
    </row>
    <row r="276" spans="1:71" s="630" customFormat="1" x14ac:dyDescent="0.25">
      <c r="A276" s="214"/>
      <c r="B276" s="214"/>
      <c r="C276" s="214"/>
      <c r="D276" s="214"/>
      <c r="E276" s="214"/>
      <c r="F276" s="214"/>
      <c r="G276" s="214"/>
      <c r="H276" s="214"/>
      <c r="I276" s="214"/>
      <c r="J276" s="214"/>
      <c r="K276" s="214"/>
      <c r="L276" s="214"/>
      <c r="M276" s="214"/>
      <c r="N276" s="214"/>
      <c r="O276" s="214"/>
      <c r="P276" s="214"/>
      <c r="Q276" s="657"/>
      <c r="R276" s="214"/>
      <c r="S276" s="214"/>
      <c r="T276" s="214"/>
      <c r="U276" s="214"/>
      <c r="V276" s="214"/>
      <c r="W276" s="214"/>
      <c r="X276" s="214"/>
      <c r="Y276" s="214"/>
      <c r="Z276" s="214"/>
      <c r="AA276" s="214"/>
      <c r="AB276" s="214"/>
      <c r="AC276" s="214"/>
      <c r="AD276" s="214"/>
      <c r="AE276" s="214"/>
      <c r="AF276" s="214"/>
      <c r="AG276" s="657"/>
      <c r="AH276" s="214"/>
      <c r="AI276" s="214"/>
      <c r="AJ276" s="214"/>
      <c r="AK276" s="214"/>
      <c r="AL276" s="214"/>
      <c r="AM276" s="214"/>
      <c r="AN276" s="214"/>
      <c r="AO276" s="214"/>
      <c r="AP276" s="214"/>
      <c r="AQ276" s="214"/>
      <c r="AR276" s="214"/>
      <c r="AS276" s="214"/>
      <c r="AT276" s="214"/>
      <c r="AU276" s="214"/>
      <c r="AV276" s="214"/>
      <c r="AW276" s="214"/>
      <c r="AX276" s="214"/>
      <c r="AY276" s="214"/>
      <c r="AZ276" s="628"/>
      <c r="BA276" s="214"/>
      <c r="BB276" s="214"/>
      <c r="BC276" s="214"/>
      <c r="BD276" s="214"/>
      <c r="BE276" s="214"/>
      <c r="BF276" s="214"/>
      <c r="BG276" s="657"/>
      <c r="BH276" s="214"/>
      <c r="BJ276" s="214"/>
      <c r="BK276" s="214"/>
      <c r="BL276" s="214"/>
      <c r="BM276" s="214"/>
      <c r="BN276" s="214"/>
      <c r="BO276" s="214"/>
      <c r="BP276" s="214"/>
      <c r="BQ276" s="214"/>
      <c r="BR276" s="214"/>
      <c r="BS276" s="214"/>
    </row>
    <row r="277" spans="1:71" s="630" customFormat="1" x14ac:dyDescent="0.25">
      <c r="A277" s="214"/>
      <c r="B277" s="214"/>
      <c r="C277" s="214"/>
      <c r="D277" s="214"/>
      <c r="E277" s="214"/>
      <c r="F277" s="214"/>
      <c r="G277" s="214"/>
      <c r="H277" s="214"/>
      <c r="I277" s="214"/>
      <c r="J277" s="214"/>
      <c r="K277" s="214"/>
      <c r="L277" s="214"/>
      <c r="M277" s="214"/>
      <c r="N277" s="214"/>
      <c r="O277" s="214"/>
      <c r="P277" s="214"/>
      <c r="Q277" s="657"/>
      <c r="R277" s="214"/>
      <c r="S277" s="214"/>
      <c r="T277" s="214"/>
      <c r="U277" s="214"/>
      <c r="V277" s="214"/>
      <c r="W277" s="214"/>
      <c r="X277" s="214"/>
      <c r="Y277" s="214"/>
      <c r="Z277" s="214"/>
      <c r="AA277" s="214"/>
      <c r="AB277" s="214"/>
      <c r="AC277" s="214"/>
      <c r="AD277" s="214"/>
      <c r="AE277" s="214"/>
      <c r="AF277" s="214"/>
      <c r="AG277" s="657"/>
      <c r="AH277" s="214"/>
      <c r="AI277" s="214"/>
      <c r="AJ277" s="214"/>
      <c r="AK277" s="214"/>
      <c r="AL277" s="214"/>
      <c r="AM277" s="214"/>
      <c r="AN277" s="214"/>
      <c r="AO277" s="214"/>
      <c r="AP277" s="214"/>
      <c r="AQ277" s="214"/>
      <c r="AR277" s="214"/>
      <c r="AS277" s="214"/>
      <c r="AT277" s="214"/>
      <c r="AU277" s="214"/>
      <c r="AV277" s="214"/>
      <c r="AW277" s="214"/>
      <c r="AX277" s="214"/>
      <c r="AY277" s="214"/>
      <c r="AZ277" s="628"/>
      <c r="BA277" s="214"/>
      <c r="BB277" s="214"/>
      <c r="BC277" s="214"/>
      <c r="BD277" s="214"/>
      <c r="BE277" s="214"/>
      <c r="BF277" s="214"/>
      <c r="BG277" s="657"/>
      <c r="BH277" s="214"/>
      <c r="BJ277" s="214"/>
      <c r="BK277" s="214"/>
      <c r="BL277" s="214"/>
      <c r="BM277" s="214"/>
      <c r="BN277" s="214"/>
      <c r="BO277" s="214"/>
      <c r="BP277" s="214"/>
      <c r="BQ277" s="214"/>
      <c r="BR277" s="214"/>
      <c r="BS277" s="214"/>
    </row>
    <row r="278" spans="1:71" s="630" customFormat="1" x14ac:dyDescent="0.25">
      <c r="A278" s="214"/>
      <c r="B278" s="214"/>
      <c r="C278" s="214"/>
      <c r="D278" s="214"/>
      <c r="E278" s="214"/>
      <c r="F278" s="214"/>
      <c r="G278" s="214"/>
      <c r="H278" s="214"/>
      <c r="I278" s="214"/>
      <c r="J278" s="214"/>
      <c r="K278" s="214"/>
      <c r="L278" s="214"/>
      <c r="M278" s="214"/>
      <c r="N278" s="214"/>
      <c r="O278" s="214"/>
      <c r="P278" s="214"/>
      <c r="Q278" s="657"/>
      <c r="R278" s="214"/>
      <c r="S278" s="214"/>
      <c r="T278" s="214"/>
      <c r="U278" s="214"/>
      <c r="V278" s="214"/>
      <c r="W278" s="214"/>
      <c r="X278" s="214"/>
      <c r="Y278" s="214"/>
      <c r="Z278" s="214"/>
      <c r="AA278" s="214"/>
      <c r="AB278" s="214"/>
      <c r="AC278" s="214"/>
      <c r="AD278" s="214"/>
      <c r="AE278" s="214"/>
      <c r="AF278" s="214"/>
      <c r="AG278" s="657"/>
      <c r="AH278" s="214"/>
      <c r="AI278" s="214"/>
      <c r="AJ278" s="214"/>
      <c r="AK278" s="214"/>
      <c r="AL278" s="214"/>
      <c r="AM278" s="214"/>
      <c r="AN278" s="214"/>
      <c r="AO278" s="214"/>
      <c r="AP278" s="214"/>
      <c r="AQ278" s="214"/>
      <c r="AR278" s="214"/>
      <c r="AS278" s="214"/>
      <c r="AT278" s="214"/>
      <c r="AU278" s="214"/>
      <c r="AV278" s="214"/>
      <c r="AW278" s="214"/>
      <c r="AX278" s="214"/>
      <c r="AY278" s="214"/>
      <c r="AZ278" s="628"/>
      <c r="BA278" s="214"/>
      <c r="BB278" s="214"/>
      <c r="BC278" s="214"/>
      <c r="BD278" s="214"/>
      <c r="BE278" s="214"/>
      <c r="BF278" s="214"/>
      <c r="BG278" s="657"/>
      <c r="BH278" s="214"/>
      <c r="BJ278" s="214"/>
      <c r="BK278" s="214"/>
      <c r="BL278" s="214"/>
      <c r="BM278" s="214"/>
      <c r="BN278" s="214"/>
      <c r="BO278" s="214"/>
      <c r="BP278" s="214"/>
      <c r="BQ278" s="214"/>
      <c r="BR278" s="214"/>
      <c r="BS278" s="214"/>
    </row>
    <row r="279" spans="1:71" s="630" customFormat="1" x14ac:dyDescent="0.25">
      <c r="A279" s="214"/>
      <c r="B279" s="214"/>
      <c r="C279" s="214"/>
      <c r="D279" s="214"/>
      <c r="E279" s="214"/>
      <c r="F279" s="214"/>
      <c r="G279" s="214"/>
      <c r="H279" s="214"/>
      <c r="I279" s="214"/>
      <c r="J279" s="214"/>
      <c r="K279" s="214"/>
      <c r="L279" s="214"/>
      <c r="M279" s="214"/>
      <c r="N279" s="214"/>
      <c r="O279" s="214"/>
      <c r="P279" s="214"/>
      <c r="Q279" s="657"/>
      <c r="R279" s="214"/>
      <c r="S279" s="214"/>
      <c r="T279" s="214"/>
      <c r="U279" s="214"/>
      <c r="V279" s="214"/>
      <c r="W279" s="214"/>
      <c r="X279" s="214"/>
      <c r="Y279" s="214"/>
      <c r="Z279" s="214"/>
      <c r="AA279" s="214"/>
      <c r="AB279" s="214"/>
      <c r="AC279" s="214"/>
      <c r="AD279" s="214"/>
      <c r="AE279" s="214"/>
      <c r="AF279" s="214"/>
      <c r="AG279" s="657"/>
      <c r="AH279" s="214"/>
      <c r="AI279" s="214"/>
      <c r="AJ279" s="214"/>
      <c r="AK279" s="214"/>
      <c r="AL279" s="214"/>
      <c r="AM279" s="214"/>
      <c r="AN279" s="214"/>
      <c r="AO279" s="214"/>
      <c r="AP279" s="214"/>
      <c r="AQ279" s="214"/>
      <c r="AR279" s="214"/>
      <c r="AS279" s="214"/>
      <c r="AT279" s="214"/>
      <c r="AU279" s="214"/>
      <c r="AV279" s="214"/>
      <c r="AW279" s="214"/>
      <c r="AX279" s="214"/>
      <c r="AY279" s="214"/>
      <c r="AZ279" s="628"/>
      <c r="BA279" s="214"/>
      <c r="BB279" s="214"/>
      <c r="BC279" s="214"/>
      <c r="BD279" s="214"/>
      <c r="BE279" s="214"/>
      <c r="BF279" s="214"/>
      <c r="BG279" s="657"/>
      <c r="BH279" s="214"/>
      <c r="BJ279" s="214"/>
      <c r="BK279" s="214"/>
      <c r="BL279" s="214"/>
      <c r="BM279" s="214"/>
      <c r="BN279" s="214"/>
      <c r="BO279" s="214"/>
      <c r="BP279" s="214"/>
      <c r="BQ279" s="214"/>
      <c r="BR279" s="214"/>
      <c r="BS279" s="214"/>
    </row>
    <row r="280" spans="1:71" s="630" customFormat="1" x14ac:dyDescent="0.25">
      <c r="A280" s="214"/>
      <c r="B280" s="214"/>
      <c r="C280" s="214"/>
      <c r="D280" s="214"/>
      <c r="E280" s="214"/>
      <c r="F280" s="214"/>
      <c r="G280" s="214"/>
      <c r="H280" s="214"/>
      <c r="I280" s="214"/>
      <c r="J280" s="214"/>
      <c r="K280" s="214"/>
      <c r="L280" s="214"/>
      <c r="M280" s="214"/>
      <c r="N280" s="214"/>
      <c r="O280" s="214"/>
      <c r="P280" s="214"/>
      <c r="Q280" s="657"/>
      <c r="R280" s="214"/>
      <c r="S280" s="214"/>
      <c r="T280" s="214"/>
      <c r="U280" s="214"/>
      <c r="V280" s="214"/>
      <c r="W280" s="214"/>
      <c r="X280" s="214"/>
      <c r="Y280" s="214"/>
      <c r="Z280" s="214"/>
      <c r="AA280" s="214"/>
      <c r="AB280" s="214"/>
      <c r="AC280" s="214"/>
      <c r="AD280" s="214"/>
      <c r="AE280" s="214"/>
      <c r="AF280" s="214"/>
      <c r="AG280" s="657"/>
      <c r="AH280" s="214"/>
      <c r="AI280" s="214"/>
      <c r="AJ280" s="214"/>
      <c r="AK280" s="214"/>
      <c r="AL280" s="214"/>
      <c r="AM280" s="214"/>
      <c r="AN280" s="214"/>
      <c r="AO280" s="214"/>
      <c r="AP280" s="214"/>
      <c r="AQ280" s="214"/>
      <c r="AR280" s="214"/>
      <c r="AS280" s="214"/>
      <c r="AT280" s="214"/>
      <c r="AU280" s="214"/>
      <c r="AV280" s="214"/>
      <c r="AW280" s="214"/>
      <c r="AX280" s="214"/>
      <c r="AY280" s="214"/>
      <c r="AZ280" s="628"/>
      <c r="BA280" s="214"/>
      <c r="BB280" s="214"/>
      <c r="BC280" s="214"/>
      <c r="BD280" s="214"/>
      <c r="BE280" s="214"/>
      <c r="BF280" s="214"/>
      <c r="BG280" s="657"/>
      <c r="BH280" s="214"/>
      <c r="BJ280" s="214"/>
      <c r="BK280" s="214"/>
      <c r="BL280" s="214"/>
      <c r="BM280" s="214"/>
      <c r="BN280" s="214"/>
      <c r="BO280" s="214"/>
      <c r="BP280" s="214"/>
      <c r="BQ280" s="214"/>
      <c r="BR280" s="214"/>
      <c r="BS280" s="214"/>
    </row>
    <row r="281" spans="1:71" s="630" customFormat="1" x14ac:dyDescent="0.25">
      <c r="A281" s="214"/>
      <c r="B281" s="214"/>
      <c r="C281" s="214"/>
      <c r="D281" s="214"/>
      <c r="E281" s="214"/>
      <c r="F281" s="214"/>
      <c r="G281" s="214"/>
      <c r="H281" s="214"/>
      <c r="I281" s="214"/>
      <c r="J281" s="214"/>
      <c r="K281" s="214"/>
      <c r="L281" s="214"/>
      <c r="M281" s="214"/>
      <c r="N281" s="214"/>
      <c r="O281" s="214"/>
      <c r="P281" s="214"/>
      <c r="Q281" s="657"/>
      <c r="R281" s="214"/>
      <c r="S281" s="214"/>
      <c r="T281" s="214"/>
      <c r="U281" s="214"/>
      <c r="V281" s="214"/>
      <c r="W281" s="214"/>
      <c r="X281" s="214"/>
      <c r="Y281" s="214"/>
      <c r="Z281" s="214"/>
      <c r="AA281" s="214"/>
      <c r="AB281" s="214"/>
      <c r="AC281" s="214"/>
      <c r="AD281" s="214"/>
      <c r="AE281" s="214"/>
      <c r="AF281" s="214"/>
      <c r="AG281" s="657"/>
      <c r="AH281" s="214"/>
      <c r="AI281" s="214"/>
      <c r="AJ281" s="214"/>
      <c r="AK281" s="214"/>
      <c r="AL281" s="214"/>
      <c r="AM281" s="214"/>
      <c r="AN281" s="214"/>
      <c r="AO281" s="214"/>
      <c r="AP281" s="214"/>
      <c r="AQ281" s="214"/>
      <c r="AR281" s="214"/>
      <c r="AS281" s="214"/>
      <c r="AT281" s="214"/>
      <c r="AU281" s="214"/>
      <c r="AV281" s="214"/>
      <c r="AW281" s="214"/>
      <c r="AX281" s="214"/>
      <c r="AY281" s="214"/>
      <c r="AZ281" s="628"/>
      <c r="BA281" s="214"/>
      <c r="BB281" s="214"/>
      <c r="BC281" s="214"/>
      <c r="BD281" s="214"/>
      <c r="BE281" s="214"/>
      <c r="BF281" s="214"/>
      <c r="BG281" s="657"/>
      <c r="BH281" s="214"/>
      <c r="BJ281" s="214"/>
      <c r="BK281" s="214"/>
      <c r="BL281" s="214"/>
      <c r="BM281" s="214"/>
      <c r="BN281" s="214"/>
      <c r="BO281" s="214"/>
      <c r="BP281" s="214"/>
      <c r="BQ281" s="214"/>
      <c r="BR281" s="214"/>
      <c r="BS281" s="214"/>
    </row>
    <row r="282" spans="1:71" s="630" customFormat="1" x14ac:dyDescent="0.25">
      <c r="A282" s="214"/>
      <c r="B282" s="214"/>
      <c r="C282" s="214"/>
      <c r="D282" s="214"/>
      <c r="E282" s="214"/>
      <c r="F282" s="214"/>
      <c r="G282" s="214"/>
      <c r="H282" s="214"/>
      <c r="I282" s="214"/>
      <c r="J282" s="214"/>
      <c r="K282" s="214"/>
      <c r="L282" s="214"/>
      <c r="M282" s="214"/>
      <c r="N282" s="214"/>
      <c r="O282" s="214"/>
      <c r="P282" s="214"/>
      <c r="Q282" s="657"/>
      <c r="R282" s="214"/>
      <c r="S282" s="214"/>
      <c r="T282" s="214"/>
      <c r="U282" s="214"/>
      <c r="V282" s="214"/>
      <c r="W282" s="214"/>
      <c r="X282" s="214"/>
      <c r="Y282" s="214"/>
      <c r="Z282" s="214"/>
      <c r="AA282" s="214"/>
      <c r="AB282" s="214"/>
      <c r="AC282" s="214"/>
      <c r="AD282" s="214"/>
      <c r="AE282" s="214"/>
      <c r="AF282" s="214"/>
      <c r="AG282" s="657"/>
      <c r="AH282" s="214"/>
      <c r="AI282" s="214"/>
      <c r="AJ282" s="214"/>
      <c r="AK282" s="214"/>
      <c r="AL282" s="214"/>
      <c r="AM282" s="214"/>
      <c r="AN282" s="214"/>
      <c r="AO282" s="214"/>
      <c r="AP282" s="214"/>
      <c r="AQ282" s="214"/>
      <c r="AR282" s="214"/>
      <c r="AS282" s="214"/>
      <c r="AT282" s="214"/>
      <c r="AU282" s="214"/>
      <c r="AV282" s="214"/>
      <c r="AW282" s="214"/>
      <c r="AX282" s="214"/>
      <c r="AY282" s="214"/>
      <c r="AZ282" s="628"/>
      <c r="BA282" s="214"/>
      <c r="BB282" s="214"/>
      <c r="BC282" s="214"/>
      <c r="BD282" s="214"/>
      <c r="BE282" s="214"/>
      <c r="BF282" s="214"/>
      <c r="BG282" s="657"/>
      <c r="BH282" s="214"/>
      <c r="BJ282" s="214"/>
      <c r="BK282" s="214"/>
      <c r="BL282" s="214"/>
      <c r="BM282" s="214"/>
      <c r="BN282" s="214"/>
      <c r="BO282" s="214"/>
      <c r="BP282" s="214"/>
      <c r="BQ282" s="214"/>
      <c r="BR282" s="214"/>
      <c r="BS282" s="214"/>
    </row>
    <row r="283" spans="1:71" s="630" customFormat="1" x14ac:dyDescent="0.25">
      <c r="A283" s="214"/>
      <c r="B283" s="214"/>
      <c r="C283" s="214"/>
      <c r="D283" s="214"/>
      <c r="E283" s="214"/>
      <c r="F283" s="214"/>
      <c r="G283" s="214"/>
      <c r="H283" s="214"/>
      <c r="I283" s="214"/>
      <c r="J283" s="214"/>
      <c r="K283" s="214"/>
      <c r="L283" s="214"/>
      <c r="M283" s="214"/>
      <c r="N283" s="214"/>
      <c r="O283" s="214"/>
      <c r="P283" s="214"/>
      <c r="Q283" s="657"/>
      <c r="R283" s="214"/>
      <c r="S283" s="214"/>
      <c r="T283" s="214"/>
      <c r="U283" s="214"/>
      <c r="V283" s="214"/>
      <c r="W283" s="214"/>
      <c r="X283" s="214"/>
      <c r="Y283" s="214"/>
      <c r="Z283" s="214"/>
      <c r="AA283" s="214"/>
      <c r="AB283" s="214"/>
      <c r="AC283" s="214"/>
      <c r="AD283" s="214"/>
      <c r="AE283" s="214"/>
      <c r="AF283" s="214"/>
      <c r="AG283" s="657"/>
      <c r="AH283" s="214"/>
      <c r="AI283" s="214"/>
      <c r="AJ283" s="214"/>
      <c r="AK283" s="214"/>
      <c r="AL283" s="214"/>
      <c r="AM283" s="214"/>
      <c r="AN283" s="214"/>
      <c r="AO283" s="214"/>
      <c r="AP283" s="214"/>
      <c r="AQ283" s="214"/>
      <c r="AR283" s="214"/>
      <c r="AS283" s="214"/>
      <c r="AT283" s="214"/>
      <c r="AU283" s="214"/>
      <c r="AV283" s="214"/>
      <c r="AW283" s="214"/>
      <c r="AX283" s="214"/>
      <c r="AY283" s="214"/>
      <c r="AZ283" s="628"/>
      <c r="BA283" s="214"/>
      <c r="BB283" s="214"/>
      <c r="BC283" s="214"/>
      <c r="BD283" s="214"/>
      <c r="BE283" s="214"/>
      <c r="BF283" s="214"/>
      <c r="BG283" s="657"/>
      <c r="BH283" s="214"/>
      <c r="BJ283" s="214"/>
      <c r="BK283" s="214"/>
      <c r="BL283" s="214"/>
      <c r="BM283" s="214"/>
      <c r="BN283" s="214"/>
      <c r="BO283" s="214"/>
      <c r="BP283" s="214"/>
      <c r="BQ283" s="214"/>
      <c r="BR283" s="214"/>
      <c r="BS283" s="214"/>
    </row>
    <row r="284" spans="1:71" s="630" customFormat="1" x14ac:dyDescent="0.25">
      <c r="A284" s="214"/>
      <c r="B284" s="214"/>
      <c r="C284" s="214"/>
      <c r="D284" s="214"/>
      <c r="E284" s="214"/>
      <c r="F284" s="214"/>
      <c r="G284" s="214"/>
      <c r="H284" s="214"/>
      <c r="I284" s="214"/>
      <c r="J284" s="214"/>
      <c r="K284" s="214"/>
      <c r="L284" s="214"/>
      <c r="M284" s="214"/>
      <c r="N284" s="214"/>
      <c r="O284" s="214"/>
      <c r="P284" s="214"/>
      <c r="Q284" s="657"/>
      <c r="R284" s="214"/>
      <c r="S284" s="214"/>
      <c r="T284" s="214"/>
      <c r="U284" s="214"/>
      <c r="V284" s="214"/>
      <c r="W284" s="214"/>
      <c r="X284" s="214"/>
      <c r="Y284" s="214"/>
      <c r="Z284" s="214"/>
      <c r="AA284" s="214"/>
      <c r="AB284" s="214"/>
      <c r="AC284" s="214"/>
      <c r="AD284" s="214"/>
      <c r="AE284" s="214"/>
      <c r="AF284" s="214"/>
      <c r="AG284" s="657"/>
      <c r="AH284" s="214"/>
      <c r="AI284" s="214"/>
      <c r="AJ284" s="214"/>
      <c r="AK284" s="214"/>
      <c r="AL284" s="214"/>
      <c r="AM284" s="214"/>
      <c r="AN284" s="214"/>
      <c r="AO284" s="214"/>
      <c r="AP284" s="214"/>
      <c r="AQ284" s="214"/>
      <c r="AR284" s="214"/>
      <c r="AS284" s="214"/>
      <c r="AT284" s="214"/>
      <c r="AU284" s="214"/>
      <c r="AV284" s="214"/>
      <c r="AW284" s="214"/>
      <c r="AX284" s="214"/>
      <c r="AY284" s="214"/>
      <c r="AZ284" s="628"/>
      <c r="BA284" s="214"/>
      <c r="BB284" s="214"/>
      <c r="BC284" s="214"/>
      <c r="BD284" s="214"/>
      <c r="BE284" s="214"/>
      <c r="BF284" s="214"/>
      <c r="BG284" s="657"/>
      <c r="BH284" s="214"/>
      <c r="BJ284" s="214"/>
      <c r="BK284" s="214"/>
      <c r="BL284" s="214"/>
      <c r="BM284" s="214"/>
      <c r="BN284" s="214"/>
      <c r="BO284" s="214"/>
      <c r="BP284" s="214"/>
      <c r="BQ284" s="214"/>
      <c r="BR284" s="214"/>
      <c r="BS284" s="214"/>
    </row>
    <row r="285" spans="1:71" s="630" customFormat="1" x14ac:dyDescent="0.25">
      <c r="A285" s="214"/>
      <c r="B285" s="214"/>
      <c r="C285" s="214"/>
      <c r="D285" s="214"/>
      <c r="E285" s="214"/>
      <c r="F285" s="214"/>
      <c r="G285" s="214"/>
      <c r="H285" s="214"/>
      <c r="I285" s="214"/>
      <c r="J285" s="214"/>
      <c r="K285" s="214"/>
      <c r="L285" s="214"/>
      <c r="M285" s="214"/>
      <c r="N285" s="214"/>
      <c r="O285" s="214"/>
      <c r="P285" s="214"/>
      <c r="Q285" s="657"/>
      <c r="R285" s="214"/>
      <c r="S285" s="214"/>
      <c r="T285" s="214"/>
      <c r="U285" s="214"/>
      <c r="V285" s="214"/>
      <c r="W285" s="214"/>
      <c r="X285" s="214"/>
      <c r="Y285" s="214"/>
      <c r="Z285" s="214"/>
      <c r="AA285" s="214"/>
      <c r="AB285" s="214"/>
      <c r="AC285" s="214"/>
      <c r="AD285" s="214"/>
      <c r="AE285" s="214"/>
      <c r="AF285" s="214"/>
      <c r="AG285" s="657"/>
      <c r="AH285" s="214"/>
      <c r="AI285" s="214"/>
      <c r="AJ285" s="214"/>
      <c r="AK285" s="214"/>
      <c r="AL285" s="214"/>
      <c r="AM285" s="214"/>
      <c r="AN285" s="214"/>
      <c r="AO285" s="214"/>
      <c r="AP285" s="214"/>
      <c r="AQ285" s="214"/>
      <c r="AR285" s="214"/>
      <c r="AS285" s="214"/>
      <c r="AT285" s="214"/>
      <c r="AU285" s="214"/>
      <c r="AV285" s="214"/>
      <c r="AW285" s="214"/>
      <c r="AX285" s="214"/>
      <c r="AY285" s="214"/>
      <c r="AZ285" s="628"/>
      <c r="BA285" s="214"/>
      <c r="BB285" s="214"/>
      <c r="BC285" s="214"/>
      <c r="BD285" s="214"/>
      <c r="BE285" s="214"/>
      <c r="BF285" s="214"/>
      <c r="BG285" s="657"/>
      <c r="BH285" s="214"/>
      <c r="BJ285" s="214"/>
      <c r="BK285" s="214"/>
      <c r="BL285" s="214"/>
      <c r="BM285" s="214"/>
      <c r="BN285" s="214"/>
      <c r="BO285" s="214"/>
      <c r="BP285" s="214"/>
      <c r="BQ285" s="214"/>
      <c r="BR285" s="214"/>
      <c r="BS285" s="214"/>
    </row>
    <row r="286" spans="1:71" s="630" customFormat="1" x14ac:dyDescent="0.25">
      <c r="A286" s="214"/>
      <c r="B286" s="214"/>
      <c r="C286" s="214"/>
      <c r="D286" s="214"/>
      <c r="E286" s="214"/>
      <c r="F286" s="214"/>
      <c r="G286" s="214"/>
      <c r="H286" s="214"/>
      <c r="I286" s="214"/>
      <c r="J286" s="214"/>
      <c r="K286" s="214"/>
      <c r="L286" s="214"/>
      <c r="M286" s="214"/>
      <c r="N286" s="214"/>
      <c r="O286" s="214"/>
      <c r="P286" s="214"/>
      <c r="Q286" s="657"/>
      <c r="R286" s="214"/>
      <c r="S286" s="214"/>
      <c r="T286" s="214"/>
      <c r="U286" s="214"/>
      <c r="V286" s="214"/>
      <c r="W286" s="214"/>
      <c r="X286" s="214"/>
      <c r="Y286" s="214"/>
      <c r="Z286" s="214"/>
      <c r="AA286" s="214"/>
      <c r="AB286" s="214"/>
      <c r="AC286" s="214"/>
      <c r="AD286" s="214"/>
      <c r="AE286" s="214"/>
      <c r="AF286" s="214"/>
      <c r="AG286" s="657"/>
      <c r="AH286" s="214"/>
      <c r="AI286" s="214"/>
      <c r="AJ286" s="214"/>
      <c r="AK286" s="214"/>
      <c r="AL286" s="214"/>
      <c r="AM286" s="214"/>
      <c r="AN286" s="214"/>
      <c r="AO286" s="214"/>
      <c r="AP286" s="214"/>
      <c r="AQ286" s="214"/>
      <c r="AR286" s="214"/>
      <c r="AS286" s="214"/>
      <c r="AT286" s="214"/>
      <c r="AU286" s="214"/>
      <c r="AV286" s="214"/>
      <c r="AW286" s="214"/>
      <c r="AX286" s="214"/>
      <c r="AY286" s="214"/>
      <c r="AZ286" s="628"/>
      <c r="BA286" s="214"/>
      <c r="BB286" s="214"/>
      <c r="BC286" s="214"/>
      <c r="BD286" s="214"/>
      <c r="BE286" s="214"/>
      <c r="BF286" s="214"/>
      <c r="BG286" s="657"/>
      <c r="BH286" s="214"/>
      <c r="BJ286" s="214"/>
      <c r="BK286" s="214"/>
      <c r="BL286" s="214"/>
      <c r="BM286" s="214"/>
      <c r="BN286" s="214"/>
      <c r="BO286" s="214"/>
      <c r="BP286" s="214"/>
      <c r="BQ286" s="214"/>
      <c r="BR286" s="214"/>
      <c r="BS286" s="214"/>
    </row>
    <row r="287" spans="1:71" s="630" customFormat="1" x14ac:dyDescent="0.25">
      <c r="A287" s="214"/>
      <c r="B287" s="214"/>
      <c r="C287" s="214"/>
      <c r="D287" s="214"/>
      <c r="E287" s="214"/>
      <c r="F287" s="214"/>
      <c r="G287" s="214"/>
      <c r="H287" s="214"/>
      <c r="I287" s="214"/>
      <c r="J287" s="214"/>
      <c r="K287" s="214"/>
      <c r="L287" s="214"/>
      <c r="M287" s="214"/>
      <c r="N287" s="214"/>
      <c r="O287" s="214"/>
      <c r="P287" s="214"/>
      <c r="Q287" s="657"/>
      <c r="R287" s="214"/>
      <c r="S287" s="214"/>
      <c r="T287" s="214"/>
      <c r="U287" s="214"/>
      <c r="V287" s="214"/>
      <c r="W287" s="214"/>
      <c r="X287" s="214"/>
      <c r="Y287" s="214"/>
      <c r="Z287" s="214"/>
      <c r="AA287" s="214"/>
      <c r="AB287" s="214"/>
      <c r="AC287" s="214"/>
      <c r="AD287" s="214"/>
      <c r="AE287" s="214"/>
      <c r="AF287" s="214"/>
      <c r="AG287" s="657"/>
      <c r="AH287" s="214"/>
      <c r="AI287" s="214"/>
      <c r="AJ287" s="214"/>
      <c r="AK287" s="214"/>
      <c r="AL287" s="214"/>
      <c r="AM287" s="214"/>
      <c r="AN287" s="214"/>
      <c r="AO287" s="214"/>
      <c r="AP287" s="214"/>
      <c r="AQ287" s="214"/>
      <c r="AR287" s="214"/>
      <c r="AS287" s="214"/>
      <c r="AT287" s="214"/>
      <c r="AU287" s="214"/>
      <c r="AV287" s="214"/>
      <c r="AW287" s="214"/>
      <c r="AX287" s="214"/>
      <c r="AY287" s="214"/>
      <c r="AZ287" s="628"/>
      <c r="BA287" s="214"/>
      <c r="BB287" s="214"/>
      <c r="BC287" s="214"/>
      <c r="BD287" s="214"/>
      <c r="BE287" s="214"/>
      <c r="BF287" s="214"/>
      <c r="BG287" s="657"/>
      <c r="BH287" s="214"/>
      <c r="BJ287" s="214"/>
      <c r="BK287" s="214"/>
      <c r="BL287" s="214"/>
      <c r="BM287" s="214"/>
      <c r="BN287" s="214"/>
      <c r="BO287" s="214"/>
      <c r="BP287" s="214"/>
      <c r="BQ287" s="214"/>
      <c r="BR287" s="214"/>
      <c r="BS287" s="214"/>
    </row>
    <row r="288" spans="1:71" s="630" customFormat="1" x14ac:dyDescent="0.25">
      <c r="A288" s="214"/>
      <c r="B288" s="214"/>
      <c r="C288" s="214"/>
      <c r="D288" s="214"/>
      <c r="E288" s="214"/>
      <c r="F288" s="214"/>
      <c r="G288" s="214"/>
      <c r="H288" s="214"/>
      <c r="I288" s="214"/>
      <c r="J288" s="214"/>
      <c r="K288" s="214"/>
      <c r="L288" s="214"/>
      <c r="M288" s="214"/>
      <c r="N288" s="214"/>
      <c r="O288" s="214"/>
      <c r="P288" s="214"/>
      <c r="Q288" s="657"/>
      <c r="R288" s="214"/>
      <c r="S288" s="214"/>
      <c r="T288" s="214"/>
      <c r="U288" s="214"/>
      <c r="V288" s="214"/>
      <c r="W288" s="214"/>
      <c r="X288" s="214"/>
      <c r="Y288" s="214"/>
      <c r="Z288" s="214"/>
      <c r="AA288" s="214"/>
      <c r="AB288" s="214"/>
      <c r="AC288" s="214"/>
      <c r="AD288" s="214"/>
      <c r="AE288" s="214"/>
      <c r="AF288" s="214"/>
      <c r="AG288" s="657"/>
      <c r="AH288" s="214"/>
      <c r="AI288" s="214"/>
      <c r="AJ288" s="214"/>
      <c r="AK288" s="214"/>
      <c r="AL288" s="214"/>
      <c r="AM288" s="214"/>
      <c r="AN288" s="214"/>
      <c r="AO288" s="214"/>
      <c r="AP288" s="214"/>
      <c r="AQ288" s="214"/>
      <c r="AR288" s="214"/>
      <c r="AS288" s="214"/>
      <c r="AT288" s="214"/>
      <c r="AU288" s="214"/>
      <c r="AV288" s="214"/>
      <c r="AW288" s="214"/>
      <c r="AX288" s="214"/>
      <c r="AY288" s="214"/>
      <c r="AZ288" s="628"/>
      <c r="BA288" s="214"/>
      <c r="BB288" s="214"/>
      <c r="BC288" s="214"/>
      <c r="BD288" s="214"/>
      <c r="BE288" s="214"/>
      <c r="BF288" s="214"/>
      <c r="BG288" s="657"/>
      <c r="BH288" s="214"/>
      <c r="BJ288" s="214"/>
      <c r="BK288" s="214"/>
      <c r="BL288" s="214"/>
      <c r="BM288" s="214"/>
      <c r="BN288" s="214"/>
      <c r="BO288" s="214"/>
      <c r="BP288" s="214"/>
      <c r="BQ288" s="214"/>
      <c r="BR288" s="214"/>
      <c r="BS288" s="214"/>
    </row>
    <row r="289" spans="1:71" s="630" customFormat="1" x14ac:dyDescent="0.25">
      <c r="A289" s="214"/>
      <c r="B289" s="214"/>
      <c r="C289" s="214"/>
      <c r="D289" s="214"/>
      <c r="E289" s="214"/>
      <c r="F289" s="214"/>
      <c r="G289" s="214"/>
      <c r="H289" s="214"/>
      <c r="I289" s="214"/>
      <c r="J289" s="214"/>
      <c r="K289" s="214"/>
      <c r="L289" s="214"/>
      <c r="M289" s="214"/>
      <c r="N289" s="214"/>
      <c r="O289" s="214"/>
      <c r="P289" s="214"/>
      <c r="Q289" s="657"/>
      <c r="R289" s="214"/>
      <c r="S289" s="214"/>
      <c r="T289" s="214"/>
      <c r="U289" s="214"/>
      <c r="V289" s="214"/>
      <c r="W289" s="214"/>
      <c r="X289" s="214"/>
      <c r="Y289" s="214"/>
      <c r="Z289" s="214"/>
      <c r="AA289" s="214"/>
      <c r="AB289" s="214"/>
      <c r="AC289" s="214"/>
      <c r="AD289" s="214"/>
      <c r="AE289" s="214"/>
      <c r="AF289" s="214"/>
      <c r="AG289" s="657"/>
      <c r="AH289" s="214"/>
      <c r="AI289" s="214"/>
      <c r="AJ289" s="214"/>
      <c r="AK289" s="214"/>
      <c r="AL289" s="214"/>
      <c r="AM289" s="214"/>
      <c r="AN289" s="214"/>
      <c r="AO289" s="214"/>
      <c r="AP289" s="214"/>
      <c r="AQ289" s="214"/>
      <c r="AR289" s="214"/>
      <c r="AS289" s="214"/>
      <c r="AT289" s="214"/>
      <c r="AU289" s="214"/>
      <c r="AV289" s="214"/>
      <c r="AW289" s="214"/>
      <c r="AX289" s="214"/>
      <c r="AY289" s="214"/>
      <c r="AZ289" s="628"/>
      <c r="BA289" s="214"/>
      <c r="BB289" s="214"/>
      <c r="BC289" s="214"/>
      <c r="BD289" s="214"/>
      <c r="BE289" s="214"/>
      <c r="BF289" s="214"/>
      <c r="BG289" s="657"/>
      <c r="BH289" s="214"/>
      <c r="BJ289" s="214"/>
      <c r="BK289" s="214"/>
      <c r="BL289" s="214"/>
      <c r="BM289" s="214"/>
      <c r="BN289" s="214"/>
      <c r="BO289" s="214"/>
      <c r="BP289" s="214"/>
      <c r="BQ289" s="214"/>
      <c r="BR289" s="214"/>
      <c r="BS289" s="214"/>
    </row>
    <row r="290" spans="1:71" s="630" customFormat="1" x14ac:dyDescent="0.25">
      <c r="A290" s="214"/>
      <c r="B290" s="214"/>
      <c r="C290" s="214"/>
      <c r="D290" s="214"/>
      <c r="E290" s="214"/>
      <c r="F290" s="214"/>
      <c r="G290" s="214"/>
      <c r="H290" s="214"/>
      <c r="I290" s="214"/>
      <c r="J290" s="214"/>
      <c r="K290" s="214"/>
      <c r="L290" s="214"/>
      <c r="M290" s="214"/>
      <c r="N290" s="214"/>
      <c r="O290" s="214"/>
      <c r="P290" s="214"/>
      <c r="Q290" s="657"/>
      <c r="R290" s="214"/>
      <c r="S290" s="214"/>
      <c r="T290" s="214"/>
      <c r="U290" s="214"/>
      <c r="V290" s="214"/>
      <c r="W290" s="214"/>
      <c r="X290" s="214"/>
      <c r="Y290" s="214"/>
      <c r="Z290" s="214"/>
      <c r="AA290" s="214"/>
      <c r="AB290" s="214"/>
      <c r="AC290" s="214"/>
      <c r="AD290" s="214"/>
      <c r="AE290" s="214"/>
      <c r="AF290" s="214"/>
      <c r="AG290" s="657"/>
      <c r="AH290" s="214"/>
      <c r="AI290" s="214"/>
      <c r="AJ290" s="214"/>
      <c r="AK290" s="214"/>
      <c r="AL290" s="214"/>
      <c r="AM290" s="214"/>
      <c r="AN290" s="214"/>
      <c r="AO290" s="214"/>
      <c r="AP290" s="214"/>
      <c r="AQ290" s="214"/>
      <c r="AR290" s="214"/>
      <c r="AS290" s="214"/>
      <c r="AT290" s="214"/>
      <c r="AU290" s="214"/>
      <c r="AV290" s="214"/>
      <c r="AW290" s="214"/>
      <c r="AX290" s="214"/>
      <c r="AY290" s="214"/>
      <c r="AZ290" s="628"/>
      <c r="BA290" s="214"/>
      <c r="BB290" s="214"/>
      <c r="BC290" s="214"/>
      <c r="BD290" s="214"/>
      <c r="BE290" s="214"/>
      <c r="BF290" s="214"/>
      <c r="BG290" s="657"/>
      <c r="BH290" s="214"/>
      <c r="BJ290" s="214"/>
      <c r="BK290" s="214"/>
      <c r="BL290" s="214"/>
      <c r="BM290" s="214"/>
      <c r="BN290" s="214"/>
      <c r="BO290" s="214"/>
      <c r="BP290" s="214"/>
      <c r="BQ290" s="214"/>
      <c r="BR290" s="214"/>
      <c r="BS290" s="214"/>
    </row>
    <row r="291" spans="1:71" s="630" customFormat="1" x14ac:dyDescent="0.25">
      <c r="A291" s="214"/>
      <c r="B291" s="214"/>
      <c r="C291" s="214"/>
      <c r="D291" s="214"/>
      <c r="E291" s="214"/>
      <c r="F291" s="214"/>
      <c r="G291" s="214"/>
      <c r="H291" s="214"/>
      <c r="I291" s="214"/>
      <c r="J291" s="214"/>
      <c r="K291" s="214"/>
      <c r="L291" s="214"/>
      <c r="M291" s="214"/>
      <c r="N291" s="214"/>
      <c r="O291" s="214"/>
      <c r="P291" s="214"/>
      <c r="Q291" s="657"/>
      <c r="R291" s="214"/>
      <c r="S291" s="214"/>
      <c r="T291" s="214"/>
      <c r="U291" s="214"/>
      <c r="V291" s="214"/>
      <c r="W291" s="214"/>
      <c r="X291" s="214"/>
      <c r="Y291" s="214"/>
      <c r="Z291" s="214"/>
      <c r="AA291" s="214"/>
      <c r="AB291" s="214"/>
      <c r="AC291" s="214"/>
      <c r="AD291" s="214"/>
      <c r="AE291" s="214"/>
      <c r="AF291" s="214"/>
      <c r="AG291" s="657"/>
      <c r="AH291" s="214"/>
      <c r="AI291" s="214"/>
      <c r="AJ291" s="214"/>
      <c r="AK291" s="214"/>
      <c r="AL291" s="214"/>
      <c r="AM291" s="214"/>
      <c r="AN291" s="214"/>
      <c r="AO291" s="214"/>
      <c r="AP291" s="214"/>
      <c r="AQ291" s="214"/>
      <c r="AR291" s="214"/>
      <c r="AS291" s="214"/>
      <c r="AT291" s="214"/>
      <c r="AU291" s="214"/>
      <c r="AV291" s="214"/>
      <c r="AW291" s="214"/>
      <c r="AX291" s="214"/>
      <c r="AY291" s="214"/>
      <c r="AZ291" s="628"/>
      <c r="BA291" s="214"/>
      <c r="BB291" s="214"/>
      <c r="BC291" s="214"/>
      <c r="BD291" s="214"/>
      <c r="BE291" s="214"/>
      <c r="BF291" s="214"/>
      <c r="BG291" s="657"/>
      <c r="BH291" s="214"/>
      <c r="BJ291" s="214"/>
      <c r="BK291" s="214"/>
      <c r="BL291" s="214"/>
      <c r="BM291" s="214"/>
      <c r="BN291" s="214"/>
      <c r="BO291" s="214"/>
      <c r="BP291" s="214"/>
      <c r="BQ291" s="214"/>
      <c r="BR291" s="214"/>
      <c r="BS291" s="214"/>
    </row>
    <row r="292" spans="1:71" s="630" customFormat="1" x14ac:dyDescent="0.25">
      <c r="A292" s="214"/>
      <c r="B292" s="214"/>
      <c r="C292" s="214"/>
      <c r="D292" s="214"/>
      <c r="E292" s="214"/>
      <c r="F292" s="214"/>
      <c r="G292" s="214"/>
      <c r="H292" s="214"/>
      <c r="I292" s="214"/>
      <c r="J292" s="214"/>
      <c r="K292" s="214"/>
      <c r="L292" s="214"/>
      <c r="M292" s="214"/>
      <c r="N292" s="214"/>
      <c r="O292" s="214"/>
      <c r="P292" s="214"/>
      <c r="Q292" s="657"/>
      <c r="R292" s="214"/>
      <c r="S292" s="214"/>
      <c r="T292" s="214"/>
      <c r="U292" s="214"/>
      <c r="V292" s="214"/>
      <c r="W292" s="214"/>
      <c r="X292" s="214"/>
      <c r="Y292" s="214"/>
      <c r="Z292" s="214"/>
      <c r="AA292" s="214"/>
      <c r="AB292" s="214"/>
      <c r="AC292" s="214"/>
      <c r="AD292" s="214"/>
      <c r="AE292" s="214"/>
      <c r="AF292" s="214"/>
      <c r="AG292" s="657"/>
      <c r="AH292" s="214"/>
      <c r="AI292" s="214"/>
      <c r="AJ292" s="214"/>
      <c r="AK292" s="214"/>
      <c r="AL292" s="214"/>
      <c r="AM292" s="214"/>
      <c r="AN292" s="214"/>
      <c r="AO292" s="214"/>
      <c r="AP292" s="214"/>
      <c r="AQ292" s="214"/>
      <c r="AR292" s="214"/>
      <c r="AS292" s="214"/>
      <c r="AT292" s="214"/>
      <c r="AU292" s="214"/>
      <c r="AV292" s="214"/>
      <c r="AW292" s="214"/>
      <c r="AX292" s="214"/>
      <c r="AY292" s="214"/>
      <c r="AZ292" s="628"/>
      <c r="BA292" s="214"/>
      <c r="BB292" s="214"/>
      <c r="BC292" s="214"/>
      <c r="BD292" s="214"/>
      <c r="BE292" s="214"/>
      <c r="BF292" s="214"/>
      <c r="BG292" s="657"/>
      <c r="BH292" s="214"/>
      <c r="BJ292" s="214"/>
      <c r="BK292" s="214"/>
      <c r="BL292" s="214"/>
      <c r="BM292" s="214"/>
      <c r="BN292" s="214"/>
      <c r="BO292" s="214"/>
      <c r="BP292" s="214"/>
      <c r="BQ292" s="214"/>
      <c r="BR292" s="214"/>
      <c r="BS292" s="214"/>
    </row>
    <row r="293" spans="1:71" s="630" customFormat="1" x14ac:dyDescent="0.25">
      <c r="A293" s="214"/>
      <c r="B293" s="214"/>
      <c r="C293" s="214"/>
      <c r="D293" s="214"/>
      <c r="E293" s="214"/>
      <c r="F293" s="214"/>
      <c r="G293" s="214"/>
      <c r="H293" s="214"/>
      <c r="I293" s="214"/>
      <c r="J293" s="214"/>
      <c r="K293" s="214"/>
      <c r="L293" s="214"/>
      <c r="M293" s="214"/>
      <c r="N293" s="214"/>
      <c r="O293" s="214"/>
      <c r="P293" s="214"/>
      <c r="Q293" s="657"/>
      <c r="R293" s="214"/>
      <c r="S293" s="214"/>
      <c r="T293" s="214"/>
      <c r="U293" s="214"/>
      <c r="V293" s="214"/>
      <c r="W293" s="214"/>
      <c r="X293" s="214"/>
      <c r="Y293" s="214"/>
      <c r="Z293" s="214"/>
      <c r="AA293" s="214"/>
      <c r="AB293" s="214"/>
      <c r="AC293" s="214"/>
      <c r="AD293" s="214"/>
      <c r="AE293" s="214"/>
      <c r="AF293" s="214"/>
      <c r="AG293" s="657"/>
      <c r="AH293" s="214"/>
      <c r="AI293" s="214"/>
      <c r="AJ293" s="214"/>
      <c r="AK293" s="214"/>
      <c r="AL293" s="214"/>
      <c r="AM293" s="214"/>
      <c r="AN293" s="214"/>
      <c r="AO293" s="214"/>
      <c r="AP293" s="214"/>
      <c r="AQ293" s="214"/>
      <c r="AR293" s="214"/>
      <c r="AS293" s="214"/>
      <c r="AT293" s="214"/>
      <c r="AU293" s="214"/>
      <c r="AV293" s="214"/>
      <c r="AW293" s="214"/>
      <c r="AX293" s="214"/>
      <c r="AY293" s="214"/>
      <c r="AZ293" s="628"/>
      <c r="BA293" s="214"/>
      <c r="BB293" s="214"/>
      <c r="BC293" s="214"/>
      <c r="BD293" s="214"/>
      <c r="BE293" s="214"/>
      <c r="BF293" s="214"/>
      <c r="BG293" s="657"/>
      <c r="BH293" s="214"/>
      <c r="BJ293" s="214"/>
      <c r="BK293" s="214"/>
      <c r="BL293" s="214"/>
      <c r="BM293" s="214"/>
      <c r="BN293" s="214"/>
      <c r="BO293" s="214"/>
      <c r="BP293" s="214"/>
      <c r="BQ293" s="214"/>
      <c r="BR293" s="214"/>
      <c r="BS293" s="214"/>
    </row>
    <row r="294" spans="1:71" s="630" customFormat="1" x14ac:dyDescent="0.25">
      <c r="A294" s="214"/>
      <c r="B294" s="214"/>
      <c r="C294" s="214"/>
      <c r="D294" s="214"/>
      <c r="E294" s="214"/>
      <c r="F294" s="214"/>
      <c r="G294" s="214"/>
      <c r="H294" s="214"/>
      <c r="I294" s="214"/>
      <c r="J294" s="214"/>
      <c r="K294" s="214"/>
      <c r="L294" s="214"/>
      <c r="M294" s="214"/>
      <c r="N294" s="214"/>
      <c r="O294" s="214"/>
      <c r="P294" s="214"/>
      <c r="Q294" s="657"/>
      <c r="R294" s="214"/>
      <c r="S294" s="214"/>
      <c r="T294" s="214"/>
      <c r="U294" s="214"/>
      <c r="V294" s="214"/>
      <c r="W294" s="214"/>
      <c r="X294" s="214"/>
      <c r="Y294" s="214"/>
      <c r="Z294" s="214"/>
      <c r="AA294" s="214"/>
      <c r="AB294" s="214"/>
      <c r="AC294" s="214"/>
      <c r="AD294" s="214"/>
      <c r="AE294" s="214"/>
      <c r="AF294" s="214"/>
      <c r="AG294" s="657"/>
      <c r="AH294" s="214"/>
      <c r="AI294" s="214"/>
      <c r="AJ294" s="214"/>
      <c r="AK294" s="214"/>
      <c r="AL294" s="214"/>
      <c r="AM294" s="214"/>
      <c r="AN294" s="214"/>
      <c r="AO294" s="214"/>
      <c r="AP294" s="214"/>
      <c r="AQ294" s="214"/>
      <c r="AR294" s="214"/>
      <c r="AS294" s="214"/>
      <c r="AT294" s="214"/>
      <c r="AU294" s="214"/>
      <c r="AV294" s="214"/>
      <c r="AW294" s="214"/>
      <c r="AX294" s="214"/>
      <c r="AY294" s="214"/>
      <c r="AZ294" s="628"/>
      <c r="BA294" s="214"/>
      <c r="BB294" s="214"/>
      <c r="BC294" s="214"/>
      <c r="BD294" s="214"/>
      <c r="BE294" s="214"/>
      <c r="BF294" s="214"/>
      <c r="BG294" s="657"/>
      <c r="BH294" s="214"/>
      <c r="BJ294" s="214"/>
      <c r="BK294" s="214"/>
      <c r="BL294" s="214"/>
      <c r="BM294" s="214"/>
      <c r="BN294" s="214"/>
      <c r="BO294" s="214"/>
      <c r="BP294" s="214"/>
      <c r="BQ294" s="214"/>
      <c r="BR294" s="214"/>
      <c r="BS294" s="214"/>
    </row>
    <row r="295" spans="1:71" s="630" customFormat="1" x14ac:dyDescent="0.25">
      <c r="A295" s="214"/>
      <c r="B295" s="214"/>
      <c r="C295" s="214"/>
      <c r="D295" s="214"/>
      <c r="E295" s="214"/>
      <c r="F295" s="214"/>
      <c r="G295" s="214"/>
      <c r="H295" s="214"/>
      <c r="I295" s="214"/>
      <c r="J295" s="214"/>
      <c r="K295" s="214"/>
      <c r="L295" s="214"/>
      <c r="M295" s="214"/>
      <c r="N295" s="214"/>
      <c r="O295" s="214"/>
      <c r="P295" s="214"/>
      <c r="Q295" s="657"/>
      <c r="R295" s="214"/>
      <c r="S295" s="214"/>
      <c r="T295" s="214"/>
      <c r="U295" s="214"/>
      <c r="V295" s="214"/>
      <c r="W295" s="214"/>
      <c r="X295" s="214"/>
      <c r="Y295" s="214"/>
      <c r="Z295" s="214"/>
      <c r="AA295" s="214"/>
      <c r="AB295" s="214"/>
      <c r="AC295" s="214"/>
      <c r="AD295" s="214"/>
      <c r="AE295" s="214"/>
      <c r="AF295" s="214"/>
      <c r="AG295" s="657"/>
      <c r="AH295" s="214"/>
      <c r="AI295" s="214"/>
      <c r="AJ295" s="214"/>
      <c r="AK295" s="214"/>
      <c r="AL295" s="214"/>
      <c r="AM295" s="214"/>
      <c r="AN295" s="214"/>
      <c r="AO295" s="214"/>
      <c r="AP295" s="214"/>
      <c r="AQ295" s="214"/>
      <c r="AR295" s="214"/>
      <c r="AS295" s="214"/>
      <c r="AT295" s="214"/>
      <c r="AU295" s="214"/>
      <c r="AV295" s="214"/>
      <c r="AW295" s="214"/>
      <c r="AX295" s="214"/>
      <c r="AY295" s="214"/>
      <c r="AZ295" s="628"/>
      <c r="BA295" s="214"/>
      <c r="BB295" s="214"/>
      <c r="BC295" s="214"/>
      <c r="BD295" s="214"/>
      <c r="BE295" s="214"/>
      <c r="BF295" s="214"/>
      <c r="BG295" s="657"/>
      <c r="BH295" s="214"/>
      <c r="BJ295" s="214"/>
      <c r="BK295" s="214"/>
      <c r="BL295" s="214"/>
      <c r="BM295" s="214"/>
      <c r="BN295" s="214"/>
      <c r="BO295" s="214"/>
      <c r="BP295" s="214"/>
      <c r="BQ295" s="214"/>
      <c r="BR295" s="214"/>
      <c r="BS295" s="214"/>
    </row>
    <row r="296" spans="1:71" s="630" customFormat="1" x14ac:dyDescent="0.25">
      <c r="A296" s="214"/>
      <c r="B296" s="214"/>
      <c r="C296" s="214"/>
      <c r="D296" s="214"/>
      <c r="E296" s="214"/>
      <c r="F296" s="214"/>
      <c r="G296" s="214"/>
      <c r="H296" s="214"/>
      <c r="I296" s="214"/>
      <c r="J296" s="214"/>
      <c r="K296" s="214"/>
      <c r="L296" s="214"/>
      <c r="M296" s="214"/>
      <c r="N296" s="214"/>
      <c r="O296" s="214"/>
      <c r="P296" s="214"/>
      <c r="Q296" s="657"/>
      <c r="R296" s="214"/>
      <c r="S296" s="214"/>
      <c r="T296" s="214"/>
      <c r="U296" s="214"/>
      <c r="V296" s="214"/>
      <c r="W296" s="214"/>
      <c r="X296" s="214"/>
      <c r="Y296" s="214"/>
      <c r="Z296" s="214"/>
      <c r="AA296" s="214"/>
      <c r="AB296" s="214"/>
      <c r="AC296" s="214"/>
      <c r="AD296" s="214"/>
      <c r="AE296" s="214"/>
      <c r="AF296" s="214"/>
      <c r="AG296" s="657"/>
      <c r="AH296" s="214"/>
      <c r="AI296" s="214"/>
      <c r="AJ296" s="214"/>
      <c r="AK296" s="214"/>
      <c r="AL296" s="214"/>
      <c r="AM296" s="214"/>
      <c r="AN296" s="214"/>
      <c r="AO296" s="214"/>
      <c r="AP296" s="214"/>
      <c r="AQ296" s="214"/>
      <c r="AR296" s="214"/>
      <c r="AS296" s="214"/>
      <c r="AT296" s="214"/>
      <c r="AU296" s="214"/>
      <c r="AV296" s="214"/>
      <c r="AW296" s="214"/>
      <c r="AX296" s="214"/>
      <c r="AY296" s="214"/>
      <c r="AZ296" s="628"/>
      <c r="BA296" s="214"/>
      <c r="BB296" s="214"/>
      <c r="BC296" s="214"/>
      <c r="BD296" s="214"/>
      <c r="BE296" s="214"/>
      <c r="BF296" s="214"/>
      <c r="BG296" s="657"/>
      <c r="BH296" s="214"/>
      <c r="BJ296" s="214"/>
      <c r="BK296" s="214"/>
      <c r="BL296" s="214"/>
      <c r="BM296" s="214"/>
      <c r="BN296" s="214"/>
      <c r="BO296" s="214"/>
      <c r="BP296" s="214"/>
      <c r="BQ296" s="214"/>
      <c r="BR296" s="214"/>
      <c r="BS296" s="214"/>
    </row>
    <row r="297" spans="1:71" s="630" customFormat="1" x14ac:dyDescent="0.25">
      <c r="A297" s="214"/>
      <c r="B297" s="214"/>
      <c r="C297" s="214"/>
      <c r="D297" s="214"/>
      <c r="E297" s="214"/>
      <c r="F297" s="214"/>
      <c r="G297" s="214"/>
      <c r="H297" s="214"/>
      <c r="I297" s="214"/>
      <c r="J297" s="214"/>
      <c r="K297" s="214"/>
      <c r="L297" s="214"/>
      <c r="M297" s="214"/>
      <c r="N297" s="214"/>
      <c r="O297" s="214"/>
      <c r="P297" s="214"/>
      <c r="Q297" s="657"/>
      <c r="R297" s="214"/>
      <c r="S297" s="214"/>
      <c r="T297" s="214"/>
      <c r="U297" s="214"/>
      <c r="V297" s="214"/>
      <c r="W297" s="214"/>
      <c r="X297" s="214"/>
      <c r="Y297" s="214"/>
      <c r="Z297" s="214"/>
      <c r="AA297" s="214"/>
      <c r="AB297" s="214"/>
      <c r="AC297" s="214"/>
      <c r="AD297" s="214"/>
      <c r="AE297" s="214"/>
      <c r="AF297" s="214"/>
      <c r="AG297" s="657"/>
      <c r="AH297" s="214"/>
      <c r="AI297" s="214"/>
      <c r="AJ297" s="214"/>
      <c r="AK297" s="214"/>
      <c r="AL297" s="214"/>
      <c r="AM297" s="214"/>
      <c r="AN297" s="214"/>
      <c r="AO297" s="214"/>
      <c r="AP297" s="214"/>
      <c r="AQ297" s="214"/>
      <c r="AR297" s="214"/>
      <c r="AS297" s="214"/>
      <c r="AT297" s="214"/>
      <c r="AU297" s="214"/>
      <c r="AV297" s="214"/>
      <c r="AW297" s="214"/>
      <c r="AX297" s="214"/>
      <c r="AY297" s="214"/>
      <c r="AZ297" s="628"/>
      <c r="BA297" s="214"/>
      <c r="BB297" s="214"/>
      <c r="BC297" s="214"/>
      <c r="BD297" s="214"/>
      <c r="BE297" s="214"/>
      <c r="BF297" s="214"/>
      <c r="BG297" s="657"/>
      <c r="BH297" s="214"/>
      <c r="BJ297" s="214"/>
      <c r="BK297" s="214"/>
      <c r="BL297" s="214"/>
      <c r="BM297" s="214"/>
      <c r="BN297" s="214"/>
      <c r="BO297" s="214"/>
      <c r="BP297" s="214"/>
      <c r="BQ297" s="214"/>
      <c r="BR297" s="214"/>
      <c r="BS297" s="214"/>
    </row>
    <row r="298" spans="1:71" s="630" customFormat="1" x14ac:dyDescent="0.25">
      <c r="A298" s="214"/>
      <c r="B298" s="214"/>
      <c r="C298" s="214"/>
      <c r="D298" s="214"/>
      <c r="E298" s="214"/>
      <c r="F298" s="214"/>
      <c r="G298" s="214"/>
      <c r="H298" s="214"/>
      <c r="I298" s="214"/>
      <c r="J298" s="214"/>
      <c r="K298" s="214"/>
      <c r="L298" s="214"/>
      <c r="M298" s="214"/>
      <c r="N298" s="214"/>
      <c r="O298" s="214"/>
      <c r="P298" s="214"/>
      <c r="Q298" s="657"/>
      <c r="R298" s="214"/>
      <c r="S298" s="214"/>
      <c r="T298" s="214"/>
      <c r="U298" s="214"/>
      <c r="V298" s="214"/>
      <c r="W298" s="214"/>
      <c r="X298" s="214"/>
      <c r="Y298" s="214"/>
      <c r="Z298" s="214"/>
      <c r="AA298" s="214"/>
      <c r="AB298" s="214"/>
      <c r="AC298" s="214"/>
      <c r="AD298" s="214"/>
      <c r="AE298" s="214"/>
      <c r="AF298" s="214"/>
      <c r="AG298" s="657"/>
      <c r="AH298" s="214"/>
      <c r="AI298" s="214"/>
      <c r="AJ298" s="214"/>
      <c r="AK298" s="214"/>
      <c r="AL298" s="214"/>
      <c r="AM298" s="214"/>
      <c r="AN298" s="214"/>
      <c r="AO298" s="214"/>
      <c r="AP298" s="214"/>
      <c r="AQ298" s="214"/>
      <c r="AR298" s="214"/>
      <c r="AS298" s="214"/>
      <c r="AT298" s="214"/>
      <c r="AU298" s="214"/>
      <c r="AV298" s="214"/>
      <c r="AW298" s="214"/>
      <c r="AX298" s="214"/>
      <c r="AY298" s="214"/>
      <c r="AZ298" s="628"/>
      <c r="BA298" s="214"/>
      <c r="BB298" s="214"/>
      <c r="BC298" s="214"/>
      <c r="BD298" s="214"/>
      <c r="BE298" s="214"/>
      <c r="BF298" s="214"/>
      <c r="BG298" s="657"/>
      <c r="BH298" s="214"/>
      <c r="BJ298" s="214"/>
      <c r="BK298" s="214"/>
      <c r="BL298" s="214"/>
      <c r="BM298" s="214"/>
      <c r="BN298" s="214"/>
      <c r="BO298" s="214"/>
      <c r="BP298" s="214"/>
      <c r="BQ298" s="214"/>
      <c r="BR298" s="214"/>
      <c r="BS298" s="214"/>
    </row>
    <row r="299" spans="1:71" s="630" customFormat="1" x14ac:dyDescent="0.25">
      <c r="A299" s="214"/>
      <c r="B299" s="214"/>
      <c r="C299" s="214"/>
      <c r="D299" s="214"/>
      <c r="E299" s="214"/>
      <c r="F299" s="214"/>
      <c r="G299" s="214"/>
      <c r="H299" s="214"/>
      <c r="I299" s="214"/>
      <c r="J299" s="214"/>
      <c r="K299" s="214"/>
      <c r="L299" s="214"/>
      <c r="M299" s="214"/>
      <c r="N299" s="214"/>
      <c r="O299" s="214"/>
      <c r="P299" s="214"/>
      <c r="Q299" s="657"/>
      <c r="R299" s="214"/>
      <c r="S299" s="214"/>
      <c r="T299" s="214"/>
      <c r="U299" s="214"/>
      <c r="V299" s="214"/>
      <c r="W299" s="214"/>
      <c r="X299" s="214"/>
      <c r="Y299" s="214"/>
      <c r="Z299" s="214"/>
      <c r="AA299" s="214"/>
      <c r="AB299" s="214"/>
      <c r="AC299" s="214"/>
      <c r="AD299" s="214"/>
      <c r="AE299" s="214"/>
      <c r="AF299" s="214"/>
      <c r="AG299" s="657"/>
      <c r="AH299" s="214"/>
      <c r="AI299" s="214"/>
      <c r="AJ299" s="214"/>
      <c r="AK299" s="214"/>
      <c r="AL299" s="214"/>
      <c r="AM299" s="214"/>
      <c r="AN299" s="214"/>
      <c r="AO299" s="214"/>
      <c r="AP299" s="214"/>
      <c r="AQ299" s="214"/>
      <c r="AR299" s="214"/>
      <c r="AS299" s="214"/>
      <c r="AT299" s="214"/>
      <c r="AU299" s="214"/>
      <c r="AV299" s="214"/>
      <c r="AW299" s="214"/>
      <c r="AX299" s="214"/>
      <c r="AY299" s="214"/>
      <c r="AZ299" s="628"/>
      <c r="BA299" s="214"/>
      <c r="BB299" s="214"/>
      <c r="BC299" s="214"/>
      <c r="BD299" s="214"/>
      <c r="BE299" s="214"/>
      <c r="BF299" s="214"/>
      <c r="BG299" s="657"/>
      <c r="BH299" s="214"/>
      <c r="BJ299" s="214"/>
      <c r="BK299" s="214"/>
      <c r="BL299" s="214"/>
      <c r="BM299" s="214"/>
      <c r="BN299" s="214"/>
      <c r="BO299" s="214"/>
      <c r="BP299" s="214"/>
      <c r="BQ299" s="214"/>
      <c r="BR299" s="214"/>
      <c r="BS299" s="214"/>
    </row>
    <row r="300" spans="1:71" s="630" customFormat="1" x14ac:dyDescent="0.25">
      <c r="A300" s="214"/>
      <c r="B300" s="214"/>
      <c r="C300" s="214"/>
      <c r="D300" s="214"/>
      <c r="E300" s="214"/>
      <c r="F300" s="214"/>
      <c r="G300" s="214"/>
      <c r="H300" s="214"/>
      <c r="I300" s="214"/>
      <c r="J300" s="214"/>
      <c r="K300" s="214"/>
      <c r="L300" s="214"/>
      <c r="M300" s="214"/>
      <c r="N300" s="214"/>
      <c r="O300" s="214"/>
      <c r="P300" s="214"/>
      <c r="Q300" s="657"/>
      <c r="R300" s="214"/>
      <c r="S300" s="214"/>
      <c r="T300" s="214"/>
      <c r="U300" s="214"/>
      <c r="V300" s="214"/>
      <c r="W300" s="214"/>
      <c r="X300" s="214"/>
      <c r="Y300" s="214"/>
      <c r="Z300" s="214"/>
      <c r="AA300" s="214"/>
      <c r="AB300" s="214"/>
      <c r="AC300" s="214"/>
      <c r="AD300" s="214"/>
      <c r="AE300" s="214"/>
      <c r="AF300" s="214"/>
      <c r="AG300" s="657"/>
      <c r="AH300" s="214"/>
      <c r="AI300" s="214"/>
      <c r="AJ300" s="214"/>
      <c r="AK300" s="214"/>
      <c r="AL300" s="214"/>
      <c r="AM300" s="214"/>
      <c r="AN300" s="214"/>
      <c r="AO300" s="214"/>
      <c r="AP300" s="214"/>
      <c r="AQ300" s="214"/>
      <c r="AR300" s="214"/>
      <c r="AS300" s="214"/>
      <c r="AT300" s="214"/>
      <c r="AU300" s="214"/>
      <c r="AV300" s="214"/>
      <c r="AW300" s="214"/>
      <c r="AX300" s="214"/>
      <c r="AY300" s="214"/>
      <c r="AZ300" s="628"/>
      <c r="BA300" s="214"/>
      <c r="BB300" s="214"/>
      <c r="BC300" s="214"/>
      <c r="BD300" s="214"/>
      <c r="BE300" s="214"/>
      <c r="BF300" s="214"/>
      <c r="BG300" s="657"/>
      <c r="BH300" s="214"/>
      <c r="BJ300" s="214"/>
      <c r="BK300" s="214"/>
      <c r="BL300" s="214"/>
      <c r="BM300" s="214"/>
      <c r="BN300" s="214"/>
      <c r="BO300" s="214"/>
      <c r="BP300" s="214"/>
      <c r="BQ300" s="214"/>
      <c r="BR300" s="214"/>
      <c r="BS300" s="214"/>
    </row>
    <row r="301" spans="1:71" s="630" customFormat="1" x14ac:dyDescent="0.25">
      <c r="A301" s="214"/>
      <c r="B301" s="214"/>
      <c r="C301" s="214"/>
      <c r="D301" s="214"/>
      <c r="E301" s="214"/>
      <c r="F301" s="214"/>
      <c r="G301" s="214"/>
      <c r="H301" s="214"/>
      <c r="I301" s="214"/>
      <c r="J301" s="214"/>
      <c r="K301" s="214"/>
      <c r="L301" s="214"/>
      <c r="M301" s="214"/>
      <c r="N301" s="214"/>
      <c r="O301" s="214"/>
      <c r="P301" s="214"/>
      <c r="Q301" s="657"/>
      <c r="R301" s="214"/>
      <c r="S301" s="214"/>
      <c r="T301" s="214"/>
      <c r="U301" s="214"/>
      <c r="V301" s="214"/>
      <c r="W301" s="214"/>
      <c r="X301" s="214"/>
      <c r="Y301" s="214"/>
      <c r="Z301" s="214"/>
      <c r="AA301" s="214"/>
      <c r="AB301" s="214"/>
      <c r="AC301" s="214"/>
      <c r="AD301" s="214"/>
      <c r="AE301" s="214"/>
      <c r="AF301" s="214"/>
      <c r="AG301" s="657"/>
      <c r="AH301" s="214"/>
      <c r="AI301" s="214"/>
      <c r="AJ301" s="214"/>
      <c r="AK301" s="214"/>
      <c r="AL301" s="214"/>
      <c r="AM301" s="214"/>
      <c r="AN301" s="214"/>
      <c r="AO301" s="214"/>
      <c r="AP301" s="214"/>
      <c r="AQ301" s="214"/>
      <c r="AR301" s="214"/>
      <c r="AS301" s="214"/>
      <c r="AT301" s="214"/>
      <c r="AU301" s="214"/>
      <c r="AV301" s="214"/>
      <c r="AW301" s="214"/>
      <c r="AX301" s="214"/>
      <c r="AY301" s="214"/>
      <c r="AZ301" s="628"/>
      <c r="BA301" s="214"/>
      <c r="BB301" s="214"/>
      <c r="BC301" s="214"/>
      <c r="BD301" s="214"/>
      <c r="BE301" s="214"/>
      <c r="BF301" s="214"/>
      <c r="BG301" s="657"/>
      <c r="BH301" s="214"/>
      <c r="BJ301" s="214"/>
      <c r="BK301" s="214"/>
      <c r="BL301" s="214"/>
      <c r="BM301" s="214"/>
      <c r="BN301" s="214"/>
      <c r="BO301" s="214"/>
      <c r="BP301" s="214"/>
      <c r="BQ301" s="214"/>
      <c r="BR301" s="214"/>
      <c r="BS301" s="214"/>
    </row>
    <row r="302" spans="1:71" s="630" customFormat="1" x14ac:dyDescent="0.25">
      <c r="A302" s="214"/>
      <c r="B302" s="214"/>
      <c r="C302" s="214"/>
      <c r="D302" s="214"/>
      <c r="E302" s="214"/>
      <c r="F302" s="214"/>
      <c r="G302" s="214"/>
      <c r="H302" s="214"/>
      <c r="I302" s="214"/>
      <c r="J302" s="214"/>
      <c r="K302" s="214"/>
      <c r="L302" s="214"/>
      <c r="M302" s="214"/>
      <c r="N302" s="214"/>
      <c r="O302" s="214"/>
      <c r="P302" s="214"/>
      <c r="Q302" s="657"/>
      <c r="R302" s="214"/>
      <c r="S302" s="214"/>
      <c r="T302" s="214"/>
      <c r="U302" s="214"/>
      <c r="V302" s="214"/>
      <c r="W302" s="214"/>
      <c r="X302" s="214"/>
      <c r="Y302" s="214"/>
      <c r="Z302" s="214"/>
      <c r="AA302" s="214"/>
      <c r="AB302" s="214"/>
      <c r="AC302" s="214"/>
      <c r="AD302" s="214"/>
      <c r="AE302" s="214"/>
      <c r="AF302" s="214"/>
      <c r="AG302" s="657"/>
      <c r="AH302" s="214"/>
      <c r="AI302" s="214"/>
      <c r="AJ302" s="214"/>
      <c r="AK302" s="214"/>
      <c r="AL302" s="214"/>
      <c r="AM302" s="214"/>
      <c r="AN302" s="214"/>
      <c r="AO302" s="214"/>
      <c r="AP302" s="214"/>
      <c r="AQ302" s="214"/>
      <c r="AR302" s="214"/>
      <c r="AS302" s="214"/>
      <c r="AT302" s="214"/>
      <c r="AU302" s="214"/>
      <c r="AV302" s="214"/>
      <c r="AW302" s="214"/>
      <c r="AX302" s="214"/>
      <c r="AY302" s="214"/>
      <c r="AZ302" s="628"/>
      <c r="BA302" s="214"/>
      <c r="BB302" s="214"/>
      <c r="BC302" s="214"/>
      <c r="BD302" s="214"/>
      <c r="BE302" s="214"/>
      <c r="BF302" s="214"/>
      <c r="BG302" s="657"/>
      <c r="BH302" s="214"/>
      <c r="BJ302" s="214"/>
      <c r="BK302" s="214"/>
      <c r="BL302" s="214"/>
      <c r="BM302" s="214"/>
      <c r="BN302" s="214"/>
      <c r="BO302" s="214"/>
      <c r="BP302" s="214"/>
      <c r="BQ302" s="214"/>
      <c r="BR302" s="214"/>
      <c r="BS302" s="214"/>
    </row>
    <row r="303" spans="1:71" s="630" customFormat="1" x14ac:dyDescent="0.25">
      <c r="A303" s="214"/>
      <c r="B303" s="214"/>
      <c r="C303" s="214"/>
      <c r="D303" s="214"/>
      <c r="E303" s="214"/>
      <c r="F303" s="214"/>
      <c r="G303" s="214"/>
      <c r="H303" s="214"/>
      <c r="I303" s="214"/>
      <c r="J303" s="214"/>
      <c r="K303" s="214"/>
      <c r="L303" s="214"/>
      <c r="M303" s="214"/>
      <c r="N303" s="214"/>
      <c r="O303" s="214"/>
      <c r="P303" s="214"/>
      <c r="Q303" s="657"/>
      <c r="R303" s="214"/>
      <c r="S303" s="214"/>
      <c r="T303" s="214"/>
      <c r="U303" s="214"/>
      <c r="V303" s="214"/>
      <c r="W303" s="214"/>
      <c r="X303" s="214"/>
      <c r="Y303" s="214"/>
      <c r="Z303" s="214"/>
      <c r="AA303" s="214"/>
      <c r="AB303" s="214"/>
      <c r="AC303" s="214"/>
      <c r="AD303" s="214"/>
      <c r="AE303" s="214"/>
      <c r="AF303" s="214"/>
      <c r="AG303" s="657"/>
      <c r="AH303" s="214"/>
      <c r="AI303" s="214"/>
      <c r="AJ303" s="214"/>
      <c r="AK303" s="214"/>
      <c r="AL303" s="214"/>
      <c r="AM303" s="214"/>
      <c r="AN303" s="214"/>
      <c r="AO303" s="214"/>
      <c r="AP303" s="214"/>
      <c r="AQ303" s="214"/>
      <c r="AR303" s="214"/>
      <c r="AS303" s="214"/>
      <c r="AT303" s="214"/>
      <c r="AU303" s="214"/>
      <c r="AV303" s="214"/>
      <c r="AW303" s="214"/>
      <c r="AX303" s="214"/>
      <c r="AY303" s="214"/>
      <c r="AZ303" s="628"/>
      <c r="BA303" s="214"/>
      <c r="BB303" s="214"/>
      <c r="BC303" s="214"/>
      <c r="BD303" s="214"/>
      <c r="BE303" s="214"/>
      <c r="BF303" s="214"/>
      <c r="BG303" s="657"/>
      <c r="BH303" s="214"/>
      <c r="BJ303" s="214"/>
      <c r="BK303" s="214"/>
      <c r="BL303" s="214"/>
      <c r="BM303" s="214"/>
      <c r="BN303" s="214"/>
      <c r="BO303" s="214"/>
      <c r="BP303" s="214"/>
      <c r="BQ303" s="214"/>
      <c r="BR303" s="214"/>
      <c r="BS303" s="214"/>
    </row>
    <row r="304" spans="1:71" s="630" customFormat="1" x14ac:dyDescent="0.25">
      <c r="A304" s="214"/>
      <c r="B304" s="214"/>
      <c r="C304" s="214"/>
      <c r="D304" s="214"/>
      <c r="E304" s="214"/>
      <c r="F304" s="214"/>
      <c r="G304" s="214"/>
      <c r="H304" s="214"/>
      <c r="I304" s="214"/>
      <c r="J304" s="214"/>
      <c r="K304" s="214"/>
      <c r="L304" s="214"/>
      <c r="M304" s="214"/>
      <c r="N304" s="214"/>
      <c r="O304" s="214"/>
      <c r="P304" s="214"/>
      <c r="Q304" s="657"/>
      <c r="R304" s="214"/>
      <c r="S304" s="214"/>
      <c r="T304" s="214"/>
      <c r="U304" s="214"/>
      <c r="V304" s="214"/>
      <c r="W304" s="214"/>
      <c r="X304" s="214"/>
      <c r="Y304" s="214"/>
      <c r="Z304" s="214"/>
      <c r="AA304" s="214"/>
      <c r="AB304" s="214"/>
      <c r="AC304" s="214"/>
      <c r="AD304" s="214"/>
      <c r="AE304" s="214"/>
      <c r="AF304" s="214"/>
      <c r="AG304" s="657"/>
      <c r="AH304" s="214"/>
      <c r="AI304" s="214"/>
      <c r="AJ304" s="214"/>
      <c r="AK304" s="214"/>
      <c r="AL304" s="214"/>
      <c r="AM304" s="214"/>
      <c r="AN304" s="214"/>
      <c r="AO304" s="214"/>
      <c r="AP304" s="214"/>
      <c r="AQ304" s="214"/>
      <c r="AR304" s="214"/>
      <c r="AS304" s="214"/>
      <c r="AT304" s="214"/>
      <c r="AU304" s="214"/>
      <c r="AV304" s="214"/>
      <c r="AW304" s="214"/>
      <c r="AX304" s="214"/>
      <c r="AY304" s="214"/>
      <c r="AZ304" s="628"/>
      <c r="BA304" s="214"/>
      <c r="BB304" s="214"/>
      <c r="BC304" s="214"/>
      <c r="BD304" s="214"/>
      <c r="BE304" s="214"/>
      <c r="BF304" s="214"/>
      <c r="BG304" s="657"/>
      <c r="BH304" s="214"/>
      <c r="BJ304" s="214"/>
      <c r="BK304" s="214"/>
      <c r="BL304" s="214"/>
      <c r="BM304" s="214"/>
      <c r="BN304" s="214"/>
      <c r="BO304" s="214"/>
      <c r="BP304" s="214"/>
      <c r="BQ304" s="214"/>
      <c r="BR304" s="214"/>
      <c r="BS304" s="214"/>
    </row>
    <row r="305" spans="1:71" s="630" customFormat="1" x14ac:dyDescent="0.25">
      <c r="A305" s="214"/>
      <c r="B305" s="214"/>
      <c r="C305" s="214"/>
      <c r="D305" s="214"/>
      <c r="E305" s="214"/>
      <c r="F305" s="214"/>
      <c r="G305" s="214"/>
      <c r="H305" s="214"/>
      <c r="I305" s="214"/>
      <c r="J305" s="214"/>
      <c r="K305" s="214"/>
      <c r="L305" s="214"/>
      <c r="M305" s="214"/>
      <c r="N305" s="214"/>
      <c r="O305" s="214"/>
      <c r="P305" s="214"/>
      <c r="Q305" s="657"/>
      <c r="R305" s="214"/>
      <c r="S305" s="214"/>
      <c r="T305" s="214"/>
      <c r="U305" s="214"/>
      <c r="V305" s="214"/>
      <c r="W305" s="214"/>
      <c r="X305" s="214"/>
      <c r="Y305" s="214"/>
      <c r="Z305" s="214"/>
      <c r="AA305" s="214"/>
      <c r="AB305" s="214"/>
      <c r="AC305" s="214"/>
      <c r="AD305" s="214"/>
      <c r="AE305" s="214"/>
      <c r="AF305" s="214"/>
      <c r="AG305" s="657"/>
      <c r="AH305" s="214"/>
      <c r="AI305" s="214"/>
      <c r="AJ305" s="214"/>
      <c r="AK305" s="214"/>
      <c r="AL305" s="214"/>
      <c r="AM305" s="214"/>
      <c r="AN305" s="214"/>
      <c r="AO305" s="214"/>
      <c r="AP305" s="214"/>
      <c r="AQ305" s="214"/>
      <c r="AR305" s="214"/>
      <c r="AS305" s="214"/>
      <c r="AT305" s="214"/>
      <c r="AU305" s="214"/>
      <c r="AV305" s="214"/>
      <c r="AW305" s="214"/>
      <c r="AX305" s="214"/>
      <c r="AY305" s="214"/>
      <c r="AZ305" s="628"/>
      <c r="BA305" s="214"/>
      <c r="BB305" s="214"/>
      <c r="BC305" s="214"/>
      <c r="BD305" s="214"/>
      <c r="BE305" s="214"/>
      <c r="BF305" s="214"/>
      <c r="BG305" s="657"/>
      <c r="BH305" s="214"/>
      <c r="BJ305" s="214"/>
      <c r="BK305" s="214"/>
      <c r="BL305" s="214"/>
      <c r="BM305" s="214"/>
      <c r="BN305" s="214"/>
      <c r="BO305" s="214"/>
      <c r="BP305" s="214"/>
      <c r="BQ305" s="214"/>
      <c r="BR305" s="214"/>
      <c r="BS305" s="214"/>
    </row>
    <row r="306" spans="1:71" s="630" customFormat="1" x14ac:dyDescent="0.25">
      <c r="A306" s="214"/>
      <c r="B306" s="214"/>
      <c r="C306" s="214"/>
      <c r="D306" s="214"/>
      <c r="E306" s="214"/>
      <c r="F306" s="214"/>
      <c r="G306" s="214"/>
      <c r="H306" s="214"/>
      <c r="I306" s="214"/>
      <c r="J306" s="214"/>
      <c r="K306" s="214"/>
      <c r="L306" s="214"/>
      <c r="M306" s="214"/>
      <c r="N306" s="214"/>
      <c r="O306" s="214"/>
      <c r="P306" s="214"/>
      <c r="Q306" s="657"/>
      <c r="R306" s="214"/>
      <c r="S306" s="214"/>
      <c r="T306" s="214"/>
      <c r="U306" s="214"/>
      <c r="V306" s="214"/>
      <c r="W306" s="214"/>
      <c r="X306" s="214"/>
      <c r="Y306" s="214"/>
      <c r="Z306" s="214"/>
      <c r="AA306" s="214"/>
      <c r="AB306" s="214"/>
      <c r="AC306" s="214"/>
      <c r="AD306" s="214"/>
      <c r="AE306" s="214"/>
      <c r="AF306" s="214"/>
      <c r="AG306" s="657"/>
      <c r="AH306" s="214"/>
      <c r="AI306" s="214"/>
      <c r="AJ306" s="214"/>
      <c r="AK306" s="214"/>
      <c r="AL306" s="214"/>
      <c r="AM306" s="214"/>
      <c r="AN306" s="214"/>
      <c r="AO306" s="214"/>
      <c r="AP306" s="214"/>
      <c r="AQ306" s="214"/>
      <c r="AR306" s="214"/>
      <c r="AS306" s="214"/>
      <c r="AT306" s="214"/>
      <c r="AU306" s="214"/>
      <c r="AV306" s="214"/>
      <c r="AW306" s="214"/>
      <c r="AX306" s="214"/>
      <c r="AY306" s="214"/>
      <c r="AZ306" s="628"/>
      <c r="BA306" s="214"/>
      <c r="BB306" s="214"/>
      <c r="BC306" s="214"/>
      <c r="BD306" s="214"/>
      <c r="BE306" s="214"/>
      <c r="BF306" s="214"/>
      <c r="BG306" s="657"/>
      <c r="BH306" s="214"/>
      <c r="BJ306" s="214"/>
      <c r="BK306" s="214"/>
      <c r="BL306" s="214"/>
      <c r="BM306" s="214"/>
      <c r="BN306" s="214"/>
      <c r="BO306" s="214"/>
      <c r="BP306" s="214"/>
      <c r="BQ306" s="214"/>
      <c r="BR306" s="214"/>
      <c r="BS306" s="214"/>
    </row>
    <row r="307" spans="1:71" s="630" customFormat="1" x14ac:dyDescent="0.25">
      <c r="A307" s="214"/>
      <c r="B307" s="214"/>
      <c r="C307" s="214"/>
      <c r="D307" s="214"/>
      <c r="E307" s="214"/>
      <c r="F307" s="214"/>
      <c r="G307" s="214"/>
      <c r="H307" s="214"/>
      <c r="I307" s="214"/>
      <c r="J307" s="214"/>
      <c r="K307" s="214"/>
      <c r="L307" s="214"/>
      <c r="M307" s="214"/>
      <c r="N307" s="214"/>
      <c r="O307" s="214"/>
      <c r="P307" s="214"/>
      <c r="Q307" s="657"/>
      <c r="R307" s="214"/>
      <c r="S307" s="214"/>
      <c r="T307" s="214"/>
      <c r="U307" s="214"/>
      <c r="V307" s="214"/>
      <c r="W307" s="214"/>
      <c r="X307" s="214"/>
      <c r="Y307" s="214"/>
      <c r="Z307" s="214"/>
      <c r="AA307" s="214"/>
      <c r="AB307" s="214"/>
      <c r="AC307" s="214"/>
      <c r="AD307" s="214"/>
      <c r="AE307" s="214"/>
      <c r="AF307" s="214"/>
      <c r="AG307" s="657"/>
      <c r="AH307" s="214"/>
      <c r="AI307" s="214"/>
      <c r="AJ307" s="214"/>
      <c r="AK307" s="214"/>
      <c r="AL307" s="214"/>
      <c r="AM307" s="214"/>
      <c r="AN307" s="214"/>
      <c r="AO307" s="214"/>
      <c r="AP307" s="214"/>
      <c r="AQ307" s="214"/>
      <c r="AR307" s="214"/>
      <c r="AS307" s="214"/>
      <c r="AT307" s="214"/>
      <c r="AU307" s="214"/>
      <c r="AV307" s="214"/>
      <c r="AW307" s="214"/>
      <c r="AX307" s="214"/>
      <c r="AY307" s="214"/>
      <c r="AZ307" s="628"/>
      <c r="BA307" s="214"/>
      <c r="BB307" s="214"/>
      <c r="BC307" s="214"/>
      <c r="BD307" s="214"/>
      <c r="BE307" s="214"/>
      <c r="BF307" s="214"/>
      <c r="BG307" s="657"/>
      <c r="BH307" s="214"/>
      <c r="BJ307" s="214"/>
      <c r="BK307" s="214"/>
      <c r="BL307" s="214"/>
      <c r="BM307" s="214"/>
      <c r="BN307" s="214"/>
      <c r="BO307" s="214"/>
      <c r="BP307" s="214"/>
      <c r="BQ307" s="214"/>
      <c r="BR307" s="214"/>
      <c r="BS307" s="214"/>
    </row>
    <row r="308" spans="1:71" s="630" customFormat="1" x14ac:dyDescent="0.25">
      <c r="A308" s="214"/>
      <c r="B308" s="214"/>
      <c r="C308" s="214"/>
      <c r="D308" s="214"/>
      <c r="E308" s="214"/>
      <c r="F308" s="214"/>
      <c r="G308" s="214"/>
      <c r="H308" s="214"/>
      <c r="I308" s="214"/>
      <c r="J308" s="214"/>
      <c r="K308" s="214"/>
      <c r="L308" s="214"/>
      <c r="M308" s="214"/>
      <c r="N308" s="214"/>
      <c r="O308" s="214"/>
      <c r="P308" s="214"/>
      <c r="Q308" s="657"/>
      <c r="R308" s="214"/>
      <c r="S308" s="214"/>
      <c r="T308" s="214"/>
      <c r="U308" s="214"/>
      <c r="V308" s="214"/>
      <c r="W308" s="214"/>
      <c r="X308" s="214"/>
      <c r="Y308" s="214"/>
      <c r="Z308" s="214"/>
      <c r="AA308" s="214"/>
      <c r="AB308" s="214"/>
      <c r="AC308" s="214"/>
      <c r="AD308" s="214"/>
      <c r="AE308" s="214"/>
      <c r="AF308" s="214"/>
      <c r="AG308" s="657"/>
      <c r="AH308" s="214"/>
      <c r="AI308" s="214"/>
      <c r="AJ308" s="214"/>
      <c r="AK308" s="214"/>
      <c r="AL308" s="214"/>
      <c r="AM308" s="214"/>
      <c r="AN308" s="214"/>
      <c r="AO308" s="214"/>
      <c r="AP308" s="214"/>
      <c r="AQ308" s="214"/>
      <c r="AR308" s="214"/>
      <c r="AS308" s="214"/>
      <c r="AT308" s="214"/>
      <c r="AU308" s="214"/>
      <c r="AV308" s="214"/>
      <c r="AW308" s="214"/>
      <c r="AX308" s="214"/>
      <c r="AY308" s="214"/>
      <c r="AZ308" s="628"/>
      <c r="BA308" s="214"/>
      <c r="BB308" s="214"/>
      <c r="BC308" s="214"/>
      <c r="BD308" s="214"/>
      <c r="BE308" s="214"/>
      <c r="BF308" s="214"/>
      <c r="BG308" s="657"/>
      <c r="BH308" s="214"/>
      <c r="BJ308" s="214"/>
      <c r="BK308" s="214"/>
      <c r="BL308" s="214"/>
      <c r="BM308" s="214"/>
      <c r="BN308" s="214"/>
      <c r="BO308" s="214"/>
      <c r="BP308" s="214"/>
      <c r="BQ308" s="214"/>
      <c r="BR308" s="214"/>
      <c r="BS308" s="214"/>
    </row>
    <row r="309" spans="1:71" s="630" customFormat="1" x14ac:dyDescent="0.25">
      <c r="A309" s="214"/>
      <c r="B309" s="214"/>
      <c r="C309" s="214"/>
      <c r="D309" s="214"/>
      <c r="E309" s="214"/>
      <c r="F309" s="214"/>
      <c r="G309" s="214"/>
      <c r="H309" s="214"/>
      <c r="I309" s="214"/>
      <c r="J309" s="214"/>
      <c r="K309" s="214"/>
      <c r="L309" s="214"/>
      <c r="M309" s="214"/>
      <c r="N309" s="214"/>
      <c r="O309" s="214"/>
      <c r="P309" s="214"/>
      <c r="Q309" s="657"/>
      <c r="R309" s="214"/>
      <c r="S309" s="214"/>
      <c r="T309" s="214"/>
      <c r="U309" s="214"/>
      <c r="V309" s="214"/>
      <c r="W309" s="214"/>
      <c r="X309" s="214"/>
      <c r="Y309" s="214"/>
      <c r="Z309" s="214"/>
      <c r="AA309" s="214"/>
      <c r="AB309" s="214"/>
      <c r="AC309" s="214"/>
      <c r="AD309" s="214"/>
      <c r="AE309" s="214"/>
      <c r="AF309" s="214"/>
      <c r="AG309" s="657"/>
      <c r="AH309" s="214"/>
      <c r="AI309" s="214"/>
      <c r="AJ309" s="214"/>
      <c r="AK309" s="214"/>
      <c r="AL309" s="214"/>
      <c r="AM309" s="214"/>
      <c r="AN309" s="214"/>
      <c r="AO309" s="214"/>
      <c r="AP309" s="214"/>
      <c r="AQ309" s="214"/>
      <c r="AR309" s="214"/>
      <c r="AS309" s="214"/>
      <c r="AT309" s="214"/>
      <c r="AU309" s="214"/>
      <c r="AV309" s="214"/>
      <c r="AW309" s="214"/>
      <c r="AX309" s="214"/>
      <c r="AY309" s="214"/>
      <c r="AZ309" s="628"/>
      <c r="BA309" s="214"/>
      <c r="BB309" s="214"/>
      <c r="BC309" s="214"/>
      <c r="BD309" s="214"/>
      <c r="BE309" s="214"/>
      <c r="BF309" s="214"/>
      <c r="BG309" s="657"/>
      <c r="BH309" s="214"/>
      <c r="BJ309" s="214"/>
      <c r="BK309" s="214"/>
      <c r="BL309" s="214"/>
      <c r="BM309" s="214"/>
      <c r="BN309" s="214"/>
      <c r="BO309" s="214"/>
      <c r="BP309" s="214"/>
      <c r="BQ309" s="214"/>
      <c r="BR309" s="214"/>
      <c r="BS309" s="214"/>
    </row>
    <row r="310" spans="1:71" s="630" customFormat="1" x14ac:dyDescent="0.25">
      <c r="A310" s="214"/>
      <c r="B310" s="214"/>
      <c r="C310" s="214"/>
      <c r="D310" s="214"/>
      <c r="E310" s="214"/>
      <c r="F310" s="214"/>
      <c r="G310" s="214"/>
      <c r="H310" s="214"/>
      <c r="I310" s="214"/>
      <c r="J310" s="214"/>
      <c r="K310" s="214"/>
      <c r="L310" s="214"/>
      <c r="M310" s="214"/>
      <c r="N310" s="214"/>
      <c r="O310" s="214"/>
      <c r="P310" s="214"/>
      <c r="Q310" s="657"/>
      <c r="R310" s="214"/>
      <c r="S310" s="214"/>
      <c r="T310" s="214"/>
      <c r="U310" s="214"/>
      <c r="V310" s="214"/>
      <c r="W310" s="214"/>
      <c r="X310" s="214"/>
      <c r="Y310" s="214"/>
      <c r="Z310" s="214"/>
      <c r="AA310" s="214"/>
      <c r="AB310" s="214"/>
      <c r="AC310" s="214"/>
      <c r="AD310" s="214"/>
      <c r="AE310" s="214"/>
      <c r="AF310" s="214"/>
      <c r="AG310" s="657"/>
      <c r="AH310" s="214"/>
      <c r="AI310" s="214"/>
      <c r="AJ310" s="214"/>
      <c r="AK310" s="214"/>
      <c r="AL310" s="214"/>
      <c r="AM310" s="214"/>
      <c r="AN310" s="214"/>
      <c r="AO310" s="214"/>
      <c r="AP310" s="214"/>
      <c r="AQ310" s="214"/>
      <c r="AR310" s="214"/>
      <c r="AS310" s="214"/>
      <c r="AT310" s="214"/>
      <c r="AU310" s="214"/>
      <c r="AV310" s="214"/>
      <c r="AW310" s="214"/>
      <c r="AX310" s="214"/>
      <c r="AY310" s="214"/>
      <c r="AZ310" s="628"/>
      <c r="BA310" s="214"/>
      <c r="BB310" s="214"/>
      <c r="BC310" s="214"/>
      <c r="BD310" s="214"/>
      <c r="BE310" s="214"/>
      <c r="BF310" s="214"/>
      <c r="BG310" s="657"/>
      <c r="BH310" s="214"/>
      <c r="BJ310" s="214"/>
      <c r="BK310" s="214"/>
      <c r="BL310" s="214"/>
      <c r="BM310" s="214"/>
      <c r="BN310" s="214"/>
      <c r="BO310" s="214"/>
      <c r="BP310" s="214"/>
      <c r="BQ310" s="214"/>
      <c r="BR310" s="214"/>
      <c r="BS310" s="214"/>
    </row>
    <row r="311" spans="1:71" s="630" customFormat="1" x14ac:dyDescent="0.25">
      <c r="A311" s="214"/>
      <c r="B311" s="214"/>
      <c r="C311" s="214"/>
      <c r="D311" s="214"/>
      <c r="E311" s="214"/>
      <c r="F311" s="214"/>
      <c r="G311" s="214"/>
      <c r="H311" s="214"/>
      <c r="I311" s="214"/>
      <c r="J311" s="214"/>
      <c r="K311" s="214"/>
      <c r="L311" s="214"/>
      <c r="M311" s="214"/>
      <c r="N311" s="214"/>
      <c r="O311" s="214"/>
      <c r="P311" s="214"/>
      <c r="Q311" s="657"/>
      <c r="R311" s="214"/>
      <c r="S311" s="214"/>
      <c r="T311" s="214"/>
      <c r="U311" s="214"/>
      <c r="V311" s="214"/>
      <c r="W311" s="214"/>
      <c r="X311" s="214"/>
      <c r="Y311" s="214"/>
      <c r="Z311" s="214"/>
      <c r="AA311" s="214"/>
      <c r="AB311" s="214"/>
      <c r="AC311" s="214"/>
      <c r="AD311" s="214"/>
      <c r="AE311" s="214"/>
      <c r="AF311" s="214"/>
      <c r="AG311" s="657"/>
      <c r="AH311" s="214"/>
      <c r="AI311" s="214"/>
      <c r="AJ311" s="214"/>
      <c r="AK311" s="214"/>
      <c r="AL311" s="214"/>
      <c r="AM311" s="214"/>
      <c r="AN311" s="214"/>
      <c r="AO311" s="214"/>
      <c r="AP311" s="214"/>
      <c r="AQ311" s="214"/>
      <c r="AR311" s="214"/>
      <c r="AS311" s="214"/>
      <c r="AT311" s="214"/>
      <c r="AU311" s="214"/>
      <c r="AV311" s="214"/>
      <c r="AW311" s="214"/>
      <c r="AX311" s="214"/>
      <c r="AY311" s="214"/>
      <c r="AZ311" s="628"/>
      <c r="BA311" s="214"/>
      <c r="BB311" s="214"/>
      <c r="BC311" s="214"/>
      <c r="BD311" s="214"/>
      <c r="BE311" s="214"/>
      <c r="BF311" s="214"/>
      <c r="BG311" s="657"/>
      <c r="BH311" s="214"/>
      <c r="BJ311" s="214"/>
      <c r="BK311" s="214"/>
      <c r="BL311" s="214"/>
      <c r="BM311" s="214"/>
      <c r="BN311" s="214"/>
      <c r="BO311" s="214"/>
      <c r="BP311" s="214"/>
      <c r="BQ311" s="214"/>
      <c r="BR311" s="214"/>
      <c r="BS311" s="214"/>
    </row>
    <row r="312" spans="1:71" s="630" customFormat="1" x14ac:dyDescent="0.25">
      <c r="A312" s="214"/>
      <c r="B312" s="214"/>
      <c r="C312" s="214"/>
      <c r="D312" s="214"/>
      <c r="E312" s="214"/>
      <c r="F312" s="214"/>
      <c r="G312" s="214"/>
      <c r="H312" s="214"/>
      <c r="I312" s="214"/>
      <c r="J312" s="214"/>
      <c r="K312" s="214"/>
      <c r="L312" s="214"/>
      <c r="M312" s="214"/>
      <c r="N312" s="214"/>
      <c r="O312" s="214"/>
      <c r="P312" s="214"/>
      <c r="Q312" s="657"/>
      <c r="R312" s="214"/>
      <c r="S312" s="214"/>
      <c r="T312" s="214"/>
      <c r="U312" s="214"/>
      <c r="V312" s="214"/>
      <c r="W312" s="214"/>
      <c r="X312" s="214"/>
      <c r="Y312" s="214"/>
      <c r="Z312" s="214"/>
      <c r="AA312" s="214"/>
      <c r="AB312" s="214"/>
      <c r="AC312" s="214"/>
      <c r="AD312" s="214"/>
      <c r="AE312" s="214"/>
      <c r="AF312" s="214"/>
      <c r="AG312" s="657"/>
      <c r="AH312" s="214"/>
      <c r="AI312" s="214"/>
      <c r="AJ312" s="214"/>
      <c r="AK312" s="214"/>
      <c r="AL312" s="214"/>
      <c r="AM312" s="214"/>
      <c r="AN312" s="214"/>
      <c r="AO312" s="214"/>
      <c r="AP312" s="214"/>
      <c r="AQ312" s="214"/>
      <c r="AR312" s="214"/>
      <c r="AS312" s="214"/>
      <c r="AT312" s="214"/>
      <c r="AU312" s="214"/>
      <c r="AV312" s="214"/>
      <c r="AW312" s="214"/>
      <c r="AX312" s="214"/>
      <c r="AY312" s="214"/>
      <c r="AZ312" s="628"/>
      <c r="BA312" s="214"/>
      <c r="BB312" s="214"/>
      <c r="BC312" s="214"/>
      <c r="BD312" s="214"/>
      <c r="BE312" s="214"/>
      <c r="BF312" s="214"/>
      <c r="BG312" s="657"/>
      <c r="BH312" s="214"/>
      <c r="BJ312" s="214"/>
      <c r="BK312" s="214"/>
      <c r="BL312" s="214"/>
      <c r="BM312" s="214"/>
      <c r="BN312" s="214"/>
      <c r="BO312" s="214"/>
      <c r="BP312" s="214"/>
      <c r="BQ312" s="214"/>
      <c r="BR312" s="214"/>
      <c r="BS312" s="214"/>
    </row>
    <row r="313" spans="1:71" s="630" customFormat="1" x14ac:dyDescent="0.25">
      <c r="A313" s="214"/>
      <c r="B313" s="214"/>
      <c r="C313" s="214"/>
      <c r="D313" s="214"/>
      <c r="E313" s="214"/>
      <c r="F313" s="214"/>
      <c r="G313" s="214"/>
      <c r="H313" s="214"/>
      <c r="I313" s="214"/>
      <c r="J313" s="214"/>
      <c r="K313" s="214"/>
      <c r="L313" s="214"/>
      <c r="M313" s="214"/>
      <c r="N313" s="214"/>
      <c r="O313" s="214"/>
      <c r="P313" s="214"/>
      <c r="Q313" s="657"/>
      <c r="R313" s="214"/>
      <c r="S313" s="214"/>
      <c r="T313" s="214"/>
      <c r="U313" s="214"/>
      <c r="V313" s="214"/>
      <c r="W313" s="214"/>
      <c r="X313" s="214"/>
      <c r="Y313" s="214"/>
      <c r="Z313" s="214"/>
      <c r="AA313" s="214"/>
      <c r="AB313" s="214"/>
      <c r="AC313" s="214"/>
      <c r="AD313" s="214"/>
      <c r="AE313" s="214"/>
      <c r="AF313" s="214"/>
      <c r="AG313" s="657"/>
      <c r="AH313" s="214"/>
      <c r="AI313" s="214"/>
      <c r="AJ313" s="214"/>
      <c r="AK313" s="214"/>
      <c r="AL313" s="214"/>
      <c r="AM313" s="214"/>
      <c r="AN313" s="214"/>
      <c r="AO313" s="214"/>
      <c r="AP313" s="214"/>
      <c r="AQ313" s="214"/>
      <c r="AR313" s="214"/>
      <c r="AS313" s="214"/>
      <c r="AT313" s="214"/>
      <c r="AU313" s="214"/>
      <c r="AV313" s="214"/>
      <c r="AW313" s="214"/>
      <c r="AX313" s="214"/>
      <c r="AY313" s="214"/>
      <c r="AZ313" s="628"/>
      <c r="BA313" s="214"/>
      <c r="BB313" s="214"/>
      <c r="BC313" s="214"/>
      <c r="BD313" s="214"/>
      <c r="BE313" s="214"/>
      <c r="BF313" s="214"/>
      <c r="BG313" s="657"/>
      <c r="BH313" s="214"/>
      <c r="BJ313" s="214"/>
      <c r="BK313" s="214"/>
      <c r="BL313" s="214"/>
      <c r="BM313" s="214"/>
      <c r="BN313" s="214"/>
      <c r="BO313" s="214"/>
      <c r="BP313" s="214"/>
      <c r="BQ313" s="214"/>
      <c r="BR313" s="214"/>
      <c r="BS313" s="214"/>
    </row>
    <row r="314" spans="1:71" s="630" customFormat="1" x14ac:dyDescent="0.25">
      <c r="A314" s="214"/>
      <c r="B314" s="214"/>
      <c r="C314" s="214"/>
      <c r="D314" s="214"/>
      <c r="E314" s="214"/>
      <c r="F314" s="214"/>
      <c r="G314" s="214"/>
      <c r="H314" s="214"/>
      <c r="I314" s="214"/>
      <c r="J314" s="214"/>
      <c r="K314" s="214"/>
      <c r="L314" s="214"/>
      <c r="M314" s="214"/>
      <c r="N314" s="214"/>
      <c r="O314" s="214"/>
      <c r="P314" s="214"/>
      <c r="Q314" s="657"/>
      <c r="R314" s="214"/>
      <c r="S314" s="214"/>
      <c r="T314" s="214"/>
      <c r="U314" s="214"/>
      <c r="V314" s="214"/>
      <c r="W314" s="214"/>
      <c r="X314" s="214"/>
      <c r="Y314" s="214"/>
      <c r="Z314" s="214"/>
      <c r="AA314" s="214"/>
      <c r="AB314" s="214"/>
      <c r="AC314" s="214"/>
      <c r="AD314" s="214"/>
      <c r="AE314" s="214"/>
      <c r="AF314" s="214"/>
      <c r="AG314" s="657"/>
      <c r="AH314" s="214"/>
      <c r="AI314" s="214"/>
      <c r="AJ314" s="214"/>
      <c r="AK314" s="214"/>
      <c r="AL314" s="214"/>
      <c r="AM314" s="214"/>
      <c r="AN314" s="214"/>
      <c r="AO314" s="214"/>
      <c r="AP314" s="214"/>
      <c r="AQ314" s="214"/>
      <c r="AR314" s="214"/>
      <c r="AS314" s="214"/>
      <c r="AT314" s="214"/>
      <c r="AU314" s="214"/>
      <c r="AV314" s="214"/>
      <c r="AW314" s="214"/>
      <c r="AX314" s="214"/>
      <c r="AY314" s="214"/>
      <c r="AZ314" s="628"/>
      <c r="BA314" s="214"/>
      <c r="BB314" s="214"/>
      <c r="BC314" s="214"/>
      <c r="BD314" s="214"/>
      <c r="BE314" s="214"/>
      <c r="BF314" s="214"/>
      <c r="BG314" s="657"/>
      <c r="BH314" s="214"/>
      <c r="BJ314" s="214"/>
      <c r="BK314" s="214"/>
      <c r="BL314" s="214"/>
      <c r="BM314" s="214"/>
      <c r="BN314" s="214"/>
      <c r="BO314" s="214"/>
      <c r="BP314" s="214"/>
      <c r="BQ314" s="214"/>
      <c r="BR314" s="214"/>
      <c r="BS314" s="214"/>
    </row>
    <row r="315" spans="1:71" s="630" customFormat="1" x14ac:dyDescent="0.25">
      <c r="A315" s="214"/>
      <c r="B315" s="214"/>
      <c r="C315" s="214"/>
      <c r="D315" s="214"/>
      <c r="E315" s="214"/>
      <c r="F315" s="214"/>
      <c r="G315" s="214"/>
      <c r="H315" s="214"/>
      <c r="I315" s="214"/>
      <c r="J315" s="214"/>
      <c r="K315" s="214"/>
      <c r="L315" s="214"/>
      <c r="M315" s="214"/>
      <c r="N315" s="214"/>
      <c r="O315" s="214"/>
      <c r="P315" s="214"/>
      <c r="Q315" s="657"/>
      <c r="R315" s="214"/>
      <c r="S315" s="214"/>
      <c r="T315" s="214"/>
      <c r="U315" s="214"/>
      <c r="V315" s="214"/>
      <c r="W315" s="214"/>
      <c r="X315" s="214"/>
      <c r="Y315" s="214"/>
      <c r="Z315" s="214"/>
      <c r="AA315" s="214"/>
      <c r="AB315" s="214"/>
      <c r="AC315" s="214"/>
      <c r="AD315" s="214"/>
      <c r="AE315" s="214"/>
      <c r="AF315" s="214"/>
      <c r="AG315" s="657"/>
      <c r="AH315" s="214"/>
      <c r="AI315" s="214"/>
      <c r="AJ315" s="214"/>
      <c r="AK315" s="214"/>
      <c r="AL315" s="214"/>
      <c r="AM315" s="214"/>
      <c r="AN315" s="214"/>
      <c r="AO315" s="214"/>
      <c r="AP315" s="214"/>
      <c r="AQ315" s="214"/>
      <c r="AR315" s="214"/>
      <c r="AS315" s="214"/>
      <c r="AT315" s="214"/>
      <c r="AU315" s="214"/>
      <c r="AV315" s="214"/>
      <c r="AW315" s="214"/>
      <c r="AX315" s="214"/>
      <c r="AY315" s="214"/>
      <c r="AZ315" s="628"/>
      <c r="BA315" s="214"/>
      <c r="BB315" s="214"/>
      <c r="BC315" s="214"/>
      <c r="BD315" s="214"/>
      <c r="BE315" s="214"/>
      <c r="BF315" s="214"/>
      <c r="BG315" s="657"/>
      <c r="BH315" s="214"/>
      <c r="BJ315" s="214"/>
      <c r="BK315" s="214"/>
      <c r="BL315" s="214"/>
      <c r="BM315" s="214"/>
      <c r="BN315" s="214"/>
      <c r="BO315" s="214"/>
      <c r="BP315" s="214"/>
      <c r="BQ315" s="214"/>
      <c r="BR315" s="214"/>
      <c r="BS315" s="214"/>
    </row>
    <row r="316" spans="1:71" s="630" customFormat="1" x14ac:dyDescent="0.25">
      <c r="A316" s="214"/>
      <c r="B316" s="214"/>
      <c r="C316" s="214"/>
      <c r="D316" s="214"/>
      <c r="E316" s="214"/>
      <c r="F316" s="214"/>
      <c r="G316" s="214"/>
      <c r="H316" s="214"/>
      <c r="I316" s="214"/>
      <c r="J316" s="214"/>
      <c r="K316" s="214"/>
      <c r="L316" s="214"/>
      <c r="M316" s="214"/>
      <c r="N316" s="214"/>
      <c r="O316" s="214"/>
      <c r="P316" s="214"/>
      <c r="Q316" s="657"/>
      <c r="R316" s="214"/>
      <c r="S316" s="214"/>
      <c r="T316" s="214"/>
      <c r="U316" s="214"/>
      <c r="V316" s="214"/>
      <c r="W316" s="214"/>
      <c r="X316" s="214"/>
      <c r="Y316" s="214"/>
      <c r="Z316" s="214"/>
      <c r="AA316" s="214"/>
      <c r="AB316" s="214"/>
      <c r="AC316" s="214"/>
      <c r="AD316" s="214"/>
      <c r="AE316" s="214"/>
      <c r="AF316" s="214"/>
      <c r="AG316" s="657"/>
      <c r="AH316" s="214"/>
      <c r="AI316" s="214"/>
      <c r="AJ316" s="214"/>
      <c r="AK316" s="214"/>
      <c r="AL316" s="214"/>
      <c r="AM316" s="214"/>
      <c r="AN316" s="214"/>
      <c r="AO316" s="214"/>
      <c r="AP316" s="214"/>
      <c r="AQ316" s="214"/>
      <c r="AR316" s="214"/>
      <c r="AS316" s="214"/>
      <c r="AT316" s="214"/>
      <c r="AU316" s="214"/>
      <c r="AV316" s="214"/>
      <c r="AW316" s="214"/>
      <c r="AX316" s="214"/>
      <c r="AY316" s="214"/>
      <c r="AZ316" s="628"/>
      <c r="BA316" s="214"/>
      <c r="BB316" s="214"/>
      <c r="BC316" s="214"/>
      <c r="BD316" s="214"/>
      <c r="BE316" s="214"/>
      <c r="BF316" s="214"/>
      <c r="BG316" s="657"/>
      <c r="BH316" s="214"/>
      <c r="BJ316" s="214"/>
      <c r="BK316" s="214"/>
      <c r="BL316" s="214"/>
      <c r="BM316" s="214"/>
      <c r="BN316" s="214"/>
      <c r="BO316" s="214"/>
      <c r="BP316" s="214"/>
      <c r="BQ316" s="214"/>
      <c r="BR316" s="214"/>
      <c r="BS316" s="214"/>
    </row>
    <row r="317" spans="1:71" s="630" customFormat="1" x14ac:dyDescent="0.25">
      <c r="A317" s="214"/>
      <c r="B317" s="214"/>
      <c r="C317" s="214"/>
      <c r="D317" s="214"/>
      <c r="E317" s="214"/>
      <c r="F317" s="214"/>
      <c r="G317" s="214"/>
      <c r="H317" s="214"/>
      <c r="I317" s="214"/>
      <c r="J317" s="214"/>
      <c r="K317" s="214"/>
      <c r="L317" s="214"/>
      <c r="M317" s="214"/>
      <c r="N317" s="214"/>
      <c r="O317" s="214"/>
      <c r="P317" s="214"/>
      <c r="Q317" s="657"/>
      <c r="R317" s="214"/>
      <c r="S317" s="214"/>
      <c r="T317" s="214"/>
      <c r="U317" s="214"/>
      <c r="V317" s="214"/>
      <c r="W317" s="214"/>
      <c r="X317" s="214"/>
      <c r="Y317" s="214"/>
      <c r="Z317" s="214"/>
      <c r="AA317" s="214"/>
      <c r="AB317" s="214"/>
      <c r="AC317" s="214"/>
      <c r="AD317" s="214"/>
      <c r="AE317" s="214"/>
      <c r="AF317" s="214"/>
      <c r="AG317" s="657"/>
      <c r="AH317" s="214"/>
      <c r="AI317" s="214"/>
      <c r="AJ317" s="214"/>
      <c r="AK317" s="214"/>
      <c r="AL317" s="214"/>
      <c r="AM317" s="214"/>
      <c r="AN317" s="214"/>
      <c r="AO317" s="214"/>
      <c r="AP317" s="214"/>
      <c r="AQ317" s="214"/>
      <c r="AR317" s="214"/>
      <c r="AS317" s="214"/>
      <c r="AT317" s="214"/>
      <c r="AU317" s="214"/>
      <c r="AV317" s="214"/>
      <c r="AW317" s="214"/>
      <c r="AX317" s="214"/>
      <c r="AY317" s="214"/>
      <c r="AZ317" s="628"/>
      <c r="BA317" s="214"/>
      <c r="BB317" s="214"/>
      <c r="BC317" s="214"/>
      <c r="BD317" s="214"/>
      <c r="BE317" s="214"/>
      <c r="BF317" s="214"/>
      <c r="BG317" s="657"/>
      <c r="BH317" s="214"/>
      <c r="BJ317" s="214"/>
      <c r="BK317" s="214"/>
      <c r="BL317" s="214"/>
      <c r="BM317" s="214"/>
      <c r="BN317" s="214"/>
      <c r="BO317" s="214"/>
      <c r="BP317" s="214"/>
      <c r="BQ317" s="214"/>
      <c r="BR317" s="214"/>
      <c r="BS317" s="214"/>
    </row>
    <row r="318" spans="1:71" s="630" customFormat="1" x14ac:dyDescent="0.25">
      <c r="A318" s="214"/>
      <c r="B318" s="214"/>
      <c r="C318" s="214"/>
      <c r="D318" s="214"/>
      <c r="E318" s="214"/>
      <c r="F318" s="214"/>
      <c r="G318" s="214"/>
      <c r="H318" s="214"/>
      <c r="I318" s="214"/>
      <c r="J318" s="214"/>
      <c r="K318" s="214"/>
      <c r="L318" s="214"/>
      <c r="M318" s="214"/>
      <c r="N318" s="214"/>
      <c r="O318" s="214"/>
      <c r="P318" s="214"/>
      <c r="Q318" s="657"/>
      <c r="R318" s="214"/>
      <c r="S318" s="214"/>
      <c r="T318" s="214"/>
      <c r="U318" s="214"/>
      <c r="V318" s="214"/>
      <c r="W318" s="214"/>
      <c r="X318" s="214"/>
      <c r="Y318" s="214"/>
      <c r="Z318" s="214"/>
      <c r="AA318" s="214"/>
      <c r="AB318" s="214"/>
      <c r="AC318" s="214"/>
      <c r="AD318" s="214"/>
      <c r="AE318" s="214"/>
      <c r="AF318" s="214"/>
      <c r="AG318" s="657"/>
      <c r="AH318" s="214"/>
      <c r="AI318" s="214"/>
      <c r="AJ318" s="214"/>
      <c r="AK318" s="214"/>
      <c r="AL318" s="214"/>
      <c r="AM318" s="214"/>
      <c r="AN318" s="214"/>
      <c r="AO318" s="214"/>
      <c r="AP318" s="214"/>
      <c r="AQ318" s="214"/>
      <c r="AR318" s="214"/>
      <c r="AS318" s="214"/>
      <c r="AT318" s="214"/>
      <c r="AU318" s="214"/>
      <c r="AV318" s="214"/>
      <c r="AW318" s="214"/>
      <c r="AX318" s="214"/>
      <c r="AY318" s="214"/>
      <c r="AZ318" s="628"/>
      <c r="BA318" s="214"/>
      <c r="BB318" s="214"/>
      <c r="BC318" s="214"/>
      <c r="BD318" s="214"/>
      <c r="BE318" s="214"/>
      <c r="BF318" s="214"/>
      <c r="BG318" s="657"/>
      <c r="BH318" s="214"/>
      <c r="BJ318" s="214"/>
      <c r="BK318" s="214"/>
      <c r="BL318" s="214"/>
      <c r="BM318" s="214"/>
      <c r="BN318" s="214"/>
      <c r="BO318" s="214"/>
      <c r="BP318" s="214"/>
      <c r="BQ318" s="214"/>
      <c r="BR318" s="214"/>
      <c r="BS318" s="214"/>
    </row>
    <row r="319" spans="1:71" s="630" customFormat="1" x14ac:dyDescent="0.25">
      <c r="A319" s="214"/>
      <c r="B319" s="214"/>
      <c r="C319" s="214"/>
      <c r="D319" s="214"/>
      <c r="E319" s="214"/>
      <c r="F319" s="214"/>
      <c r="G319" s="214"/>
      <c r="H319" s="214"/>
      <c r="I319" s="214"/>
      <c r="J319" s="214"/>
      <c r="K319" s="214"/>
      <c r="L319" s="214"/>
      <c r="M319" s="214"/>
      <c r="N319" s="214"/>
      <c r="O319" s="214"/>
      <c r="P319" s="214"/>
      <c r="Q319" s="657"/>
      <c r="R319" s="214"/>
      <c r="S319" s="214"/>
      <c r="T319" s="214"/>
      <c r="U319" s="214"/>
      <c r="V319" s="214"/>
      <c r="W319" s="214"/>
      <c r="X319" s="214"/>
      <c r="Y319" s="214"/>
      <c r="Z319" s="214"/>
      <c r="AA319" s="214"/>
      <c r="AB319" s="214"/>
      <c r="AC319" s="214"/>
      <c r="AD319" s="214"/>
      <c r="AE319" s="214"/>
      <c r="AF319" s="214"/>
      <c r="AG319" s="657"/>
      <c r="AH319" s="214"/>
      <c r="AI319" s="214"/>
      <c r="AJ319" s="214"/>
      <c r="AK319" s="214"/>
      <c r="AL319" s="214"/>
      <c r="AM319" s="214"/>
      <c r="AN319" s="214"/>
      <c r="AO319" s="214"/>
      <c r="AP319" s="214"/>
      <c r="AQ319" s="214"/>
      <c r="AR319" s="214"/>
      <c r="AS319" s="214"/>
      <c r="AT319" s="214"/>
      <c r="AU319" s="214"/>
      <c r="AV319" s="214"/>
      <c r="AW319" s="214"/>
      <c r="AX319" s="214"/>
      <c r="AY319" s="214"/>
      <c r="AZ319" s="628"/>
      <c r="BA319" s="214"/>
      <c r="BB319" s="214"/>
      <c r="BC319" s="214"/>
      <c r="BD319" s="214"/>
      <c r="BE319" s="214"/>
      <c r="BF319" s="214"/>
      <c r="BG319" s="657"/>
      <c r="BH319" s="214"/>
      <c r="BJ319" s="214"/>
      <c r="BK319" s="214"/>
      <c r="BL319" s="214"/>
      <c r="BM319" s="214"/>
      <c r="BN319" s="214"/>
      <c r="BO319" s="214"/>
      <c r="BP319" s="214"/>
      <c r="BQ319" s="214"/>
      <c r="BR319" s="214"/>
      <c r="BS319" s="214"/>
    </row>
    <row r="320" spans="1:71" s="630" customFormat="1" x14ac:dyDescent="0.25">
      <c r="A320" s="214"/>
      <c r="B320" s="214"/>
      <c r="C320" s="214"/>
      <c r="D320" s="214"/>
      <c r="E320" s="214"/>
      <c r="F320" s="214"/>
      <c r="G320" s="214"/>
      <c r="H320" s="214"/>
      <c r="I320" s="214"/>
      <c r="J320" s="214"/>
      <c r="K320" s="214"/>
      <c r="L320" s="214"/>
      <c r="M320" s="214"/>
      <c r="N320" s="214"/>
      <c r="O320" s="214"/>
      <c r="P320" s="214"/>
      <c r="Q320" s="657"/>
      <c r="R320" s="214"/>
      <c r="S320" s="214"/>
      <c r="T320" s="214"/>
      <c r="U320" s="214"/>
      <c r="V320" s="214"/>
      <c r="W320" s="214"/>
      <c r="X320" s="214"/>
      <c r="Y320" s="214"/>
      <c r="Z320" s="214"/>
      <c r="AA320" s="214"/>
      <c r="AB320" s="214"/>
      <c r="AC320" s="214"/>
      <c r="AD320" s="214"/>
      <c r="AE320" s="214"/>
      <c r="AF320" s="214"/>
      <c r="AG320" s="657"/>
      <c r="AH320" s="214"/>
      <c r="AI320" s="214"/>
      <c r="AJ320" s="214"/>
      <c r="AK320" s="214"/>
      <c r="AL320" s="214"/>
      <c r="AM320" s="214"/>
      <c r="AN320" s="214"/>
      <c r="AO320" s="214"/>
      <c r="AP320" s="214"/>
      <c r="AQ320" s="214"/>
      <c r="AR320" s="214"/>
      <c r="AS320" s="214"/>
      <c r="AT320" s="214"/>
      <c r="AU320" s="214"/>
      <c r="AV320" s="214"/>
      <c r="AW320" s="214"/>
      <c r="AX320" s="214"/>
      <c r="AY320" s="214"/>
      <c r="AZ320" s="628"/>
      <c r="BA320" s="214"/>
      <c r="BB320" s="214"/>
      <c r="BC320" s="214"/>
      <c r="BD320" s="214"/>
      <c r="BE320" s="214"/>
      <c r="BF320" s="214"/>
      <c r="BG320" s="657"/>
      <c r="BH320" s="214"/>
      <c r="BJ320" s="214"/>
      <c r="BK320" s="214"/>
      <c r="BL320" s="214"/>
      <c r="BM320" s="214"/>
      <c r="BN320" s="214"/>
      <c r="BO320" s="214"/>
      <c r="BP320" s="214"/>
      <c r="BQ320" s="214"/>
      <c r="BR320" s="214"/>
      <c r="BS320" s="214"/>
    </row>
    <row r="321" spans="1:71" s="630" customFormat="1" x14ac:dyDescent="0.25">
      <c r="A321" s="214"/>
      <c r="B321" s="214"/>
      <c r="C321" s="214"/>
      <c r="D321" s="214"/>
      <c r="E321" s="214"/>
      <c r="F321" s="214"/>
      <c r="G321" s="214"/>
      <c r="H321" s="214"/>
      <c r="I321" s="214"/>
      <c r="J321" s="214"/>
      <c r="K321" s="214"/>
      <c r="L321" s="214"/>
      <c r="M321" s="214"/>
      <c r="N321" s="214"/>
      <c r="O321" s="214"/>
      <c r="P321" s="214"/>
      <c r="Q321" s="657"/>
      <c r="R321" s="214"/>
      <c r="S321" s="214"/>
      <c r="T321" s="214"/>
      <c r="U321" s="214"/>
      <c r="V321" s="214"/>
      <c r="W321" s="214"/>
      <c r="X321" s="214"/>
      <c r="Y321" s="214"/>
      <c r="Z321" s="214"/>
      <c r="AA321" s="214"/>
      <c r="AB321" s="214"/>
      <c r="AC321" s="214"/>
      <c r="AD321" s="214"/>
      <c r="AE321" s="214"/>
      <c r="AF321" s="214"/>
      <c r="AG321" s="657"/>
      <c r="AH321" s="214"/>
      <c r="AI321" s="214"/>
      <c r="AJ321" s="214"/>
      <c r="AK321" s="214"/>
      <c r="AL321" s="214"/>
      <c r="AM321" s="214"/>
      <c r="AN321" s="214"/>
      <c r="AO321" s="214"/>
      <c r="AP321" s="214"/>
      <c r="AQ321" s="214"/>
      <c r="AR321" s="214"/>
      <c r="AS321" s="214"/>
      <c r="AT321" s="214"/>
      <c r="AU321" s="214"/>
      <c r="AV321" s="214"/>
      <c r="AW321" s="214"/>
      <c r="AX321" s="214"/>
      <c r="AY321" s="214"/>
      <c r="AZ321" s="628"/>
      <c r="BA321" s="214"/>
      <c r="BB321" s="214"/>
      <c r="BC321" s="214"/>
      <c r="BD321" s="214"/>
      <c r="BE321" s="214"/>
      <c r="BF321" s="214"/>
      <c r="BG321" s="657"/>
      <c r="BH321" s="214"/>
      <c r="BJ321" s="214"/>
      <c r="BK321" s="214"/>
      <c r="BL321" s="214"/>
      <c r="BM321" s="214"/>
      <c r="BN321" s="214"/>
      <c r="BO321" s="214"/>
      <c r="BP321" s="214"/>
      <c r="BQ321" s="214"/>
      <c r="BR321" s="214"/>
      <c r="BS321" s="214"/>
    </row>
    <row r="322" spans="1:71" s="630" customFormat="1" x14ac:dyDescent="0.25">
      <c r="A322" s="214"/>
      <c r="B322" s="214"/>
      <c r="C322" s="214"/>
      <c r="D322" s="214"/>
      <c r="E322" s="214"/>
      <c r="F322" s="214"/>
      <c r="G322" s="214"/>
      <c r="H322" s="214"/>
      <c r="I322" s="214"/>
      <c r="J322" s="214"/>
      <c r="K322" s="214"/>
      <c r="L322" s="214"/>
      <c r="M322" s="214"/>
      <c r="N322" s="214"/>
      <c r="O322" s="214"/>
      <c r="P322" s="214"/>
      <c r="Q322" s="657"/>
      <c r="R322" s="214"/>
      <c r="S322" s="214"/>
      <c r="T322" s="214"/>
      <c r="U322" s="214"/>
      <c r="V322" s="214"/>
      <c r="W322" s="214"/>
      <c r="X322" s="214"/>
      <c r="Y322" s="214"/>
      <c r="Z322" s="214"/>
      <c r="AA322" s="214"/>
      <c r="AB322" s="214"/>
      <c r="AC322" s="214"/>
      <c r="AD322" s="214"/>
      <c r="AE322" s="214"/>
      <c r="AF322" s="214"/>
      <c r="AG322" s="657"/>
      <c r="AH322" s="214"/>
      <c r="AI322" s="214"/>
      <c r="AJ322" s="214"/>
      <c r="AK322" s="214"/>
      <c r="AL322" s="214"/>
      <c r="AM322" s="214"/>
      <c r="AN322" s="214"/>
      <c r="AO322" s="214"/>
      <c r="AP322" s="214"/>
      <c r="AQ322" s="214"/>
      <c r="AR322" s="214"/>
      <c r="AS322" s="214"/>
      <c r="AT322" s="214"/>
      <c r="AU322" s="214"/>
      <c r="AV322" s="214"/>
      <c r="AW322" s="214"/>
      <c r="AX322" s="214"/>
      <c r="AY322" s="214"/>
      <c r="AZ322" s="628"/>
      <c r="BA322" s="214"/>
      <c r="BB322" s="214"/>
      <c r="BC322" s="214"/>
      <c r="BD322" s="214"/>
      <c r="BE322" s="214"/>
      <c r="BF322" s="214"/>
      <c r="BG322" s="657"/>
      <c r="BH322" s="214"/>
      <c r="BJ322" s="214"/>
      <c r="BK322" s="214"/>
      <c r="BL322" s="214"/>
      <c r="BM322" s="214"/>
      <c r="BN322" s="214"/>
      <c r="BO322" s="214"/>
      <c r="BP322" s="214"/>
      <c r="BQ322" s="214"/>
      <c r="BR322" s="214"/>
      <c r="BS322" s="214"/>
    </row>
    <row r="323" spans="1:71" s="630" customFormat="1" x14ac:dyDescent="0.25">
      <c r="A323" s="214"/>
      <c r="B323" s="214"/>
      <c r="C323" s="214"/>
      <c r="D323" s="214"/>
      <c r="E323" s="214"/>
      <c r="F323" s="214"/>
      <c r="G323" s="214"/>
      <c r="H323" s="214"/>
      <c r="I323" s="214"/>
      <c r="J323" s="214"/>
      <c r="K323" s="214"/>
      <c r="L323" s="214"/>
      <c r="M323" s="214"/>
      <c r="N323" s="214"/>
      <c r="O323" s="214"/>
      <c r="P323" s="214"/>
      <c r="Q323" s="657"/>
      <c r="R323" s="214"/>
      <c r="S323" s="214"/>
      <c r="T323" s="214"/>
      <c r="U323" s="214"/>
      <c r="V323" s="214"/>
      <c r="W323" s="214"/>
      <c r="X323" s="214"/>
      <c r="Y323" s="214"/>
      <c r="Z323" s="214"/>
      <c r="AA323" s="214"/>
      <c r="AB323" s="214"/>
      <c r="AC323" s="214"/>
      <c r="AD323" s="214"/>
      <c r="AE323" s="214"/>
      <c r="AF323" s="214"/>
      <c r="AG323" s="657"/>
      <c r="AH323" s="214"/>
      <c r="AI323" s="214"/>
      <c r="AJ323" s="214"/>
      <c r="AK323" s="214"/>
      <c r="AL323" s="214"/>
      <c r="AM323" s="214"/>
      <c r="AN323" s="214"/>
      <c r="AO323" s="214"/>
      <c r="AP323" s="214"/>
      <c r="AQ323" s="214"/>
      <c r="AR323" s="214"/>
      <c r="AS323" s="214"/>
      <c r="AT323" s="214"/>
      <c r="AU323" s="214"/>
      <c r="AV323" s="214"/>
      <c r="AW323" s="214"/>
      <c r="AX323" s="214"/>
      <c r="AY323" s="214"/>
      <c r="AZ323" s="628"/>
      <c r="BA323" s="214"/>
      <c r="BB323" s="214"/>
      <c r="BC323" s="214"/>
      <c r="BD323" s="214"/>
      <c r="BE323" s="214"/>
      <c r="BF323" s="214"/>
      <c r="BG323" s="657"/>
      <c r="BH323" s="214"/>
      <c r="BJ323" s="214"/>
      <c r="BK323" s="214"/>
      <c r="BL323" s="214"/>
      <c r="BM323" s="214"/>
      <c r="BN323" s="214"/>
      <c r="BO323" s="214"/>
      <c r="BP323" s="214"/>
      <c r="BQ323" s="214"/>
      <c r="BR323" s="214"/>
      <c r="BS323" s="214"/>
    </row>
    <row r="324" spans="1:71" s="630" customFormat="1" x14ac:dyDescent="0.25">
      <c r="A324" s="214"/>
      <c r="B324" s="214"/>
      <c r="C324" s="214"/>
      <c r="D324" s="214"/>
      <c r="E324" s="214"/>
      <c r="F324" s="214"/>
      <c r="G324" s="214"/>
      <c r="H324" s="214"/>
      <c r="I324" s="214"/>
      <c r="J324" s="214"/>
      <c r="K324" s="214"/>
      <c r="L324" s="214"/>
      <c r="M324" s="214"/>
      <c r="N324" s="214"/>
      <c r="O324" s="214"/>
      <c r="P324" s="214"/>
      <c r="Q324" s="657"/>
      <c r="R324" s="214"/>
      <c r="S324" s="214"/>
      <c r="T324" s="214"/>
      <c r="U324" s="214"/>
      <c r="V324" s="214"/>
      <c r="W324" s="214"/>
      <c r="X324" s="214"/>
      <c r="Y324" s="214"/>
      <c r="Z324" s="214"/>
      <c r="AA324" s="214"/>
      <c r="AB324" s="214"/>
      <c r="AC324" s="214"/>
      <c r="AD324" s="214"/>
      <c r="AE324" s="214"/>
      <c r="AF324" s="214"/>
      <c r="AG324" s="657"/>
      <c r="AH324" s="214"/>
      <c r="AI324" s="214"/>
      <c r="AJ324" s="214"/>
      <c r="AK324" s="214"/>
      <c r="AL324" s="214"/>
      <c r="AM324" s="214"/>
      <c r="AN324" s="214"/>
      <c r="AO324" s="214"/>
      <c r="AP324" s="214"/>
      <c r="AQ324" s="214"/>
      <c r="AR324" s="214"/>
      <c r="AS324" s="214"/>
      <c r="AT324" s="214"/>
      <c r="AU324" s="214"/>
      <c r="AV324" s="214"/>
      <c r="AW324" s="214"/>
      <c r="AX324" s="214"/>
      <c r="AY324" s="214"/>
      <c r="AZ324" s="628"/>
      <c r="BA324" s="214"/>
      <c r="BB324" s="214"/>
      <c r="BC324" s="214"/>
      <c r="BD324" s="214"/>
      <c r="BE324" s="214"/>
      <c r="BF324" s="214"/>
      <c r="BG324" s="657"/>
      <c r="BH324" s="214"/>
      <c r="BJ324" s="214"/>
      <c r="BK324" s="214"/>
      <c r="BL324" s="214"/>
      <c r="BM324" s="214"/>
      <c r="BN324" s="214"/>
      <c r="BO324" s="214"/>
      <c r="BP324" s="214"/>
      <c r="BQ324" s="214"/>
      <c r="BR324" s="214"/>
      <c r="BS324" s="214"/>
    </row>
    <row r="325" spans="1:71" s="630" customFormat="1" x14ac:dyDescent="0.25">
      <c r="A325" s="214"/>
      <c r="B325" s="214"/>
      <c r="C325" s="214"/>
      <c r="D325" s="214"/>
      <c r="E325" s="214"/>
      <c r="F325" s="214"/>
      <c r="G325" s="214"/>
      <c r="H325" s="214"/>
      <c r="I325" s="214"/>
      <c r="J325" s="214"/>
      <c r="K325" s="214"/>
      <c r="L325" s="214"/>
      <c r="M325" s="214"/>
      <c r="N325" s="214"/>
      <c r="O325" s="214"/>
      <c r="P325" s="214"/>
      <c r="Q325" s="657"/>
      <c r="R325" s="214"/>
      <c r="S325" s="214"/>
      <c r="T325" s="214"/>
      <c r="U325" s="214"/>
      <c r="V325" s="214"/>
      <c r="W325" s="214"/>
      <c r="X325" s="214"/>
      <c r="Y325" s="214"/>
      <c r="Z325" s="214"/>
      <c r="AA325" s="214"/>
      <c r="AB325" s="214"/>
      <c r="AC325" s="214"/>
      <c r="AD325" s="214"/>
      <c r="AE325" s="214"/>
      <c r="AF325" s="214"/>
      <c r="AG325" s="657"/>
      <c r="AH325" s="214"/>
      <c r="AI325" s="214"/>
      <c r="AJ325" s="214"/>
      <c r="AK325" s="214"/>
      <c r="AL325" s="214"/>
      <c r="AM325" s="214"/>
      <c r="AN325" s="214"/>
      <c r="AO325" s="214"/>
      <c r="AP325" s="214"/>
      <c r="AQ325" s="214"/>
      <c r="AR325" s="214"/>
      <c r="AS325" s="214"/>
      <c r="AT325" s="214"/>
      <c r="AU325" s="214"/>
      <c r="AV325" s="214"/>
      <c r="AW325" s="214"/>
      <c r="AX325" s="214"/>
      <c r="AY325" s="214"/>
      <c r="AZ325" s="628"/>
      <c r="BA325" s="214"/>
      <c r="BB325" s="214"/>
      <c r="BC325" s="214"/>
      <c r="BD325" s="214"/>
      <c r="BE325" s="214"/>
      <c r="BF325" s="214"/>
      <c r="BG325" s="657"/>
      <c r="BH325" s="214"/>
      <c r="BJ325" s="214"/>
      <c r="BK325" s="214"/>
      <c r="BL325" s="214"/>
      <c r="BM325" s="214"/>
      <c r="BN325" s="214"/>
      <c r="BO325" s="214"/>
      <c r="BP325" s="214"/>
      <c r="BQ325" s="214"/>
      <c r="BR325" s="214"/>
      <c r="BS325" s="214"/>
    </row>
    <row r="326" spans="1:71" s="630" customFormat="1" x14ac:dyDescent="0.25">
      <c r="A326" s="214"/>
      <c r="B326" s="214"/>
      <c r="C326" s="214"/>
      <c r="D326" s="214"/>
      <c r="E326" s="214"/>
      <c r="F326" s="214"/>
      <c r="G326" s="214"/>
      <c r="H326" s="214"/>
      <c r="I326" s="214"/>
      <c r="J326" s="214"/>
      <c r="K326" s="214"/>
      <c r="L326" s="214"/>
      <c r="M326" s="214"/>
      <c r="N326" s="214"/>
      <c r="O326" s="214"/>
      <c r="P326" s="214"/>
      <c r="Q326" s="657"/>
      <c r="R326" s="214"/>
      <c r="S326" s="214"/>
      <c r="T326" s="214"/>
      <c r="U326" s="214"/>
      <c r="V326" s="214"/>
      <c r="W326" s="214"/>
      <c r="X326" s="214"/>
      <c r="Y326" s="214"/>
      <c r="Z326" s="214"/>
      <c r="AA326" s="214"/>
      <c r="AB326" s="214"/>
      <c r="AC326" s="214"/>
      <c r="AD326" s="214"/>
      <c r="AE326" s="214"/>
      <c r="AF326" s="214"/>
      <c r="AG326" s="657"/>
      <c r="AH326" s="214"/>
      <c r="AI326" s="214"/>
      <c r="AJ326" s="214"/>
      <c r="AK326" s="214"/>
      <c r="AL326" s="214"/>
      <c r="AM326" s="214"/>
      <c r="AN326" s="214"/>
      <c r="AO326" s="214"/>
      <c r="AP326" s="214"/>
      <c r="AQ326" s="214"/>
      <c r="AR326" s="214"/>
      <c r="AS326" s="214"/>
      <c r="AT326" s="214"/>
      <c r="AU326" s="214"/>
      <c r="AV326" s="214"/>
      <c r="AW326" s="214"/>
      <c r="AX326" s="214"/>
      <c r="AY326" s="214"/>
      <c r="AZ326" s="628"/>
      <c r="BA326" s="214"/>
      <c r="BB326" s="214"/>
      <c r="BC326" s="214"/>
      <c r="BD326" s="214"/>
      <c r="BE326" s="214"/>
      <c r="BF326" s="214"/>
      <c r="BG326" s="657"/>
      <c r="BH326" s="214"/>
      <c r="BJ326" s="214"/>
      <c r="BK326" s="214"/>
      <c r="BL326" s="214"/>
      <c r="BM326" s="214"/>
      <c r="BN326" s="214"/>
      <c r="BO326" s="214"/>
      <c r="BP326" s="214"/>
      <c r="BQ326" s="214"/>
      <c r="BR326" s="214"/>
      <c r="BS326" s="214"/>
    </row>
  </sheetData>
  <mergeCells count="165">
    <mergeCell ref="A3:B3"/>
    <mergeCell ref="A4:B4"/>
    <mergeCell ref="D4:D8"/>
    <mergeCell ref="N4:N8"/>
    <mergeCell ref="A5:B5"/>
    <mergeCell ref="A6:B6"/>
    <mergeCell ref="A7:B7"/>
    <mergeCell ref="A8:B8"/>
    <mergeCell ref="A9:B9"/>
    <mergeCell ref="D9:D10"/>
    <mergeCell ref="N9:N10"/>
    <mergeCell ref="A10:B10"/>
    <mergeCell ref="A11:B11"/>
    <mergeCell ref="D11:D19"/>
    <mergeCell ref="N11:N19"/>
    <mergeCell ref="A12:B12"/>
    <mergeCell ref="A13:B13"/>
    <mergeCell ref="A14:B14"/>
    <mergeCell ref="D20:D25"/>
    <mergeCell ref="N20:N25"/>
    <mergeCell ref="A21:B21"/>
    <mergeCell ref="A22:B22"/>
    <mergeCell ref="A23:B23"/>
    <mergeCell ref="A24:B24"/>
    <mergeCell ref="A25:B25"/>
    <mergeCell ref="A15:B15"/>
    <mergeCell ref="A16:B16"/>
    <mergeCell ref="A17:B17"/>
    <mergeCell ref="A18:B18"/>
    <mergeCell ref="A19:B19"/>
    <mergeCell ref="A20:B20"/>
    <mergeCell ref="A26:B26"/>
    <mergeCell ref="D26:D34"/>
    <mergeCell ref="N26:N34"/>
    <mergeCell ref="A27:B27"/>
    <mergeCell ref="A28:B28"/>
    <mergeCell ref="A29:B29"/>
    <mergeCell ref="A30:B30"/>
    <mergeCell ref="A31:B31"/>
    <mergeCell ref="A32:B32"/>
    <mergeCell ref="A33:B33"/>
    <mergeCell ref="A42:B42"/>
    <mergeCell ref="A43:B43"/>
    <mergeCell ref="D43:D47"/>
    <mergeCell ref="N43:N47"/>
    <mergeCell ref="A44:B44"/>
    <mergeCell ref="A45:B45"/>
    <mergeCell ref="A46:B46"/>
    <mergeCell ref="A47:B47"/>
    <mergeCell ref="A34:B34"/>
    <mergeCell ref="A35:B35"/>
    <mergeCell ref="D35:D42"/>
    <mergeCell ref="N35:N42"/>
    <mergeCell ref="A36:B36"/>
    <mergeCell ref="A37:B37"/>
    <mergeCell ref="A38:B38"/>
    <mergeCell ref="A39:B39"/>
    <mergeCell ref="A40:B40"/>
    <mergeCell ref="A41:B41"/>
    <mergeCell ref="A48:B48"/>
    <mergeCell ref="D48:D54"/>
    <mergeCell ref="N48:N54"/>
    <mergeCell ref="A49:B49"/>
    <mergeCell ref="A50:B50"/>
    <mergeCell ref="A51:B51"/>
    <mergeCell ref="A52:B52"/>
    <mergeCell ref="A53:B53"/>
    <mergeCell ref="A54:B54"/>
    <mergeCell ref="H56:H57"/>
    <mergeCell ref="I56:I57"/>
    <mergeCell ref="J56:J57"/>
    <mergeCell ref="K56:K57"/>
    <mergeCell ref="L56:L57"/>
    <mergeCell ref="M56:N57"/>
    <mergeCell ref="A55:B55"/>
    <mergeCell ref="A56:B57"/>
    <mergeCell ref="C56:D57"/>
    <mergeCell ref="E56:E57"/>
    <mergeCell ref="F56:F57"/>
    <mergeCell ref="G56:G57"/>
    <mergeCell ref="U56:U57"/>
    <mergeCell ref="V56:V57"/>
    <mergeCell ref="W56:W57"/>
    <mergeCell ref="X56:X57"/>
    <mergeCell ref="Y56:Y57"/>
    <mergeCell ref="Z56:Z57"/>
    <mergeCell ref="O56:O57"/>
    <mergeCell ref="P56:P57"/>
    <mergeCell ref="Q56:Q57"/>
    <mergeCell ref="R56:R57"/>
    <mergeCell ref="S56:S57"/>
    <mergeCell ref="T56:T57"/>
    <mergeCell ref="AG56:AG57"/>
    <mergeCell ref="AH56:AH57"/>
    <mergeCell ref="AI56:AI57"/>
    <mergeCell ref="AJ56:AJ57"/>
    <mergeCell ref="AK56:AK57"/>
    <mergeCell ref="AL56:AL57"/>
    <mergeCell ref="AA56:AA57"/>
    <mergeCell ref="AB56:AB57"/>
    <mergeCell ref="AC56:AC57"/>
    <mergeCell ref="AD56:AD57"/>
    <mergeCell ref="AE56:AE57"/>
    <mergeCell ref="AF56:AF57"/>
    <mergeCell ref="AS56:AS57"/>
    <mergeCell ref="AU56:AU57"/>
    <mergeCell ref="AW56:AW57"/>
    <mergeCell ref="AY56:AY57"/>
    <mergeCell ref="BA56:BA57"/>
    <mergeCell ref="BB56:BB57"/>
    <mergeCell ref="AM56:AM57"/>
    <mergeCell ref="AN56:AN57"/>
    <mergeCell ref="AO56:AO57"/>
    <mergeCell ref="AP56:AP57"/>
    <mergeCell ref="AQ56:AQ57"/>
    <mergeCell ref="AR56:AR57"/>
    <mergeCell ref="A59:B59"/>
    <mergeCell ref="C59:D59"/>
    <mergeCell ref="M59:N59"/>
    <mergeCell ref="A60:B60"/>
    <mergeCell ref="C60:D60"/>
    <mergeCell ref="M60:N60"/>
    <mergeCell ref="BO56:BO57"/>
    <mergeCell ref="BP56:BP57"/>
    <mergeCell ref="BR56:BR57"/>
    <mergeCell ref="A58:B58"/>
    <mergeCell ref="C58:D58"/>
    <mergeCell ref="M58:N58"/>
    <mergeCell ref="BI56:BI57"/>
    <mergeCell ref="BJ56:BJ57"/>
    <mergeCell ref="BK56:BK57"/>
    <mergeCell ref="BL56:BL57"/>
    <mergeCell ref="BM56:BM57"/>
    <mergeCell ref="BN56:BN57"/>
    <mergeCell ref="BC56:BC57"/>
    <mergeCell ref="BD56:BD57"/>
    <mergeCell ref="BE56:BE57"/>
    <mergeCell ref="BF56:BF57"/>
    <mergeCell ref="BG56:BG57"/>
    <mergeCell ref="BH56:BH57"/>
    <mergeCell ref="A63:B63"/>
    <mergeCell ref="C63:D63"/>
    <mergeCell ref="M63:N63"/>
    <mergeCell ref="A64:B64"/>
    <mergeCell ref="C64:D64"/>
    <mergeCell ref="M64:N64"/>
    <mergeCell ref="A61:B61"/>
    <mergeCell ref="C61:D61"/>
    <mergeCell ref="M61:N61"/>
    <mergeCell ref="A62:B62"/>
    <mergeCell ref="C62:D62"/>
    <mergeCell ref="M62:N62"/>
    <mergeCell ref="A70:B70"/>
    <mergeCell ref="A67:B67"/>
    <mergeCell ref="C67:D67"/>
    <mergeCell ref="M67:N67"/>
    <mergeCell ref="A68:B68"/>
    <mergeCell ref="C68:D68"/>
    <mergeCell ref="M68:N68"/>
    <mergeCell ref="A65:B65"/>
    <mergeCell ref="C65:D65"/>
    <mergeCell ref="M65:N65"/>
    <mergeCell ref="A66:B66"/>
    <mergeCell ref="C66:D66"/>
    <mergeCell ref="M66:N66"/>
  </mergeCells>
  <pageMargins left="0.7" right="0.7" top="0.75" bottom="0.75" header="0.3" footer="0.3"/>
  <pageSetup orientation="portrait" horizontalDpi="300" verticalDpi="300"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election activeCell="A2" sqref="A2"/>
    </sheetView>
  </sheetViews>
  <sheetFormatPr defaultRowHeight="12.75" x14ac:dyDescent="0.2"/>
  <cols>
    <col min="2" max="2" width="21.140625" bestFit="1" customWidth="1"/>
    <col min="3" max="3" width="10.5703125" bestFit="1" customWidth="1"/>
    <col min="4" max="4" width="11.5703125" bestFit="1" customWidth="1"/>
    <col min="5" max="6" width="11.28515625" bestFit="1" customWidth="1"/>
  </cols>
  <sheetData>
    <row r="1" spans="1:8" x14ac:dyDescent="0.2">
      <c r="F1" s="921" t="s">
        <v>370</v>
      </c>
    </row>
    <row r="2" spans="1:8" ht="20.25" x14ac:dyDescent="0.3">
      <c r="A2" s="967" t="s">
        <v>441</v>
      </c>
      <c r="F2" s="921"/>
    </row>
    <row r="3" spans="1:8" x14ac:dyDescent="0.2">
      <c r="D3" t="s">
        <v>349</v>
      </c>
      <c r="E3" t="s">
        <v>350</v>
      </c>
    </row>
    <row r="4" spans="1:8" x14ac:dyDescent="0.2">
      <c r="B4" s="31" t="s">
        <v>338</v>
      </c>
      <c r="C4" s="918">
        <v>1186404.0782418412</v>
      </c>
      <c r="D4" s="901">
        <f>C4</f>
        <v>1186404.0782418412</v>
      </c>
      <c r="E4" s="901">
        <f>C4</f>
        <v>1186404.0782418412</v>
      </c>
    </row>
    <row r="5" spans="1:8" x14ac:dyDescent="0.2">
      <c r="B5" s="31" t="s">
        <v>338</v>
      </c>
      <c r="C5" s="919">
        <f>D5-C4</f>
        <v>2689228.6217581593</v>
      </c>
      <c r="D5" s="916">
        <v>3875632.7</v>
      </c>
      <c r="E5" s="901">
        <f>C5</f>
        <v>2689228.6217581593</v>
      </c>
    </row>
    <row r="6" spans="1:8" ht="15" x14ac:dyDescent="0.25">
      <c r="B6" t="s">
        <v>316</v>
      </c>
      <c r="C6" s="902">
        <v>4210174.16</v>
      </c>
      <c r="D6" s="903">
        <f>D5+C6</f>
        <v>8085806.8600000003</v>
      </c>
      <c r="E6" s="901">
        <f>C6</f>
        <v>4210174.16</v>
      </c>
      <c r="F6" s="901">
        <f>E6+E5</f>
        <v>6899402.7817581594</v>
      </c>
      <c r="G6" s="32"/>
      <c r="H6" s="32"/>
    </row>
    <row r="7" spans="1:8" x14ac:dyDescent="0.2">
      <c r="C7" s="148"/>
      <c r="D7" s="901"/>
    </row>
    <row r="8" spans="1:8" x14ac:dyDescent="0.2">
      <c r="B8" t="s">
        <v>317</v>
      </c>
    </row>
    <row r="9" spans="1:8" ht="15" x14ac:dyDescent="0.25">
      <c r="B9" t="s">
        <v>351</v>
      </c>
      <c r="C9" s="902">
        <v>1378229.4300000004</v>
      </c>
      <c r="D9" s="903">
        <f>C9+D6</f>
        <v>9464036.290000001</v>
      </c>
      <c r="E9" s="901" t="s">
        <v>46</v>
      </c>
    </row>
    <row r="10" spans="1:8" ht="15" x14ac:dyDescent="0.25">
      <c r="B10" t="s">
        <v>352</v>
      </c>
      <c r="C10" s="902">
        <v>1310458.48</v>
      </c>
      <c r="D10" s="904">
        <v>10774494.77</v>
      </c>
    </row>
    <row r="11" spans="1:8" ht="15" x14ac:dyDescent="0.25">
      <c r="B11" t="s">
        <v>353</v>
      </c>
      <c r="C11" s="904">
        <v>943016.66999999993</v>
      </c>
      <c r="D11" s="905">
        <v>11717511.440000001</v>
      </c>
    </row>
    <row r="12" spans="1:8" ht="15" x14ac:dyDescent="0.25">
      <c r="B12" t="s">
        <v>354</v>
      </c>
      <c r="C12" s="905">
        <v>1548073.2000000002</v>
      </c>
      <c r="D12" s="903">
        <f>D11+C12</f>
        <v>13265584.640000001</v>
      </c>
      <c r="E12" s="901">
        <f>SUM(C9:C12)</f>
        <v>5179777.78</v>
      </c>
      <c r="F12" s="901">
        <f>F6+E12</f>
        <v>12079180.561758161</v>
      </c>
    </row>
    <row r="14" spans="1:8" ht="15" x14ac:dyDescent="0.25">
      <c r="B14" s="906" t="s">
        <v>355</v>
      </c>
      <c r="D14" s="901" t="s">
        <v>46</v>
      </c>
    </row>
    <row r="15" spans="1:8" ht="15" x14ac:dyDescent="0.25">
      <c r="B15" t="s">
        <v>356</v>
      </c>
      <c r="C15" s="903">
        <f>D15-D12</f>
        <v>948686.21999999881</v>
      </c>
      <c r="D15" s="907">
        <v>14214270.859999999</v>
      </c>
      <c r="E15" s="901" t="s">
        <v>46</v>
      </c>
    </row>
    <row r="16" spans="1:8" ht="15" x14ac:dyDescent="0.25">
      <c r="B16" t="s">
        <v>357</v>
      </c>
      <c r="C16" s="908">
        <f>D16-D15</f>
        <v>1453704.7799999993</v>
      </c>
      <c r="D16" s="909">
        <v>15667975.639999999</v>
      </c>
    </row>
    <row r="17" spans="2:6" ht="15" x14ac:dyDescent="0.25">
      <c r="B17" t="s">
        <v>358</v>
      </c>
      <c r="C17" s="909">
        <v>1502868.5740181659</v>
      </c>
      <c r="D17" s="903">
        <f>D16+C17</f>
        <v>17170844.214018166</v>
      </c>
    </row>
    <row r="18" spans="2:6" ht="15" x14ac:dyDescent="0.25">
      <c r="B18" t="s">
        <v>359</v>
      </c>
      <c r="C18" s="909">
        <v>2288915.9923680597</v>
      </c>
      <c r="D18" s="903">
        <f>D17+C18</f>
        <v>19459760.206386227</v>
      </c>
      <c r="E18" s="901">
        <f>SUM(C15:C18)</f>
        <v>6194175.5663862238</v>
      </c>
      <c r="F18" s="901">
        <f>F12+E18</f>
        <v>18273356.128144383</v>
      </c>
    </row>
    <row r="19" spans="2:6" x14ac:dyDescent="0.2">
      <c r="C19" s="910"/>
      <c r="D19" s="901" t="s">
        <v>46</v>
      </c>
    </row>
    <row r="20" spans="2:6" ht="15" x14ac:dyDescent="0.25">
      <c r="B20" t="s">
        <v>360</v>
      </c>
      <c r="C20" s="909">
        <v>0</v>
      </c>
      <c r="D20" s="911">
        <v>19459760.206386223</v>
      </c>
      <c r="E20" s="901">
        <f>C20</f>
        <v>0</v>
      </c>
    </row>
    <row r="21" spans="2:6" x14ac:dyDescent="0.2">
      <c r="B21" t="s">
        <v>210</v>
      </c>
      <c r="E21" s="901" t="s">
        <v>46</v>
      </c>
    </row>
    <row r="22" spans="2:6" x14ac:dyDescent="0.2">
      <c r="E22" s="901">
        <f>SUM(E4:E20)</f>
        <v>19459760.206386223</v>
      </c>
    </row>
    <row r="23" spans="2:6" x14ac:dyDescent="0.2">
      <c r="D23" s="901" t="s">
        <v>46</v>
      </c>
    </row>
    <row r="25" spans="2:6" x14ac:dyDescent="0.2">
      <c r="B25" s="912" t="s">
        <v>361</v>
      </c>
    </row>
    <row r="26" spans="2:6" x14ac:dyDescent="0.2">
      <c r="B26" s="69" t="s">
        <v>362</v>
      </c>
    </row>
    <row r="27" spans="2:6" x14ac:dyDescent="0.2">
      <c r="B27" s="913" t="s">
        <v>363</v>
      </c>
    </row>
    <row r="28" spans="2:6" x14ac:dyDescent="0.2">
      <c r="B28" s="914" t="s">
        <v>364</v>
      </c>
    </row>
    <row r="29" spans="2:6" x14ac:dyDescent="0.2">
      <c r="B29" s="915" t="s">
        <v>365</v>
      </c>
    </row>
    <row r="30" spans="2:6" x14ac:dyDescent="0.2">
      <c r="B30" s="917" t="s">
        <v>368</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activeCell="F5" sqref="F5"/>
    </sheetView>
  </sheetViews>
  <sheetFormatPr defaultRowHeight="12.75" x14ac:dyDescent="0.2"/>
  <cols>
    <col min="2" max="2" width="43.85546875" customWidth="1"/>
    <col min="3" max="3" width="17" bestFit="1" customWidth="1"/>
  </cols>
  <sheetData>
    <row r="1" spans="1:9" x14ac:dyDescent="0.2">
      <c r="A1" s="1"/>
      <c r="E1" s="921" t="s">
        <v>370</v>
      </c>
    </row>
    <row r="2" spans="1:9" ht="13.5" thickBot="1" x14ac:dyDescent="0.25">
      <c r="B2" s="129" t="s">
        <v>52</v>
      </c>
      <c r="C2" s="116" t="s">
        <v>0</v>
      </c>
      <c r="D2" s="116" t="s">
        <v>53</v>
      </c>
    </row>
    <row r="3" spans="1:9" x14ac:dyDescent="0.2">
      <c r="E3" s="887" t="s">
        <v>344</v>
      </c>
      <c r="F3" s="887" t="s">
        <v>341</v>
      </c>
      <c r="G3" s="887" t="s">
        <v>342</v>
      </c>
      <c r="H3" s="887" t="s">
        <v>343</v>
      </c>
    </row>
    <row r="4" spans="1:9" s="102" customFormat="1" x14ac:dyDescent="0.2">
      <c r="B4" s="105" t="s">
        <v>99</v>
      </c>
      <c r="C4" s="898">
        <v>0.69</v>
      </c>
      <c r="D4" s="105" t="s">
        <v>65</v>
      </c>
      <c r="E4" s="899">
        <v>0.7</v>
      </c>
      <c r="F4" s="899">
        <v>0.62</v>
      </c>
      <c r="G4" s="899">
        <v>0.68</v>
      </c>
      <c r="H4" s="899">
        <v>0.76</v>
      </c>
      <c r="I4" s="102">
        <f>SUM(E4:H4)/4</f>
        <v>0.69</v>
      </c>
    </row>
    <row r="5" spans="1:9" x14ac:dyDescent="0.2">
      <c r="B5" s="31" t="s">
        <v>5</v>
      </c>
      <c r="C5" s="131">
        <f>'ERR &amp; Sensitivity Analysis'!G13</f>
        <v>4</v>
      </c>
      <c r="D5" s="31" t="s">
        <v>66</v>
      </c>
      <c r="F5" s="897" t="s">
        <v>119</v>
      </c>
      <c r="G5" s="897"/>
    </row>
    <row r="6" spans="1:9" x14ac:dyDescent="0.2">
      <c r="B6" s="31" t="s">
        <v>3</v>
      </c>
      <c r="C6" s="131">
        <f>'ERR &amp; Sensitivity Analysis'!G14</f>
        <v>5</v>
      </c>
      <c r="D6" s="31" t="s">
        <v>66</v>
      </c>
      <c r="F6" s="897" t="s">
        <v>120</v>
      </c>
      <c r="G6" s="897"/>
    </row>
    <row r="8" spans="1:9" x14ac:dyDescent="0.2">
      <c r="B8" s="107" t="s">
        <v>311</v>
      </c>
    </row>
    <row r="9" spans="1:9" x14ac:dyDescent="0.2">
      <c r="B9" s="125" t="s">
        <v>303</v>
      </c>
      <c r="C9" s="720">
        <v>0.3</v>
      </c>
      <c r="D9" s="31" t="s">
        <v>65</v>
      </c>
      <c r="E9" s="886">
        <v>0.16</v>
      </c>
      <c r="F9" s="31" t="s">
        <v>341</v>
      </c>
    </row>
    <row r="10" spans="1:9" x14ac:dyDescent="0.2">
      <c r="B10" s="31" t="s">
        <v>46</v>
      </c>
      <c r="E10" s="886">
        <v>0.36</v>
      </c>
      <c r="F10" s="31" t="s">
        <v>342</v>
      </c>
    </row>
    <row r="11" spans="1:9" x14ac:dyDescent="0.2">
      <c r="B11" s="107" t="s">
        <v>312</v>
      </c>
      <c r="E11" s="886">
        <v>0.38</v>
      </c>
      <c r="F11" s="31" t="s">
        <v>343</v>
      </c>
    </row>
    <row r="12" spans="1:9" x14ac:dyDescent="0.2">
      <c r="B12" s="31" t="s">
        <v>319</v>
      </c>
      <c r="C12" s="896">
        <f>'ERR &amp; Sensitivity Analysis'!G15</f>
        <v>3.7499999999999999E-2</v>
      </c>
      <c r="D12" s="130" t="s">
        <v>65</v>
      </c>
      <c r="E12" s="895">
        <f>SUM(E9:E11)/3</f>
        <v>0.3</v>
      </c>
    </row>
    <row r="15" spans="1:9" ht="15.75" x14ac:dyDescent="0.25">
      <c r="B15" s="812" t="s">
        <v>14</v>
      </c>
      <c r="C15" s="799">
        <f>IRR('Cost-Benefit Summary'!C14:V14)</f>
        <v>0.36039500237898325</v>
      </c>
    </row>
    <row r="18" spans="2:6" x14ac:dyDescent="0.2">
      <c r="B18" s="31" t="s">
        <v>46</v>
      </c>
    </row>
    <row r="26" spans="2:6" x14ac:dyDescent="0.2">
      <c r="F26" s="31" t="s">
        <v>46</v>
      </c>
    </row>
  </sheetData>
  <pageMargins left="0.7" right="0.7" top="0.75" bottom="0.75" header="0.3" footer="0.3"/>
  <pageSetup orientation="portrait" horizontalDpi="300"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1"/>
  <sheetViews>
    <sheetView workbookViewId="0"/>
  </sheetViews>
  <sheetFormatPr defaultRowHeight="12.75" x14ac:dyDescent="0.2"/>
  <sheetData>
    <row r="1" spans="14:14" x14ac:dyDescent="0.2">
      <c r="N1" s="1035" t="s">
        <v>370</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
  <sheetViews>
    <sheetView workbookViewId="0"/>
  </sheetViews>
  <sheetFormatPr defaultRowHeight="12.75" x14ac:dyDescent="0.2"/>
  <cols>
    <col min="1" max="1" width="9.140625" style="1034"/>
    <col min="2" max="2" width="0.85546875" style="1034" customWidth="1"/>
    <col min="3" max="3" width="47.28515625" style="1034" customWidth="1"/>
    <col min="4" max="4" width="12.28515625" style="1034" customWidth="1"/>
    <col min="5" max="5" width="0.7109375" style="1034" customWidth="1"/>
    <col min="6" max="6" width="8.85546875" style="1034" customWidth="1"/>
    <col min="7" max="8" width="7.85546875" style="1034" customWidth="1"/>
    <col min="9" max="9" width="8.140625" style="1034" customWidth="1"/>
    <col min="10" max="10" width="1.140625" style="1034" customWidth="1"/>
    <col min="11" max="14" width="9.140625" style="1034"/>
    <col min="15" max="15" width="15.5703125" style="1034" customWidth="1"/>
    <col min="16" max="257" width="9.140625" style="1034"/>
    <col min="258" max="258" width="0.85546875" style="1034" customWidth="1"/>
    <col min="259" max="259" width="47.28515625" style="1034" customWidth="1"/>
    <col min="260" max="260" width="12.28515625" style="1034" customWidth="1"/>
    <col min="261" max="261" width="0.7109375" style="1034" customWidth="1"/>
    <col min="262" max="262" width="8.85546875" style="1034" customWidth="1"/>
    <col min="263" max="264" width="7.85546875" style="1034" customWidth="1"/>
    <col min="265" max="265" width="8.140625" style="1034" customWidth="1"/>
    <col min="266" max="266" width="1.140625" style="1034" customWidth="1"/>
    <col min="267" max="270" width="9.140625" style="1034"/>
    <col min="271" max="271" width="15.5703125" style="1034" customWidth="1"/>
    <col min="272" max="513" width="9.140625" style="1034"/>
    <col min="514" max="514" width="0.85546875" style="1034" customWidth="1"/>
    <col min="515" max="515" width="47.28515625" style="1034" customWidth="1"/>
    <col min="516" max="516" width="12.28515625" style="1034" customWidth="1"/>
    <col min="517" max="517" width="0.7109375" style="1034" customWidth="1"/>
    <col min="518" max="518" width="8.85546875" style="1034" customWidth="1"/>
    <col min="519" max="520" width="7.85546875" style="1034" customWidth="1"/>
    <col min="521" max="521" width="8.140625" style="1034" customWidth="1"/>
    <col min="522" max="522" width="1.140625" style="1034" customWidth="1"/>
    <col min="523" max="526" width="9.140625" style="1034"/>
    <col min="527" max="527" width="15.5703125" style="1034" customWidth="1"/>
    <col min="528" max="769" width="9.140625" style="1034"/>
    <col min="770" max="770" width="0.85546875" style="1034" customWidth="1"/>
    <col min="771" max="771" width="47.28515625" style="1034" customWidth="1"/>
    <col min="772" max="772" width="12.28515625" style="1034" customWidth="1"/>
    <col min="773" max="773" width="0.7109375" style="1034" customWidth="1"/>
    <col min="774" max="774" width="8.85546875" style="1034" customWidth="1"/>
    <col min="775" max="776" width="7.85546875" style="1034" customWidth="1"/>
    <col min="777" max="777" width="8.140625" style="1034" customWidth="1"/>
    <col min="778" max="778" width="1.140625" style="1034" customWidth="1"/>
    <col min="779" max="782" width="9.140625" style="1034"/>
    <col min="783" max="783" width="15.5703125" style="1034" customWidth="1"/>
    <col min="784" max="1025" width="9.140625" style="1034"/>
    <col min="1026" max="1026" width="0.85546875" style="1034" customWidth="1"/>
    <col min="1027" max="1027" width="47.28515625" style="1034" customWidth="1"/>
    <col min="1028" max="1028" width="12.28515625" style="1034" customWidth="1"/>
    <col min="1029" max="1029" width="0.7109375" style="1034" customWidth="1"/>
    <col min="1030" max="1030" width="8.85546875" style="1034" customWidth="1"/>
    <col min="1031" max="1032" width="7.85546875" style="1034" customWidth="1"/>
    <col min="1033" max="1033" width="8.140625" style="1034" customWidth="1"/>
    <col min="1034" max="1034" width="1.140625" style="1034" customWidth="1"/>
    <col min="1035" max="1038" width="9.140625" style="1034"/>
    <col min="1039" max="1039" width="15.5703125" style="1034" customWidth="1"/>
    <col min="1040" max="1281" width="9.140625" style="1034"/>
    <col min="1282" max="1282" width="0.85546875" style="1034" customWidth="1"/>
    <col min="1283" max="1283" width="47.28515625" style="1034" customWidth="1"/>
    <col min="1284" max="1284" width="12.28515625" style="1034" customWidth="1"/>
    <col min="1285" max="1285" width="0.7109375" style="1034" customWidth="1"/>
    <col min="1286" max="1286" width="8.85546875" style="1034" customWidth="1"/>
    <col min="1287" max="1288" width="7.85546875" style="1034" customWidth="1"/>
    <col min="1289" max="1289" width="8.140625" style="1034" customWidth="1"/>
    <col min="1290" max="1290" width="1.140625" style="1034" customWidth="1"/>
    <col min="1291" max="1294" width="9.140625" style="1034"/>
    <col min="1295" max="1295" width="15.5703125" style="1034" customWidth="1"/>
    <col min="1296" max="1537" width="9.140625" style="1034"/>
    <col min="1538" max="1538" width="0.85546875" style="1034" customWidth="1"/>
    <col min="1539" max="1539" width="47.28515625" style="1034" customWidth="1"/>
    <col min="1540" max="1540" width="12.28515625" style="1034" customWidth="1"/>
    <col min="1541" max="1541" width="0.7109375" style="1034" customWidth="1"/>
    <col min="1542" max="1542" width="8.85546875" style="1034" customWidth="1"/>
    <col min="1543" max="1544" width="7.85546875" style="1034" customWidth="1"/>
    <col min="1545" max="1545" width="8.140625" style="1034" customWidth="1"/>
    <col min="1546" max="1546" width="1.140625" style="1034" customWidth="1"/>
    <col min="1547" max="1550" width="9.140625" style="1034"/>
    <col min="1551" max="1551" width="15.5703125" style="1034" customWidth="1"/>
    <col min="1552" max="1793" width="9.140625" style="1034"/>
    <col min="1794" max="1794" width="0.85546875" style="1034" customWidth="1"/>
    <col min="1795" max="1795" width="47.28515625" style="1034" customWidth="1"/>
    <col min="1796" max="1796" width="12.28515625" style="1034" customWidth="1"/>
    <col min="1797" max="1797" width="0.7109375" style="1034" customWidth="1"/>
    <col min="1798" max="1798" width="8.85546875" style="1034" customWidth="1"/>
    <col min="1799" max="1800" width="7.85546875" style="1034" customWidth="1"/>
    <col min="1801" max="1801" width="8.140625" style="1034" customWidth="1"/>
    <col min="1802" max="1802" width="1.140625" style="1034" customWidth="1"/>
    <col min="1803" max="1806" width="9.140625" style="1034"/>
    <col min="1807" max="1807" width="15.5703125" style="1034" customWidth="1"/>
    <col min="1808" max="2049" width="9.140625" style="1034"/>
    <col min="2050" max="2050" width="0.85546875" style="1034" customWidth="1"/>
    <col min="2051" max="2051" width="47.28515625" style="1034" customWidth="1"/>
    <col min="2052" max="2052" width="12.28515625" style="1034" customWidth="1"/>
    <col min="2053" max="2053" width="0.7109375" style="1034" customWidth="1"/>
    <col min="2054" max="2054" width="8.85546875" style="1034" customWidth="1"/>
    <col min="2055" max="2056" width="7.85546875" style="1034" customWidth="1"/>
    <col min="2057" max="2057" width="8.140625" style="1034" customWidth="1"/>
    <col min="2058" max="2058" width="1.140625" style="1034" customWidth="1"/>
    <col min="2059" max="2062" width="9.140625" style="1034"/>
    <col min="2063" max="2063" width="15.5703125" style="1034" customWidth="1"/>
    <col min="2064" max="2305" width="9.140625" style="1034"/>
    <col min="2306" max="2306" width="0.85546875" style="1034" customWidth="1"/>
    <col min="2307" max="2307" width="47.28515625" style="1034" customWidth="1"/>
    <col min="2308" max="2308" width="12.28515625" style="1034" customWidth="1"/>
    <col min="2309" max="2309" width="0.7109375" style="1034" customWidth="1"/>
    <col min="2310" max="2310" width="8.85546875" style="1034" customWidth="1"/>
    <col min="2311" max="2312" width="7.85546875" style="1034" customWidth="1"/>
    <col min="2313" max="2313" width="8.140625" style="1034" customWidth="1"/>
    <col min="2314" max="2314" width="1.140625" style="1034" customWidth="1"/>
    <col min="2315" max="2318" width="9.140625" style="1034"/>
    <col min="2319" max="2319" width="15.5703125" style="1034" customWidth="1"/>
    <col min="2320" max="2561" width="9.140625" style="1034"/>
    <col min="2562" max="2562" width="0.85546875" style="1034" customWidth="1"/>
    <col min="2563" max="2563" width="47.28515625" style="1034" customWidth="1"/>
    <col min="2564" max="2564" width="12.28515625" style="1034" customWidth="1"/>
    <col min="2565" max="2565" width="0.7109375" style="1034" customWidth="1"/>
    <col min="2566" max="2566" width="8.85546875" style="1034" customWidth="1"/>
    <col min="2567" max="2568" width="7.85546875" style="1034" customWidth="1"/>
    <col min="2569" max="2569" width="8.140625" style="1034" customWidth="1"/>
    <col min="2570" max="2570" width="1.140625" style="1034" customWidth="1"/>
    <col min="2571" max="2574" width="9.140625" style="1034"/>
    <col min="2575" max="2575" width="15.5703125" style="1034" customWidth="1"/>
    <col min="2576" max="2817" width="9.140625" style="1034"/>
    <col min="2818" max="2818" width="0.85546875" style="1034" customWidth="1"/>
    <col min="2819" max="2819" width="47.28515625" style="1034" customWidth="1"/>
    <col min="2820" max="2820" width="12.28515625" style="1034" customWidth="1"/>
    <col min="2821" max="2821" width="0.7109375" style="1034" customWidth="1"/>
    <col min="2822" max="2822" width="8.85546875" style="1034" customWidth="1"/>
    <col min="2823" max="2824" width="7.85546875" style="1034" customWidth="1"/>
    <col min="2825" max="2825" width="8.140625" style="1034" customWidth="1"/>
    <col min="2826" max="2826" width="1.140625" style="1034" customWidth="1"/>
    <col min="2827" max="2830" width="9.140625" style="1034"/>
    <col min="2831" max="2831" width="15.5703125" style="1034" customWidth="1"/>
    <col min="2832" max="3073" width="9.140625" style="1034"/>
    <col min="3074" max="3074" width="0.85546875" style="1034" customWidth="1"/>
    <col min="3075" max="3075" width="47.28515625" style="1034" customWidth="1"/>
    <col min="3076" max="3076" width="12.28515625" style="1034" customWidth="1"/>
    <col min="3077" max="3077" width="0.7109375" style="1034" customWidth="1"/>
    <col min="3078" max="3078" width="8.85546875" style="1034" customWidth="1"/>
    <col min="3079" max="3080" width="7.85546875" style="1034" customWidth="1"/>
    <col min="3081" max="3081" width="8.140625" style="1034" customWidth="1"/>
    <col min="3082" max="3082" width="1.140625" style="1034" customWidth="1"/>
    <col min="3083" max="3086" width="9.140625" style="1034"/>
    <col min="3087" max="3087" width="15.5703125" style="1034" customWidth="1"/>
    <col min="3088" max="3329" width="9.140625" style="1034"/>
    <col min="3330" max="3330" width="0.85546875" style="1034" customWidth="1"/>
    <col min="3331" max="3331" width="47.28515625" style="1034" customWidth="1"/>
    <col min="3332" max="3332" width="12.28515625" style="1034" customWidth="1"/>
    <col min="3333" max="3333" width="0.7109375" style="1034" customWidth="1"/>
    <col min="3334" max="3334" width="8.85546875" style="1034" customWidth="1"/>
    <col min="3335" max="3336" width="7.85546875" style="1034" customWidth="1"/>
    <col min="3337" max="3337" width="8.140625" style="1034" customWidth="1"/>
    <col min="3338" max="3338" width="1.140625" style="1034" customWidth="1"/>
    <col min="3339" max="3342" width="9.140625" style="1034"/>
    <col min="3343" max="3343" width="15.5703125" style="1034" customWidth="1"/>
    <col min="3344" max="3585" width="9.140625" style="1034"/>
    <col min="3586" max="3586" width="0.85546875" style="1034" customWidth="1"/>
    <col min="3587" max="3587" width="47.28515625" style="1034" customWidth="1"/>
    <col min="3588" max="3588" width="12.28515625" style="1034" customWidth="1"/>
    <col min="3589" max="3589" width="0.7109375" style="1034" customWidth="1"/>
    <col min="3590" max="3590" width="8.85546875" style="1034" customWidth="1"/>
    <col min="3591" max="3592" width="7.85546875" style="1034" customWidth="1"/>
    <col min="3593" max="3593" width="8.140625" style="1034" customWidth="1"/>
    <col min="3594" max="3594" width="1.140625" style="1034" customWidth="1"/>
    <col min="3595" max="3598" width="9.140625" style="1034"/>
    <col min="3599" max="3599" width="15.5703125" style="1034" customWidth="1"/>
    <col min="3600" max="3841" width="9.140625" style="1034"/>
    <col min="3842" max="3842" width="0.85546875" style="1034" customWidth="1"/>
    <col min="3843" max="3843" width="47.28515625" style="1034" customWidth="1"/>
    <col min="3844" max="3844" width="12.28515625" style="1034" customWidth="1"/>
    <col min="3845" max="3845" width="0.7109375" style="1034" customWidth="1"/>
    <col min="3846" max="3846" width="8.85546875" style="1034" customWidth="1"/>
    <col min="3847" max="3848" width="7.85546875" style="1034" customWidth="1"/>
    <col min="3849" max="3849" width="8.140625" style="1034" customWidth="1"/>
    <col min="3850" max="3850" width="1.140625" style="1034" customWidth="1"/>
    <col min="3851" max="3854" width="9.140625" style="1034"/>
    <col min="3855" max="3855" width="15.5703125" style="1034" customWidth="1"/>
    <col min="3856" max="4097" width="9.140625" style="1034"/>
    <col min="4098" max="4098" width="0.85546875" style="1034" customWidth="1"/>
    <col min="4099" max="4099" width="47.28515625" style="1034" customWidth="1"/>
    <col min="4100" max="4100" width="12.28515625" style="1034" customWidth="1"/>
    <col min="4101" max="4101" width="0.7109375" style="1034" customWidth="1"/>
    <col min="4102" max="4102" width="8.85546875" style="1034" customWidth="1"/>
    <col min="4103" max="4104" width="7.85546875" style="1034" customWidth="1"/>
    <col min="4105" max="4105" width="8.140625" style="1034" customWidth="1"/>
    <col min="4106" max="4106" width="1.140625" style="1034" customWidth="1"/>
    <col min="4107" max="4110" width="9.140625" style="1034"/>
    <col min="4111" max="4111" width="15.5703125" style="1034" customWidth="1"/>
    <col min="4112" max="4353" width="9.140625" style="1034"/>
    <col min="4354" max="4354" width="0.85546875" style="1034" customWidth="1"/>
    <col min="4355" max="4355" width="47.28515625" style="1034" customWidth="1"/>
    <col min="4356" max="4356" width="12.28515625" style="1034" customWidth="1"/>
    <col min="4357" max="4357" width="0.7109375" style="1034" customWidth="1"/>
    <col min="4358" max="4358" width="8.85546875" style="1034" customWidth="1"/>
    <col min="4359" max="4360" width="7.85546875" style="1034" customWidth="1"/>
    <col min="4361" max="4361" width="8.140625" style="1034" customWidth="1"/>
    <col min="4362" max="4362" width="1.140625" style="1034" customWidth="1"/>
    <col min="4363" max="4366" width="9.140625" style="1034"/>
    <col min="4367" max="4367" width="15.5703125" style="1034" customWidth="1"/>
    <col min="4368" max="4609" width="9.140625" style="1034"/>
    <col min="4610" max="4610" width="0.85546875" style="1034" customWidth="1"/>
    <col min="4611" max="4611" width="47.28515625" style="1034" customWidth="1"/>
    <col min="4612" max="4612" width="12.28515625" style="1034" customWidth="1"/>
    <col min="4613" max="4613" width="0.7109375" style="1034" customWidth="1"/>
    <col min="4614" max="4614" width="8.85546875" style="1034" customWidth="1"/>
    <col min="4615" max="4616" width="7.85546875" style="1034" customWidth="1"/>
    <col min="4617" max="4617" width="8.140625" style="1034" customWidth="1"/>
    <col min="4618" max="4618" width="1.140625" style="1034" customWidth="1"/>
    <col min="4619" max="4622" width="9.140625" style="1034"/>
    <col min="4623" max="4623" width="15.5703125" style="1034" customWidth="1"/>
    <col min="4624" max="4865" width="9.140625" style="1034"/>
    <col min="4866" max="4866" width="0.85546875" style="1034" customWidth="1"/>
    <col min="4867" max="4867" width="47.28515625" style="1034" customWidth="1"/>
    <col min="4868" max="4868" width="12.28515625" style="1034" customWidth="1"/>
    <col min="4869" max="4869" width="0.7109375" style="1034" customWidth="1"/>
    <col min="4870" max="4870" width="8.85546875" style="1034" customWidth="1"/>
    <col min="4871" max="4872" width="7.85546875" style="1034" customWidth="1"/>
    <col min="4873" max="4873" width="8.140625" style="1034" customWidth="1"/>
    <col min="4874" max="4874" width="1.140625" style="1034" customWidth="1"/>
    <col min="4875" max="4878" width="9.140625" style="1034"/>
    <col min="4879" max="4879" width="15.5703125" style="1034" customWidth="1"/>
    <col min="4880" max="5121" width="9.140625" style="1034"/>
    <col min="5122" max="5122" width="0.85546875" style="1034" customWidth="1"/>
    <col min="5123" max="5123" width="47.28515625" style="1034" customWidth="1"/>
    <col min="5124" max="5124" width="12.28515625" style="1034" customWidth="1"/>
    <col min="5125" max="5125" width="0.7109375" style="1034" customWidth="1"/>
    <col min="5126" max="5126" width="8.85546875" style="1034" customWidth="1"/>
    <col min="5127" max="5128" width="7.85546875" style="1034" customWidth="1"/>
    <col min="5129" max="5129" width="8.140625" style="1034" customWidth="1"/>
    <col min="5130" max="5130" width="1.140625" style="1034" customWidth="1"/>
    <col min="5131" max="5134" width="9.140625" style="1034"/>
    <col min="5135" max="5135" width="15.5703125" style="1034" customWidth="1"/>
    <col min="5136" max="5377" width="9.140625" style="1034"/>
    <col min="5378" max="5378" width="0.85546875" style="1034" customWidth="1"/>
    <col min="5379" max="5379" width="47.28515625" style="1034" customWidth="1"/>
    <col min="5380" max="5380" width="12.28515625" style="1034" customWidth="1"/>
    <col min="5381" max="5381" width="0.7109375" style="1034" customWidth="1"/>
    <col min="5382" max="5382" width="8.85546875" style="1034" customWidth="1"/>
    <col min="5383" max="5384" width="7.85546875" style="1034" customWidth="1"/>
    <col min="5385" max="5385" width="8.140625" style="1034" customWidth="1"/>
    <col min="5386" max="5386" width="1.140625" style="1034" customWidth="1"/>
    <col min="5387" max="5390" width="9.140625" style="1034"/>
    <col min="5391" max="5391" width="15.5703125" style="1034" customWidth="1"/>
    <col min="5392" max="5633" width="9.140625" style="1034"/>
    <col min="5634" max="5634" width="0.85546875" style="1034" customWidth="1"/>
    <col min="5635" max="5635" width="47.28515625" style="1034" customWidth="1"/>
    <col min="5636" max="5636" width="12.28515625" style="1034" customWidth="1"/>
    <col min="5637" max="5637" width="0.7109375" style="1034" customWidth="1"/>
    <col min="5638" max="5638" width="8.85546875" style="1034" customWidth="1"/>
    <col min="5639" max="5640" width="7.85546875" style="1034" customWidth="1"/>
    <col min="5641" max="5641" width="8.140625" style="1034" customWidth="1"/>
    <col min="5642" max="5642" width="1.140625" style="1034" customWidth="1"/>
    <col min="5643" max="5646" width="9.140625" style="1034"/>
    <col min="5647" max="5647" width="15.5703125" style="1034" customWidth="1"/>
    <col min="5648" max="5889" width="9.140625" style="1034"/>
    <col min="5890" max="5890" width="0.85546875" style="1034" customWidth="1"/>
    <col min="5891" max="5891" width="47.28515625" style="1034" customWidth="1"/>
    <col min="5892" max="5892" width="12.28515625" style="1034" customWidth="1"/>
    <col min="5893" max="5893" width="0.7109375" style="1034" customWidth="1"/>
    <col min="5894" max="5894" width="8.85546875" style="1034" customWidth="1"/>
    <col min="5895" max="5896" width="7.85546875" style="1034" customWidth="1"/>
    <col min="5897" max="5897" width="8.140625" style="1034" customWidth="1"/>
    <col min="5898" max="5898" width="1.140625" style="1034" customWidth="1"/>
    <col min="5899" max="5902" width="9.140625" style="1034"/>
    <col min="5903" max="5903" width="15.5703125" style="1034" customWidth="1"/>
    <col min="5904" max="6145" width="9.140625" style="1034"/>
    <col min="6146" max="6146" width="0.85546875" style="1034" customWidth="1"/>
    <col min="6147" max="6147" width="47.28515625" style="1034" customWidth="1"/>
    <col min="6148" max="6148" width="12.28515625" style="1034" customWidth="1"/>
    <col min="6149" max="6149" width="0.7109375" style="1034" customWidth="1"/>
    <col min="6150" max="6150" width="8.85546875" style="1034" customWidth="1"/>
    <col min="6151" max="6152" width="7.85546875" style="1034" customWidth="1"/>
    <col min="6153" max="6153" width="8.140625" style="1034" customWidth="1"/>
    <col min="6154" max="6154" width="1.140625" style="1034" customWidth="1"/>
    <col min="6155" max="6158" width="9.140625" style="1034"/>
    <col min="6159" max="6159" width="15.5703125" style="1034" customWidth="1"/>
    <col min="6160" max="6401" width="9.140625" style="1034"/>
    <col min="6402" max="6402" width="0.85546875" style="1034" customWidth="1"/>
    <col min="6403" max="6403" width="47.28515625" style="1034" customWidth="1"/>
    <col min="6404" max="6404" width="12.28515625" style="1034" customWidth="1"/>
    <col min="6405" max="6405" width="0.7109375" style="1034" customWidth="1"/>
    <col min="6406" max="6406" width="8.85546875" style="1034" customWidth="1"/>
    <col min="6407" max="6408" width="7.85546875" style="1034" customWidth="1"/>
    <col min="6409" max="6409" width="8.140625" style="1034" customWidth="1"/>
    <col min="6410" max="6410" width="1.140625" style="1034" customWidth="1"/>
    <col min="6411" max="6414" width="9.140625" style="1034"/>
    <col min="6415" max="6415" width="15.5703125" style="1034" customWidth="1"/>
    <col min="6416" max="6657" width="9.140625" style="1034"/>
    <col min="6658" max="6658" width="0.85546875" style="1034" customWidth="1"/>
    <col min="6659" max="6659" width="47.28515625" style="1034" customWidth="1"/>
    <col min="6660" max="6660" width="12.28515625" style="1034" customWidth="1"/>
    <col min="6661" max="6661" width="0.7109375" style="1034" customWidth="1"/>
    <col min="6662" max="6662" width="8.85546875" style="1034" customWidth="1"/>
    <col min="6663" max="6664" width="7.85546875" style="1034" customWidth="1"/>
    <col min="6665" max="6665" width="8.140625" style="1034" customWidth="1"/>
    <col min="6666" max="6666" width="1.140625" style="1034" customWidth="1"/>
    <col min="6667" max="6670" width="9.140625" style="1034"/>
    <col min="6671" max="6671" width="15.5703125" style="1034" customWidth="1"/>
    <col min="6672" max="6913" width="9.140625" style="1034"/>
    <col min="6914" max="6914" width="0.85546875" style="1034" customWidth="1"/>
    <col min="6915" max="6915" width="47.28515625" style="1034" customWidth="1"/>
    <col min="6916" max="6916" width="12.28515625" style="1034" customWidth="1"/>
    <col min="6917" max="6917" width="0.7109375" style="1034" customWidth="1"/>
    <col min="6918" max="6918" width="8.85546875" style="1034" customWidth="1"/>
    <col min="6919" max="6920" width="7.85546875" style="1034" customWidth="1"/>
    <col min="6921" max="6921" width="8.140625" style="1034" customWidth="1"/>
    <col min="6922" max="6922" width="1.140625" style="1034" customWidth="1"/>
    <col min="6923" max="6926" width="9.140625" style="1034"/>
    <col min="6927" max="6927" width="15.5703125" style="1034" customWidth="1"/>
    <col min="6928" max="7169" width="9.140625" style="1034"/>
    <col min="7170" max="7170" width="0.85546875" style="1034" customWidth="1"/>
    <col min="7171" max="7171" width="47.28515625" style="1034" customWidth="1"/>
    <col min="7172" max="7172" width="12.28515625" style="1034" customWidth="1"/>
    <col min="7173" max="7173" width="0.7109375" style="1034" customWidth="1"/>
    <col min="7174" max="7174" width="8.85546875" style="1034" customWidth="1"/>
    <col min="7175" max="7176" width="7.85546875" style="1034" customWidth="1"/>
    <col min="7177" max="7177" width="8.140625" style="1034" customWidth="1"/>
    <col min="7178" max="7178" width="1.140625" style="1034" customWidth="1"/>
    <col min="7179" max="7182" width="9.140625" style="1034"/>
    <col min="7183" max="7183" width="15.5703125" style="1034" customWidth="1"/>
    <col min="7184" max="7425" width="9.140625" style="1034"/>
    <col min="7426" max="7426" width="0.85546875" style="1034" customWidth="1"/>
    <col min="7427" max="7427" width="47.28515625" style="1034" customWidth="1"/>
    <col min="7428" max="7428" width="12.28515625" style="1034" customWidth="1"/>
    <col min="7429" max="7429" width="0.7109375" style="1034" customWidth="1"/>
    <col min="7430" max="7430" width="8.85546875" style="1034" customWidth="1"/>
    <col min="7431" max="7432" width="7.85546875" style="1034" customWidth="1"/>
    <col min="7433" max="7433" width="8.140625" style="1034" customWidth="1"/>
    <col min="7434" max="7434" width="1.140625" style="1034" customWidth="1"/>
    <col min="7435" max="7438" width="9.140625" style="1034"/>
    <col min="7439" max="7439" width="15.5703125" style="1034" customWidth="1"/>
    <col min="7440" max="7681" width="9.140625" style="1034"/>
    <col min="7682" max="7682" width="0.85546875" style="1034" customWidth="1"/>
    <col min="7683" max="7683" width="47.28515625" style="1034" customWidth="1"/>
    <col min="7684" max="7684" width="12.28515625" style="1034" customWidth="1"/>
    <col min="7685" max="7685" width="0.7109375" style="1034" customWidth="1"/>
    <col min="7686" max="7686" width="8.85546875" style="1034" customWidth="1"/>
    <col min="7687" max="7688" width="7.85546875" style="1034" customWidth="1"/>
    <col min="7689" max="7689" width="8.140625" style="1034" customWidth="1"/>
    <col min="7690" max="7690" width="1.140625" style="1034" customWidth="1"/>
    <col min="7691" max="7694" width="9.140625" style="1034"/>
    <col min="7695" max="7695" width="15.5703125" style="1034" customWidth="1"/>
    <col min="7696" max="7937" width="9.140625" style="1034"/>
    <col min="7938" max="7938" width="0.85546875" style="1034" customWidth="1"/>
    <col min="7939" max="7939" width="47.28515625" style="1034" customWidth="1"/>
    <col min="7940" max="7940" width="12.28515625" style="1034" customWidth="1"/>
    <col min="7941" max="7941" width="0.7109375" style="1034" customWidth="1"/>
    <col min="7942" max="7942" width="8.85546875" style="1034" customWidth="1"/>
    <col min="7943" max="7944" width="7.85546875" style="1034" customWidth="1"/>
    <col min="7945" max="7945" width="8.140625" style="1034" customWidth="1"/>
    <col min="7946" max="7946" width="1.140625" style="1034" customWidth="1"/>
    <col min="7947" max="7950" width="9.140625" style="1034"/>
    <col min="7951" max="7951" width="15.5703125" style="1034" customWidth="1"/>
    <col min="7952" max="8193" width="9.140625" style="1034"/>
    <col min="8194" max="8194" width="0.85546875" style="1034" customWidth="1"/>
    <col min="8195" max="8195" width="47.28515625" style="1034" customWidth="1"/>
    <col min="8196" max="8196" width="12.28515625" style="1034" customWidth="1"/>
    <col min="8197" max="8197" width="0.7109375" style="1034" customWidth="1"/>
    <col min="8198" max="8198" width="8.85546875" style="1034" customWidth="1"/>
    <col min="8199" max="8200" width="7.85546875" style="1034" customWidth="1"/>
    <col min="8201" max="8201" width="8.140625" style="1034" customWidth="1"/>
    <col min="8202" max="8202" width="1.140625" style="1034" customWidth="1"/>
    <col min="8203" max="8206" width="9.140625" style="1034"/>
    <col min="8207" max="8207" width="15.5703125" style="1034" customWidth="1"/>
    <col min="8208" max="8449" width="9.140625" style="1034"/>
    <col min="8450" max="8450" width="0.85546875" style="1034" customWidth="1"/>
    <col min="8451" max="8451" width="47.28515625" style="1034" customWidth="1"/>
    <col min="8452" max="8452" width="12.28515625" style="1034" customWidth="1"/>
    <col min="8453" max="8453" width="0.7109375" style="1034" customWidth="1"/>
    <col min="8454" max="8454" width="8.85546875" style="1034" customWidth="1"/>
    <col min="8455" max="8456" width="7.85546875" style="1034" customWidth="1"/>
    <col min="8457" max="8457" width="8.140625" style="1034" customWidth="1"/>
    <col min="8458" max="8458" width="1.140625" style="1034" customWidth="1"/>
    <col min="8459" max="8462" width="9.140625" style="1034"/>
    <col min="8463" max="8463" width="15.5703125" style="1034" customWidth="1"/>
    <col min="8464" max="8705" width="9.140625" style="1034"/>
    <col min="8706" max="8706" width="0.85546875" style="1034" customWidth="1"/>
    <col min="8707" max="8707" width="47.28515625" style="1034" customWidth="1"/>
    <col min="8708" max="8708" width="12.28515625" style="1034" customWidth="1"/>
    <col min="8709" max="8709" width="0.7109375" style="1034" customWidth="1"/>
    <col min="8710" max="8710" width="8.85546875" style="1034" customWidth="1"/>
    <col min="8711" max="8712" width="7.85546875" style="1034" customWidth="1"/>
    <col min="8713" max="8713" width="8.140625" style="1034" customWidth="1"/>
    <col min="8714" max="8714" width="1.140625" style="1034" customWidth="1"/>
    <col min="8715" max="8718" width="9.140625" style="1034"/>
    <col min="8719" max="8719" width="15.5703125" style="1034" customWidth="1"/>
    <col min="8720" max="8961" width="9.140625" style="1034"/>
    <col min="8962" max="8962" width="0.85546875" style="1034" customWidth="1"/>
    <col min="8963" max="8963" width="47.28515625" style="1034" customWidth="1"/>
    <col min="8964" max="8964" width="12.28515625" style="1034" customWidth="1"/>
    <col min="8965" max="8965" width="0.7109375" style="1034" customWidth="1"/>
    <col min="8966" max="8966" width="8.85546875" style="1034" customWidth="1"/>
    <col min="8967" max="8968" width="7.85546875" style="1034" customWidth="1"/>
    <col min="8969" max="8969" width="8.140625" style="1034" customWidth="1"/>
    <col min="8970" max="8970" width="1.140625" style="1034" customWidth="1"/>
    <col min="8971" max="8974" width="9.140625" style="1034"/>
    <col min="8975" max="8975" width="15.5703125" style="1034" customWidth="1"/>
    <col min="8976" max="9217" width="9.140625" style="1034"/>
    <col min="9218" max="9218" width="0.85546875" style="1034" customWidth="1"/>
    <col min="9219" max="9219" width="47.28515625" style="1034" customWidth="1"/>
    <col min="9220" max="9220" width="12.28515625" style="1034" customWidth="1"/>
    <col min="9221" max="9221" width="0.7109375" style="1034" customWidth="1"/>
    <col min="9222" max="9222" width="8.85546875" style="1034" customWidth="1"/>
    <col min="9223" max="9224" width="7.85546875" style="1034" customWidth="1"/>
    <col min="9225" max="9225" width="8.140625" style="1034" customWidth="1"/>
    <col min="9226" max="9226" width="1.140625" style="1034" customWidth="1"/>
    <col min="9227" max="9230" width="9.140625" style="1034"/>
    <col min="9231" max="9231" width="15.5703125" style="1034" customWidth="1"/>
    <col min="9232" max="9473" width="9.140625" style="1034"/>
    <col min="9474" max="9474" width="0.85546875" style="1034" customWidth="1"/>
    <col min="9475" max="9475" width="47.28515625" style="1034" customWidth="1"/>
    <col min="9476" max="9476" width="12.28515625" style="1034" customWidth="1"/>
    <col min="9477" max="9477" width="0.7109375" style="1034" customWidth="1"/>
    <col min="9478" max="9478" width="8.85546875" style="1034" customWidth="1"/>
    <col min="9479" max="9480" width="7.85546875" style="1034" customWidth="1"/>
    <col min="9481" max="9481" width="8.140625" style="1034" customWidth="1"/>
    <col min="9482" max="9482" width="1.140625" style="1034" customWidth="1"/>
    <col min="9483" max="9486" width="9.140625" style="1034"/>
    <col min="9487" max="9487" width="15.5703125" style="1034" customWidth="1"/>
    <col min="9488" max="9729" width="9.140625" style="1034"/>
    <col min="9730" max="9730" width="0.85546875" style="1034" customWidth="1"/>
    <col min="9731" max="9731" width="47.28515625" style="1034" customWidth="1"/>
    <col min="9732" max="9732" width="12.28515625" style="1034" customWidth="1"/>
    <col min="9733" max="9733" width="0.7109375" style="1034" customWidth="1"/>
    <col min="9734" max="9734" width="8.85546875" style="1034" customWidth="1"/>
    <col min="9735" max="9736" width="7.85546875" style="1034" customWidth="1"/>
    <col min="9737" max="9737" width="8.140625" style="1034" customWidth="1"/>
    <col min="9738" max="9738" width="1.140625" style="1034" customWidth="1"/>
    <col min="9739" max="9742" width="9.140625" style="1034"/>
    <col min="9743" max="9743" width="15.5703125" style="1034" customWidth="1"/>
    <col min="9744" max="9985" width="9.140625" style="1034"/>
    <col min="9986" max="9986" width="0.85546875" style="1034" customWidth="1"/>
    <col min="9987" max="9987" width="47.28515625" style="1034" customWidth="1"/>
    <col min="9988" max="9988" width="12.28515625" style="1034" customWidth="1"/>
    <col min="9989" max="9989" width="0.7109375" style="1034" customWidth="1"/>
    <col min="9990" max="9990" width="8.85546875" style="1034" customWidth="1"/>
    <col min="9991" max="9992" width="7.85546875" style="1034" customWidth="1"/>
    <col min="9993" max="9993" width="8.140625" style="1034" customWidth="1"/>
    <col min="9994" max="9994" width="1.140625" style="1034" customWidth="1"/>
    <col min="9995" max="9998" width="9.140625" style="1034"/>
    <col min="9999" max="9999" width="15.5703125" style="1034" customWidth="1"/>
    <col min="10000" max="10241" width="9.140625" style="1034"/>
    <col min="10242" max="10242" width="0.85546875" style="1034" customWidth="1"/>
    <col min="10243" max="10243" width="47.28515625" style="1034" customWidth="1"/>
    <col min="10244" max="10244" width="12.28515625" style="1034" customWidth="1"/>
    <col min="10245" max="10245" width="0.7109375" style="1034" customWidth="1"/>
    <col min="10246" max="10246" width="8.85546875" style="1034" customWidth="1"/>
    <col min="10247" max="10248" width="7.85546875" style="1034" customWidth="1"/>
    <col min="10249" max="10249" width="8.140625" style="1034" customWidth="1"/>
    <col min="10250" max="10250" width="1.140625" style="1034" customWidth="1"/>
    <col min="10251" max="10254" width="9.140625" style="1034"/>
    <col min="10255" max="10255" width="15.5703125" style="1034" customWidth="1"/>
    <col min="10256" max="10497" width="9.140625" style="1034"/>
    <col min="10498" max="10498" width="0.85546875" style="1034" customWidth="1"/>
    <col min="10499" max="10499" width="47.28515625" style="1034" customWidth="1"/>
    <col min="10500" max="10500" width="12.28515625" style="1034" customWidth="1"/>
    <col min="10501" max="10501" width="0.7109375" style="1034" customWidth="1"/>
    <col min="10502" max="10502" width="8.85546875" style="1034" customWidth="1"/>
    <col min="10503" max="10504" width="7.85546875" style="1034" customWidth="1"/>
    <col min="10505" max="10505" width="8.140625" style="1034" customWidth="1"/>
    <col min="10506" max="10506" width="1.140625" style="1034" customWidth="1"/>
    <col min="10507" max="10510" width="9.140625" style="1034"/>
    <col min="10511" max="10511" width="15.5703125" style="1034" customWidth="1"/>
    <col min="10512" max="10753" width="9.140625" style="1034"/>
    <col min="10754" max="10754" width="0.85546875" style="1034" customWidth="1"/>
    <col min="10755" max="10755" width="47.28515625" style="1034" customWidth="1"/>
    <col min="10756" max="10756" width="12.28515625" style="1034" customWidth="1"/>
    <col min="10757" max="10757" width="0.7109375" style="1034" customWidth="1"/>
    <col min="10758" max="10758" width="8.85546875" style="1034" customWidth="1"/>
    <col min="10759" max="10760" width="7.85546875" style="1034" customWidth="1"/>
    <col min="10761" max="10761" width="8.140625" style="1034" customWidth="1"/>
    <col min="10762" max="10762" width="1.140625" style="1034" customWidth="1"/>
    <col min="10763" max="10766" width="9.140625" style="1034"/>
    <col min="10767" max="10767" width="15.5703125" style="1034" customWidth="1"/>
    <col min="10768" max="11009" width="9.140625" style="1034"/>
    <col min="11010" max="11010" width="0.85546875" style="1034" customWidth="1"/>
    <col min="11011" max="11011" width="47.28515625" style="1034" customWidth="1"/>
    <col min="11012" max="11012" width="12.28515625" style="1034" customWidth="1"/>
    <col min="11013" max="11013" width="0.7109375" style="1034" customWidth="1"/>
    <col min="11014" max="11014" width="8.85546875" style="1034" customWidth="1"/>
    <col min="11015" max="11016" width="7.85546875" style="1034" customWidth="1"/>
    <col min="11017" max="11017" width="8.140625" style="1034" customWidth="1"/>
    <col min="11018" max="11018" width="1.140625" style="1034" customWidth="1"/>
    <col min="11019" max="11022" width="9.140625" style="1034"/>
    <col min="11023" max="11023" width="15.5703125" style="1034" customWidth="1"/>
    <col min="11024" max="11265" width="9.140625" style="1034"/>
    <col min="11266" max="11266" width="0.85546875" style="1034" customWidth="1"/>
    <col min="11267" max="11267" width="47.28515625" style="1034" customWidth="1"/>
    <col min="11268" max="11268" width="12.28515625" style="1034" customWidth="1"/>
    <col min="11269" max="11269" width="0.7109375" style="1034" customWidth="1"/>
    <col min="11270" max="11270" width="8.85546875" style="1034" customWidth="1"/>
    <col min="11271" max="11272" width="7.85546875" style="1034" customWidth="1"/>
    <col min="11273" max="11273" width="8.140625" style="1034" customWidth="1"/>
    <col min="11274" max="11274" width="1.140625" style="1034" customWidth="1"/>
    <col min="11275" max="11278" width="9.140625" style="1034"/>
    <col min="11279" max="11279" width="15.5703125" style="1034" customWidth="1"/>
    <col min="11280" max="11521" width="9.140625" style="1034"/>
    <col min="11522" max="11522" width="0.85546875" style="1034" customWidth="1"/>
    <col min="11523" max="11523" width="47.28515625" style="1034" customWidth="1"/>
    <col min="11524" max="11524" width="12.28515625" style="1034" customWidth="1"/>
    <col min="11525" max="11525" width="0.7109375" style="1034" customWidth="1"/>
    <col min="11526" max="11526" width="8.85546875" style="1034" customWidth="1"/>
    <col min="11527" max="11528" width="7.85546875" style="1034" customWidth="1"/>
    <col min="11529" max="11529" width="8.140625" style="1034" customWidth="1"/>
    <col min="11530" max="11530" width="1.140625" style="1034" customWidth="1"/>
    <col min="11531" max="11534" width="9.140625" style="1034"/>
    <col min="11535" max="11535" width="15.5703125" style="1034" customWidth="1"/>
    <col min="11536" max="11777" width="9.140625" style="1034"/>
    <col min="11778" max="11778" width="0.85546875" style="1034" customWidth="1"/>
    <col min="11779" max="11779" width="47.28515625" style="1034" customWidth="1"/>
    <col min="11780" max="11780" width="12.28515625" style="1034" customWidth="1"/>
    <col min="11781" max="11781" width="0.7109375" style="1034" customWidth="1"/>
    <col min="11782" max="11782" width="8.85546875" style="1034" customWidth="1"/>
    <col min="11783" max="11784" width="7.85546875" style="1034" customWidth="1"/>
    <col min="11785" max="11785" width="8.140625" style="1034" customWidth="1"/>
    <col min="11786" max="11786" width="1.140625" style="1034" customWidth="1"/>
    <col min="11787" max="11790" width="9.140625" style="1034"/>
    <col min="11791" max="11791" width="15.5703125" style="1034" customWidth="1"/>
    <col min="11792" max="12033" width="9.140625" style="1034"/>
    <col min="12034" max="12034" width="0.85546875" style="1034" customWidth="1"/>
    <col min="12035" max="12035" width="47.28515625" style="1034" customWidth="1"/>
    <col min="12036" max="12036" width="12.28515625" style="1034" customWidth="1"/>
    <col min="12037" max="12037" width="0.7109375" style="1034" customWidth="1"/>
    <col min="12038" max="12038" width="8.85546875" style="1034" customWidth="1"/>
    <col min="12039" max="12040" width="7.85546875" style="1034" customWidth="1"/>
    <col min="12041" max="12041" width="8.140625" style="1034" customWidth="1"/>
    <col min="12042" max="12042" width="1.140625" style="1034" customWidth="1"/>
    <col min="12043" max="12046" width="9.140625" style="1034"/>
    <col min="12047" max="12047" width="15.5703125" style="1034" customWidth="1"/>
    <col min="12048" max="12289" width="9.140625" style="1034"/>
    <col min="12290" max="12290" width="0.85546875" style="1034" customWidth="1"/>
    <col min="12291" max="12291" width="47.28515625" style="1034" customWidth="1"/>
    <col min="12292" max="12292" width="12.28515625" style="1034" customWidth="1"/>
    <col min="12293" max="12293" width="0.7109375" style="1034" customWidth="1"/>
    <col min="12294" max="12294" width="8.85546875" style="1034" customWidth="1"/>
    <col min="12295" max="12296" width="7.85546875" style="1034" customWidth="1"/>
    <col min="12297" max="12297" width="8.140625" style="1034" customWidth="1"/>
    <col min="12298" max="12298" width="1.140625" style="1034" customWidth="1"/>
    <col min="12299" max="12302" width="9.140625" style="1034"/>
    <col min="12303" max="12303" width="15.5703125" style="1034" customWidth="1"/>
    <col min="12304" max="12545" width="9.140625" style="1034"/>
    <col min="12546" max="12546" width="0.85546875" style="1034" customWidth="1"/>
    <col min="12547" max="12547" width="47.28515625" style="1034" customWidth="1"/>
    <col min="12548" max="12548" width="12.28515625" style="1034" customWidth="1"/>
    <col min="12549" max="12549" width="0.7109375" style="1034" customWidth="1"/>
    <col min="12550" max="12550" width="8.85546875" style="1034" customWidth="1"/>
    <col min="12551" max="12552" width="7.85546875" style="1034" customWidth="1"/>
    <col min="12553" max="12553" width="8.140625" style="1034" customWidth="1"/>
    <col min="12554" max="12554" width="1.140625" style="1034" customWidth="1"/>
    <col min="12555" max="12558" width="9.140625" style="1034"/>
    <col min="12559" max="12559" width="15.5703125" style="1034" customWidth="1"/>
    <col min="12560" max="12801" width="9.140625" style="1034"/>
    <col min="12802" max="12802" width="0.85546875" style="1034" customWidth="1"/>
    <col min="12803" max="12803" width="47.28515625" style="1034" customWidth="1"/>
    <col min="12804" max="12804" width="12.28515625" style="1034" customWidth="1"/>
    <col min="12805" max="12805" width="0.7109375" style="1034" customWidth="1"/>
    <col min="12806" max="12806" width="8.85546875" style="1034" customWidth="1"/>
    <col min="12807" max="12808" width="7.85546875" style="1034" customWidth="1"/>
    <col min="12809" max="12809" width="8.140625" style="1034" customWidth="1"/>
    <col min="12810" max="12810" width="1.140625" style="1034" customWidth="1"/>
    <col min="12811" max="12814" width="9.140625" style="1034"/>
    <col min="12815" max="12815" width="15.5703125" style="1034" customWidth="1"/>
    <col min="12816" max="13057" width="9.140625" style="1034"/>
    <col min="13058" max="13058" width="0.85546875" style="1034" customWidth="1"/>
    <col min="13059" max="13059" width="47.28515625" style="1034" customWidth="1"/>
    <col min="13060" max="13060" width="12.28515625" style="1034" customWidth="1"/>
    <col min="13061" max="13061" width="0.7109375" style="1034" customWidth="1"/>
    <col min="13062" max="13062" width="8.85546875" style="1034" customWidth="1"/>
    <col min="13063" max="13064" width="7.85546875" style="1034" customWidth="1"/>
    <col min="13065" max="13065" width="8.140625" style="1034" customWidth="1"/>
    <col min="13066" max="13066" width="1.140625" style="1034" customWidth="1"/>
    <col min="13067" max="13070" width="9.140625" style="1034"/>
    <col min="13071" max="13071" width="15.5703125" style="1034" customWidth="1"/>
    <col min="13072" max="13313" width="9.140625" style="1034"/>
    <col min="13314" max="13314" width="0.85546875" style="1034" customWidth="1"/>
    <col min="13315" max="13315" width="47.28515625" style="1034" customWidth="1"/>
    <col min="13316" max="13316" width="12.28515625" style="1034" customWidth="1"/>
    <col min="13317" max="13317" width="0.7109375" style="1034" customWidth="1"/>
    <col min="13318" max="13318" width="8.85546875" style="1034" customWidth="1"/>
    <col min="13319" max="13320" width="7.85546875" style="1034" customWidth="1"/>
    <col min="13321" max="13321" width="8.140625" style="1034" customWidth="1"/>
    <col min="13322" max="13322" width="1.140625" style="1034" customWidth="1"/>
    <col min="13323" max="13326" width="9.140625" style="1034"/>
    <col min="13327" max="13327" width="15.5703125" style="1034" customWidth="1"/>
    <col min="13328" max="13569" width="9.140625" style="1034"/>
    <col min="13570" max="13570" width="0.85546875" style="1034" customWidth="1"/>
    <col min="13571" max="13571" width="47.28515625" style="1034" customWidth="1"/>
    <col min="13572" max="13572" width="12.28515625" style="1034" customWidth="1"/>
    <col min="13573" max="13573" width="0.7109375" style="1034" customWidth="1"/>
    <col min="13574" max="13574" width="8.85546875" style="1034" customWidth="1"/>
    <col min="13575" max="13576" width="7.85546875" style="1034" customWidth="1"/>
    <col min="13577" max="13577" width="8.140625" style="1034" customWidth="1"/>
    <col min="13578" max="13578" width="1.140625" style="1034" customWidth="1"/>
    <col min="13579" max="13582" width="9.140625" style="1034"/>
    <col min="13583" max="13583" width="15.5703125" style="1034" customWidth="1"/>
    <col min="13584" max="13825" width="9.140625" style="1034"/>
    <col min="13826" max="13826" width="0.85546875" style="1034" customWidth="1"/>
    <col min="13827" max="13827" width="47.28515625" style="1034" customWidth="1"/>
    <col min="13828" max="13828" width="12.28515625" style="1034" customWidth="1"/>
    <col min="13829" max="13829" width="0.7109375" style="1034" customWidth="1"/>
    <col min="13830" max="13830" width="8.85546875" style="1034" customWidth="1"/>
    <col min="13831" max="13832" width="7.85546875" style="1034" customWidth="1"/>
    <col min="13833" max="13833" width="8.140625" style="1034" customWidth="1"/>
    <col min="13834" max="13834" width="1.140625" style="1034" customWidth="1"/>
    <col min="13835" max="13838" width="9.140625" style="1034"/>
    <col min="13839" max="13839" width="15.5703125" style="1034" customWidth="1"/>
    <col min="13840" max="14081" width="9.140625" style="1034"/>
    <col min="14082" max="14082" width="0.85546875" style="1034" customWidth="1"/>
    <col min="14083" max="14083" width="47.28515625" style="1034" customWidth="1"/>
    <col min="14084" max="14084" width="12.28515625" style="1034" customWidth="1"/>
    <col min="14085" max="14085" width="0.7109375" style="1034" customWidth="1"/>
    <col min="14086" max="14086" width="8.85546875" style="1034" customWidth="1"/>
    <col min="14087" max="14088" width="7.85546875" style="1034" customWidth="1"/>
    <col min="14089" max="14089" width="8.140625" style="1034" customWidth="1"/>
    <col min="14090" max="14090" width="1.140625" style="1034" customWidth="1"/>
    <col min="14091" max="14094" width="9.140625" style="1034"/>
    <col min="14095" max="14095" width="15.5703125" style="1034" customWidth="1"/>
    <col min="14096" max="14337" width="9.140625" style="1034"/>
    <col min="14338" max="14338" width="0.85546875" style="1034" customWidth="1"/>
    <col min="14339" max="14339" width="47.28515625" style="1034" customWidth="1"/>
    <col min="14340" max="14340" width="12.28515625" style="1034" customWidth="1"/>
    <col min="14341" max="14341" width="0.7109375" style="1034" customWidth="1"/>
    <col min="14342" max="14342" width="8.85546875" style="1034" customWidth="1"/>
    <col min="14343" max="14344" width="7.85546875" style="1034" customWidth="1"/>
    <col min="14345" max="14345" width="8.140625" style="1034" customWidth="1"/>
    <col min="14346" max="14346" width="1.140625" style="1034" customWidth="1"/>
    <col min="14347" max="14350" width="9.140625" style="1034"/>
    <col min="14351" max="14351" width="15.5703125" style="1034" customWidth="1"/>
    <col min="14352" max="14593" width="9.140625" style="1034"/>
    <col min="14594" max="14594" width="0.85546875" style="1034" customWidth="1"/>
    <col min="14595" max="14595" width="47.28515625" style="1034" customWidth="1"/>
    <col min="14596" max="14596" width="12.28515625" style="1034" customWidth="1"/>
    <col min="14597" max="14597" width="0.7109375" style="1034" customWidth="1"/>
    <col min="14598" max="14598" width="8.85546875" style="1034" customWidth="1"/>
    <col min="14599" max="14600" width="7.85546875" style="1034" customWidth="1"/>
    <col min="14601" max="14601" width="8.140625" style="1034" customWidth="1"/>
    <col min="14602" max="14602" width="1.140625" style="1034" customWidth="1"/>
    <col min="14603" max="14606" width="9.140625" style="1034"/>
    <col min="14607" max="14607" width="15.5703125" style="1034" customWidth="1"/>
    <col min="14608" max="14849" width="9.140625" style="1034"/>
    <col min="14850" max="14850" width="0.85546875" style="1034" customWidth="1"/>
    <col min="14851" max="14851" width="47.28515625" style="1034" customWidth="1"/>
    <col min="14852" max="14852" width="12.28515625" style="1034" customWidth="1"/>
    <col min="14853" max="14853" width="0.7109375" style="1034" customWidth="1"/>
    <col min="14854" max="14854" width="8.85546875" style="1034" customWidth="1"/>
    <col min="14855" max="14856" width="7.85546875" style="1034" customWidth="1"/>
    <col min="14857" max="14857" width="8.140625" style="1034" customWidth="1"/>
    <col min="14858" max="14858" width="1.140625" style="1034" customWidth="1"/>
    <col min="14859" max="14862" width="9.140625" style="1034"/>
    <col min="14863" max="14863" width="15.5703125" style="1034" customWidth="1"/>
    <col min="14864" max="15105" width="9.140625" style="1034"/>
    <col min="15106" max="15106" width="0.85546875" style="1034" customWidth="1"/>
    <col min="15107" max="15107" width="47.28515625" style="1034" customWidth="1"/>
    <col min="15108" max="15108" width="12.28515625" style="1034" customWidth="1"/>
    <col min="15109" max="15109" width="0.7109375" style="1034" customWidth="1"/>
    <col min="15110" max="15110" width="8.85546875" style="1034" customWidth="1"/>
    <col min="15111" max="15112" width="7.85546875" style="1034" customWidth="1"/>
    <col min="15113" max="15113" width="8.140625" style="1034" customWidth="1"/>
    <col min="15114" max="15114" width="1.140625" style="1034" customWidth="1"/>
    <col min="15115" max="15118" width="9.140625" style="1034"/>
    <col min="15119" max="15119" width="15.5703125" style="1034" customWidth="1"/>
    <col min="15120" max="15361" width="9.140625" style="1034"/>
    <col min="15362" max="15362" width="0.85546875" style="1034" customWidth="1"/>
    <col min="15363" max="15363" width="47.28515625" style="1034" customWidth="1"/>
    <col min="15364" max="15364" width="12.28515625" style="1034" customWidth="1"/>
    <col min="15365" max="15365" width="0.7109375" style="1034" customWidth="1"/>
    <col min="15366" max="15366" width="8.85546875" style="1034" customWidth="1"/>
    <col min="15367" max="15368" width="7.85546875" style="1034" customWidth="1"/>
    <col min="15369" max="15369" width="8.140625" style="1034" customWidth="1"/>
    <col min="15370" max="15370" width="1.140625" style="1034" customWidth="1"/>
    <col min="15371" max="15374" width="9.140625" style="1034"/>
    <col min="15375" max="15375" width="15.5703125" style="1034" customWidth="1"/>
    <col min="15376" max="15617" width="9.140625" style="1034"/>
    <col min="15618" max="15618" width="0.85546875" style="1034" customWidth="1"/>
    <col min="15619" max="15619" width="47.28515625" style="1034" customWidth="1"/>
    <col min="15620" max="15620" width="12.28515625" style="1034" customWidth="1"/>
    <col min="15621" max="15621" width="0.7109375" style="1034" customWidth="1"/>
    <col min="15622" max="15622" width="8.85546875" style="1034" customWidth="1"/>
    <col min="15623" max="15624" width="7.85546875" style="1034" customWidth="1"/>
    <col min="15625" max="15625" width="8.140625" style="1034" customWidth="1"/>
    <col min="15626" max="15626" width="1.140625" style="1034" customWidth="1"/>
    <col min="15627" max="15630" width="9.140625" style="1034"/>
    <col min="15631" max="15631" width="15.5703125" style="1034" customWidth="1"/>
    <col min="15632" max="15873" width="9.140625" style="1034"/>
    <col min="15874" max="15874" width="0.85546875" style="1034" customWidth="1"/>
    <col min="15875" max="15875" width="47.28515625" style="1034" customWidth="1"/>
    <col min="15876" max="15876" width="12.28515625" style="1034" customWidth="1"/>
    <col min="15877" max="15877" width="0.7109375" style="1034" customWidth="1"/>
    <col min="15878" max="15878" width="8.85546875" style="1034" customWidth="1"/>
    <col min="15879" max="15880" width="7.85546875" style="1034" customWidth="1"/>
    <col min="15881" max="15881" width="8.140625" style="1034" customWidth="1"/>
    <col min="15882" max="15882" width="1.140625" style="1034" customWidth="1"/>
    <col min="15883" max="15886" width="9.140625" style="1034"/>
    <col min="15887" max="15887" width="15.5703125" style="1034" customWidth="1"/>
    <col min="15888" max="16129" width="9.140625" style="1034"/>
    <col min="16130" max="16130" width="0.85546875" style="1034" customWidth="1"/>
    <col min="16131" max="16131" width="47.28515625" style="1034" customWidth="1"/>
    <col min="16132" max="16132" width="12.28515625" style="1034" customWidth="1"/>
    <col min="16133" max="16133" width="0.7109375" style="1034" customWidth="1"/>
    <col min="16134" max="16134" width="8.85546875" style="1034" customWidth="1"/>
    <col min="16135" max="16136" width="7.85546875" style="1034" customWidth="1"/>
    <col min="16137" max="16137" width="8.140625" style="1034" customWidth="1"/>
    <col min="16138" max="16138" width="1.140625" style="1034" customWidth="1"/>
    <col min="16139" max="16142" width="9.140625" style="1034"/>
    <col min="16143" max="16143" width="15.5703125" style="1034" customWidth="1"/>
    <col min="16144" max="16384" width="9.140625" style="1034"/>
  </cols>
  <sheetData>
    <row r="1" spans="1:34" x14ac:dyDescent="0.2">
      <c r="A1" s="1032"/>
      <c r="B1" s="1032"/>
      <c r="C1" s="1033"/>
      <c r="D1" s="1032"/>
      <c r="E1" s="1033"/>
      <c r="F1" s="1033"/>
      <c r="G1" s="1033"/>
      <c r="H1" s="1033"/>
      <c r="I1" s="1035" t="s">
        <v>447</v>
      </c>
      <c r="J1" s="1032"/>
    </row>
    <row r="2" spans="1:34" ht="20.25" x14ac:dyDescent="0.3">
      <c r="A2" s="1032"/>
      <c r="B2" s="1033"/>
      <c r="C2" s="1033"/>
      <c r="D2" s="1289"/>
      <c r="E2" s="1289"/>
      <c r="F2" s="1289"/>
      <c r="G2" s="1289"/>
      <c r="H2" s="1289"/>
      <c r="I2" s="1289"/>
      <c r="J2" s="1289"/>
    </row>
    <row r="3" spans="1:34" ht="20.25" x14ac:dyDescent="0.3">
      <c r="A3" s="1032"/>
      <c r="B3" s="1032"/>
      <c r="C3" s="1293" t="s">
        <v>448</v>
      </c>
      <c r="D3" s="1294"/>
      <c r="E3" s="1294"/>
      <c r="F3" s="1294"/>
      <c r="G3" s="1294"/>
      <c r="H3" s="1294"/>
      <c r="I3" s="1294"/>
      <c r="J3" s="1032"/>
    </row>
    <row r="4" spans="1:34" ht="15.75" x14ac:dyDescent="0.25">
      <c r="A4" s="1032"/>
      <c r="B4" s="1032"/>
      <c r="C4" s="1033"/>
      <c r="D4" s="1036"/>
      <c r="E4" s="1037"/>
      <c r="F4" s="1038"/>
      <c r="G4" s="1039"/>
      <c r="H4" s="1039"/>
      <c r="I4" s="1039"/>
      <c r="J4" s="1032"/>
    </row>
    <row r="5" spans="1:34" ht="15.75" x14ac:dyDescent="0.2">
      <c r="A5" s="1032"/>
      <c r="B5" s="1032"/>
      <c r="C5" s="1290" t="s">
        <v>329</v>
      </c>
      <c r="D5" s="1290"/>
      <c r="E5" s="1290"/>
      <c r="F5" s="1290"/>
      <c r="G5" s="1290"/>
      <c r="H5" s="1290"/>
      <c r="I5" s="1290"/>
      <c r="J5" s="1032"/>
    </row>
    <row r="6" spans="1:34" ht="15.75" thickBot="1" x14ac:dyDescent="0.25">
      <c r="A6" s="1032"/>
      <c r="B6" s="1032"/>
      <c r="C6" s="1291" t="s">
        <v>397</v>
      </c>
      <c r="D6" s="1291"/>
      <c r="E6" s="1291"/>
      <c r="F6" s="1291"/>
      <c r="G6" s="1291"/>
      <c r="H6" s="1291"/>
      <c r="I6" s="1291"/>
      <c r="J6" s="1032"/>
    </row>
    <row r="7" spans="1:34" x14ac:dyDescent="0.2">
      <c r="A7" s="1032"/>
      <c r="B7" s="1040"/>
      <c r="C7" s="1041"/>
      <c r="D7" s="1042"/>
      <c r="E7" s="1043"/>
      <c r="F7" s="1043"/>
      <c r="G7" s="1043"/>
      <c r="H7" s="1043"/>
      <c r="I7" s="1043"/>
      <c r="J7" s="1044"/>
    </row>
    <row r="8" spans="1:34" x14ac:dyDescent="0.2">
      <c r="A8" s="1032"/>
      <c r="B8" s="1045"/>
      <c r="C8" s="1046" t="s">
        <v>449</v>
      </c>
      <c r="D8" s="1047">
        <v>19.5</v>
      </c>
      <c r="E8" s="1048"/>
      <c r="F8" s="1292"/>
      <c r="G8" s="1292"/>
      <c r="H8" s="1292"/>
      <c r="I8" s="1049"/>
      <c r="J8" s="1050"/>
    </row>
    <row r="9" spans="1:34" x14ac:dyDescent="0.2">
      <c r="A9" s="1032"/>
      <c r="B9" s="1045"/>
      <c r="C9" s="1046" t="s">
        <v>450</v>
      </c>
      <c r="D9" s="1051">
        <f>'ERR &amp; Sensitivity Analysis'!D19</f>
        <v>0.36039500237898325</v>
      </c>
      <c r="E9" s="1048"/>
      <c r="F9" s="1048"/>
      <c r="G9" s="1048"/>
      <c r="H9" s="1048"/>
      <c r="I9" s="1048"/>
      <c r="J9" s="1050"/>
    </row>
    <row r="10" spans="1:34" ht="23.25" x14ac:dyDescent="0.2">
      <c r="A10" s="1032"/>
      <c r="B10" s="1045"/>
      <c r="C10" s="1046" t="s">
        <v>451</v>
      </c>
      <c r="D10" s="1047">
        <f>'Cost-Benefit Summary'!B30/'Dollar Conversion'!C5/1000000*'Poverty Scorecard'!Y12/'Poverty Scorecard'!AC12</f>
        <v>51.258099515468416</v>
      </c>
      <c r="E10" s="1048"/>
      <c r="F10" s="1048"/>
      <c r="G10" s="1048"/>
      <c r="H10" s="1048"/>
      <c r="I10" s="1048"/>
      <c r="J10" s="1050"/>
    </row>
    <row r="11" spans="1:34" ht="15" x14ac:dyDescent="0.25">
      <c r="A11" s="1032"/>
      <c r="B11" s="1045"/>
      <c r="C11" s="1052" t="s">
        <v>452</v>
      </c>
      <c r="D11" s="1053">
        <f>'Cost-Benefit Summary'!B31/'Dollar Conversion'!C5/1000000*'Poverty Scorecard'!Y12/'Poverty Scorecard'!AC12</f>
        <v>12.083833506483629</v>
      </c>
      <c r="E11" s="1048"/>
      <c r="F11" s="1032"/>
      <c r="G11" s="1032"/>
      <c r="H11" s="1032"/>
      <c r="I11" s="1032"/>
      <c r="J11" s="1050"/>
      <c r="O11" s="1054" t="s">
        <v>453</v>
      </c>
      <c r="P11" s="1054" t="s">
        <v>454</v>
      </c>
      <c r="Q11" s="1054" t="s">
        <v>455</v>
      </c>
      <c r="R11" s="1054" t="s">
        <v>456</v>
      </c>
      <c r="S11" s="1054" t="s">
        <v>457</v>
      </c>
      <c r="T11" s="1054">
        <v>2000</v>
      </c>
      <c r="U11" s="1054">
        <v>2001</v>
      </c>
      <c r="V11" s="1054">
        <v>2002</v>
      </c>
      <c r="W11" s="1054">
        <v>2003</v>
      </c>
      <c r="X11" s="1054">
        <v>2004</v>
      </c>
      <c r="Y11" s="1054">
        <v>2005</v>
      </c>
      <c r="Z11" s="1054">
        <v>2006</v>
      </c>
      <c r="AA11" s="1054">
        <v>2007</v>
      </c>
      <c r="AB11" s="1054">
        <v>2008</v>
      </c>
      <c r="AC11" s="1054">
        <v>2009</v>
      </c>
      <c r="AD11" s="1054">
        <v>2010</v>
      </c>
      <c r="AE11" s="1054">
        <v>2011</v>
      </c>
      <c r="AF11" s="1054">
        <v>2012</v>
      </c>
      <c r="AG11" s="1054">
        <v>2013</v>
      </c>
      <c r="AH11" s="1054">
        <v>2014</v>
      </c>
    </row>
    <row r="12" spans="1:34" ht="15" x14ac:dyDescent="0.25">
      <c r="A12" s="1032"/>
      <c r="B12" s="1045"/>
      <c r="C12" s="1052"/>
      <c r="D12" s="1055"/>
      <c r="E12" s="1048"/>
      <c r="F12" s="1288" t="s">
        <v>458</v>
      </c>
      <c r="G12" s="1288"/>
      <c r="H12" s="1288"/>
      <c r="I12" s="1288"/>
      <c r="J12" s="1050"/>
      <c r="O12" s="1054" t="s">
        <v>459</v>
      </c>
      <c r="P12" s="1054" t="s">
        <v>460</v>
      </c>
      <c r="Q12" s="1054" t="s">
        <v>461</v>
      </c>
      <c r="R12" s="1054"/>
      <c r="S12" s="1054" t="s">
        <v>462</v>
      </c>
      <c r="T12" s="1054">
        <v>172.19200000000001</v>
      </c>
      <c r="U12" s="1054">
        <v>177.042</v>
      </c>
      <c r="V12" s="1054">
        <v>179.86699999999999</v>
      </c>
      <c r="W12" s="1054">
        <v>184</v>
      </c>
      <c r="X12" s="1054">
        <v>188.90799999999999</v>
      </c>
      <c r="Y12" s="1054">
        <v>195.267</v>
      </c>
      <c r="Z12" s="1054">
        <v>201.55799999999999</v>
      </c>
      <c r="AA12" s="1054">
        <v>207.34399999999999</v>
      </c>
      <c r="AB12" s="1054">
        <v>215.25399999999999</v>
      </c>
      <c r="AC12" s="1054">
        <v>214.565</v>
      </c>
      <c r="AD12" s="1054">
        <v>218.08</v>
      </c>
      <c r="AE12" s="1054">
        <v>224.93199999999999</v>
      </c>
      <c r="AF12" s="1054">
        <v>229.59899999999999</v>
      </c>
      <c r="AG12" s="1054">
        <v>232.96</v>
      </c>
      <c r="AH12" s="1054">
        <v>236.226</v>
      </c>
    </row>
    <row r="13" spans="1:34" ht="15" x14ac:dyDescent="0.25">
      <c r="A13" s="1032"/>
      <c r="B13" s="1045"/>
      <c r="C13" s="1056" t="s">
        <v>463</v>
      </c>
      <c r="D13" s="1057" t="s">
        <v>210</v>
      </c>
      <c r="E13" s="1058"/>
      <c r="F13" s="1057" t="s">
        <v>464</v>
      </c>
      <c r="G13" s="1057" t="s">
        <v>465</v>
      </c>
      <c r="H13" s="1057" t="s">
        <v>466</v>
      </c>
      <c r="I13" s="1057" t="s">
        <v>467</v>
      </c>
      <c r="J13" s="1050"/>
      <c r="O13" s="1054" t="s">
        <v>459</v>
      </c>
      <c r="P13" s="1054" t="s">
        <v>460</v>
      </c>
      <c r="Q13" s="1054" t="s">
        <v>468</v>
      </c>
      <c r="R13" s="1054"/>
      <c r="S13" s="1054" t="s">
        <v>469</v>
      </c>
      <c r="T13" s="1054">
        <v>3.367</v>
      </c>
      <c r="U13" s="1054">
        <v>2.8170000000000002</v>
      </c>
      <c r="V13" s="1054">
        <v>1.5960000000000001</v>
      </c>
      <c r="W13" s="1054">
        <v>2.298</v>
      </c>
      <c r="X13" s="1054">
        <v>2.6680000000000001</v>
      </c>
      <c r="Y13" s="1054">
        <v>3.3660000000000001</v>
      </c>
      <c r="Z13" s="1054">
        <v>3.222</v>
      </c>
      <c r="AA13" s="1054">
        <v>2.871</v>
      </c>
      <c r="AB13" s="1054">
        <v>3.8149999999999999</v>
      </c>
      <c r="AC13" s="1054">
        <v>-0.32</v>
      </c>
      <c r="AD13" s="1054">
        <v>1.6379999999999999</v>
      </c>
      <c r="AE13" s="1054">
        <v>3.1419999999999999</v>
      </c>
      <c r="AF13" s="1054">
        <v>2.0750000000000002</v>
      </c>
      <c r="AG13" s="1054">
        <v>1.464</v>
      </c>
      <c r="AH13" s="1054">
        <v>1.4019999999999999</v>
      </c>
    </row>
    <row r="14" spans="1:34" x14ac:dyDescent="0.2">
      <c r="A14" s="1032"/>
      <c r="B14" s="1045"/>
      <c r="C14" s="1059"/>
      <c r="D14" s="1060"/>
      <c r="E14" s="1061"/>
      <c r="F14" s="1060"/>
      <c r="G14" s="1060"/>
      <c r="H14" s="1060"/>
      <c r="I14" s="1060"/>
      <c r="J14" s="1050"/>
    </row>
    <row r="15" spans="1:34" x14ac:dyDescent="0.2">
      <c r="A15" s="1032"/>
      <c r="B15" s="1045"/>
      <c r="C15" s="1048" t="s">
        <v>470</v>
      </c>
      <c r="D15" s="1062">
        <f>D16/Q17</f>
        <v>92395.155709342551</v>
      </c>
      <c r="E15" s="1063"/>
      <c r="F15" s="1064"/>
      <c r="G15" s="1064"/>
      <c r="H15" s="1064"/>
      <c r="I15" s="1064"/>
      <c r="J15" s="1050"/>
    </row>
    <row r="16" spans="1:34" x14ac:dyDescent="0.2">
      <c r="A16" s="1032"/>
      <c r="B16" s="1045"/>
      <c r="C16" s="1065" t="s">
        <v>471</v>
      </c>
      <c r="D16" s="1062">
        <v>534044</v>
      </c>
      <c r="E16" s="1063"/>
      <c r="F16" s="1066"/>
      <c r="G16" s="1066"/>
      <c r="H16" s="1066"/>
      <c r="I16" s="1066"/>
      <c r="J16" s="1050"/>
    </row>
    <row r="17" spans="1:18" ht="13.5" x14ac:dyDescent="0.2">
      <c r="A17" s="1032"/>
      <c r="B17" s="1045"/>
      <c r="C17" s="1065" t="s">
        <v>472</v>
      </c>
      <c r="D17" s="1067">
        <f>P20*(1+P19)^20</f>
        <v>36404814.399680942</v>
      </c>
      <c r="E17" s="1063"/>
      <c r="F17" s="1068"/>
      <c r="G17" s="1068"/>
      <c r="H17" s="1068"/>
      <c r="I17" s="1068"/>
      <c r="J17" s="1050"/>
      <c r="P17" s="1069" t="s">
        <v>473</v>
      </c>
      <c r="Q17" s="1034">
        <v>5.78</v>
      </c>
      <c r="R17" s="1069" t="s">
        <v>474</v>
      </c>
    </row>
    <row r="18" spans="1:18" x14ac:dyDescent="0.2">
      <c r="A18" s="1032"/>
      <c r="B18" s="1045"/>
      <c r="C18" s="1065"/>
      <c r="D18" s="1070"/>
      <c r="E18" s="1063"/>
      <c r="F18" s="1068"/>
      <c r="G18" s="1068"/>
      <c r="H18" s="1068"/>
      <c r="I18" s="1068"/>
      <c r="J18" s="1050"/>
    </row>
    <row r="19" spans="1:18" x14ac:dyDescent="0.2">
      <c r="A19" s="1032"/>
      <c r="B19" s="1045"/>
      <c r="C19" s="1065" t="s">
        <v>475</v>
      </c>
      <c r="D19" s="1068"/>
      <c r="E19" s="1063"/>
      <c r="F19" s="1071">
        <v>0.5958</v>
      </c>
      <c r="G19" s="1071">
        <v>0.81769999999999998</v>
      </c>
      <c r="H19" s="1071">
        <v>0.13</v>
      </c>
      <c r="I19" s="1071">
        <v>0.05</v>
      </c>
      <c r="J19" s="1050"/>
      <c r="O19" s="1069" t="s">
        <v>476</v>
      </c>
      <c r="P19" s="1072">
        <v>2.12E-2</v>
      </c>
      <c r="Q19" s="1069" t="s">
        <v>477</v>
      </c>
    </row>
    <row r="20" spans="1:18" ht="13.5" x14ac:dyDescent="0.2">
      <c r="A20" s="1032"/>
      <c r="B20" s="1045"/>
      <c r="C20" s="1073" t="s">
        <v>478</v>
      </c>
      <c r="D20" s="1074"/>
      <c r="E20" s="1075"/>
      <c r="F20" s="1071">
        <v>0.5958</v>
      </c>
      <c r="G20" s="1071">
        <v>0.81769999999999998</v>
      </c>
      <c r="H20" s="1071">
        <v>0.13</v>
      </c>
      <c r="I20" s="1071">
        <v>0.05</v>
      </c>
      <c r="J20" s="1050"/>
      <c r="O20" s="1069" t="s">
        <v>479</v>
      </c>
      <c r="P20" s="1034">
        <v>23930000</v>
      </c>
    </row>
    <row r="21" spans="1:18" x14ac:dyDescent="0.2">
      <c r="A21" s="1032"/>
      <c r="B21" s="1076"/>
      <c r="C21" s="1077"/>
      <c r="D21" s="1078"/>
      <c r="E21" s="1079"/>
      <c r="F21" s="1078"/>
      <c r="G21" s="1080"/>
      <c r="H21" s="1080"/>
      <c r="I21" s="1080"/>
      <c r="J21" s="1050"/>
    </row>
    <row r="22" spans="1:18" x14ac:dyDescent="0.2">
      <c r="A22" s="1032"/>
      <c r="B22" s="1045"/>
      <c r="C22" s="1056" t="s">
        <v>480</v>
      </c>
      <c r="D22" s="1057"/>
      <c r="E22" s="1058"/>
      <c r="F22" s="1057"/>
      <c r="G22" s="1057"/>
      <c r="H22" s="1057"/>
      <c r="I22" s="1057"/>
      <c r="J22" s="1050"/>
    </row>
    <row r="23" spans="1:18" x14ac:dyDescent="0.2">
      <c r="A23" s="1032"/>
      <c r="B23" s="1045"/>
      <c r="C23" s="1059"/>
      <c r="D23" s="1060"/>
      <c r="E23" s="1061"/>
      <c r="F23" s="1060"/>
      <c r="G23" s="1060"/>
      <c r="H23" s="1060"/>
      <c r="I23" s="1060"/>
      <c r="J23" s="1050"/>
    </row>
    <row r="24" spans="1:18" x14ac:dyDescent="0.2">
      <c r="A24" s="1032"/>
      <c r="B24" s="1045"/>
      <c r="C24" s="1065" t="s">
        <v>481</v>
      </c>
      <c r="D24" s="1081">
        <f>SUMPRODUCT(G24:I24,G19:I19)</f>
        <v>95.760285456971417</v>
      </c>
      <c r="E24" s="1082"/>
      <c r="F24" s="1083">
        <f>$D$10*F19*1000000/($D$16*F19)</f>
        <v>95.981041853233833</v>
      </c>
      <c r="G24" s="1083">
        <f t="shared" ref="G24:I24" si="0">$D$10*G19*1000000/($D$16*G19)</f>
        <v>95.981041853233847</v>
      </c>
      <c r="H24" s="1083">
        <f t="shared" si="0"/>
        <v>95.981041853233833</v>
      </c>
      <c r="I24" s="1083">
        <f t="shared" si="0"/>
        <v>95.981041853233833</v>
      </c>
      <c r="J24" s="1050"/>
    </row>
    <row r="25" spans="1:18" x14ac:dyDescent="0.2">
      <c r="A25" s="1032"/>
      <c r="B25" s="1045"/>
      <c r="C25" s="1084" t="s">
        <v>482</v>
      </c>
      <c r="D25" s="1085">
        <f>SUMPRODUCT(G25:I25,G19:I19)</f>
        <v>0.14634698399831894</v>
      </c>
      <c r="E25" s="1086"/>
      <c r="F25" s="1087">
        <f>F24/(1.25/2*365)</f>
        <v>0.4207388136032168</v>
      </c>
      <c r="G25" s="1087">
        <f>G24/((1.25+0.75/2)*365)</f>
        <v>0.16182262061662187</v>
      </c>
      <c r="H25" s="1087">
        <f>H24/(3*365)</f>
        <v>8.7653919500670169E-2</v>
      </c>
      <c r="I25" s="1087">
        <f>I24/(5*365)</f>
        <v>5.25923517004021E-2</v>
      </c>
      <c r="J25" s="1050"/>
    </row>
    <row r="26" spans="1:18" x14ac:dyDescent="0.2">
      <c r="A26" s="1032"/>
      <c r="B26" s="1045"/>
      <c r="C26" s="1088"/>
      <c r="D26" s="1078"/>
      <c r="E26" s="1079"/>
      <c r="F26" s="1089"/>
      <c r="G26" s="1089"/>
      <c r="H26" s="1089"/>
      <c r="I26" s="1089"/>
      <c r="J26" s="1050"/>
    </row>
    <row r="27" spans="1:18" x14ac:dyDescent="0.2">
      <c r="A27" s="1032"/>
      <c r="B27" s="1045"/>
      <c r="C27" s="1056" t="s">
        <v>483</v>
      </c>
      <c r="D27" s="1090"/>
      <c r="E27" s="1091"/>
      <c r="F27" s="1090"/>
      <c r="G27" s="1090"/>
      <c r="H27" s="1090"/>
      <c r="I27" s="1090"/>
      <c r="J27" s="1050"/>
    </row>
    <row r="28" spans="1:18" x14ac:dyDescent="0.2">
      <c r="A28" s="1032"/>
      <c r="B28" s="1045"/>
      <c r="C28" s="1052"/>
      <c r="D28" s="1092"/>
      <c r="E28" s="1093"/>
      <c r="F28" s="1092"/>
      <c r="G28" s="1092"/>
      <c r="H28" s="1092"/>
      <c r="I28" s="1092"/>
      <c r="J28" s="1050"/>
    </row>
    <row r="29" spans="1:18" x14ac:dyDescent="0.2">
      <c r="A29" s="1032"/>
      <c r="B29" s="1045"/>
      <c r="C29" s="1073" t="s">
        <v>484</v>
      </c>
      <c r="D29" s="1094">
        <f>D10/D11</f>
        <v>4.2418740284666852</v>
      </c>
      <c r="E29" s="1095"/>
      <c r="F29" s="1096">
        <f>F19*$D$16*F24/($D$11*1000000)</f>
        <v>2.5273085461604503</v>
      </c>
      <c r="G29" s="1096">
        <f>G19*$D$16*G24/($D$11*1000000)</f>
        <v>3.4685803930772079</v>
      </c>
      <c r="H29" s="1096">
        <f>H19*$D$16*H24/($D$11*1000000)</f>
        <v>0.55144362370066891</v>
      </c>
      <c r="I29" s="1096">
        <f>I19*$D$16*I24/($D$11*1000000)</f>
        <v>0.21209370142333422</v>
      </c>
      <c r="J29" s="1050"/>
    </row>
    <row r="30" spans="1:18" x14ac:dyDescent="0.2">
      <c r="A30" s="1032"/>
      <c r="B30" s="1045"/>
      <c r="C30" s="1088"/>
      <c r="D30" s="1078"/>
      <c r="E30" s="1079"/>
      <c r="F30" s="1097"/>
      <c r="G30" s="1097"/>
      <c r="H30" s="1097"/>
      <c r="I30" s="1097"/>
      <c r="J30" s="1050"/>
    </row>
    <row r="31" spans="1:18" ht="13.5" x14ac:dyDescent="0.2">
      <c r="A31" s="1032"/>
      <c r="B31" s="1045"/>
      <c r="C31" s="1046" t="s">
        <v>485</v>
      </c>
      <c r="D31" s="1098">
        <v>0.51</v>
      </c>
      <c r="E31" s="1099"/>
      <c r="F31" s="1100"/>
      <c r="G31" s="1100"/>
      <c r="H31" s="1100"/>
      <c r="I31" s="1100"/>
      <c r="J31" s="1050"/>
    </row>
    <row r="32" spans="1:18" x14ac:dyDescent="0.2">
      <c r="A32" s="1032"/>
      <c r="B32" s="1045"/>
      <c r="C32" s="1065"/>
      <c r="D32" s="1101"/>
      <c r="E32" s="1099"/>
      <c r="F32" s="1100"/>
      <c r="G32" s="1100"/>
      <c r="H32" s="1100"/>
      <c r="I32" s="1100"/>
      <c r="J32" s="1050"/>
    </row>
    <row r="33" spans="1:10" ht="13.5" x14ac:dyDescent="0.2">
      <c r="A33" s="1032"/>
      <c r="B33" s="1045"/>
      <c r="C33" s="1065" t="s">
        <v>486</v>
      </c>
      <c r="D33" s="1102">
        <v>510</v>
      </c>
      <c r="E33" s="1048"/>
      <c r="F33" s="1048"/>
      <c r="G33" s="1048"/>
      <c r="H33" s="1048"/>
      <c r="I33" s="1048"/>
      <c r="J33" s="1050"/>
    </row>
    <row r="34" spans="1:10" x14ac:dyDescent="0.2">
      <c r="A34" s="1032"/>
      <c r="B34" s="1045"/>
      <c r="C34" s="1103" t="s">
        <v>487</v>
      </c>
      <c r="D34" s="1067" t="s">
        <v>488</v>
      </c>
      <c r="E34" s="1104"/>
      <c r="F34" s="1104"/>
      <c r="G34" s="1104"/>
      <c r="H34" s="1104"/>
      <c r="I34" s="1104"/>
      <c r="J34" s="1050"/>
    </row>
    <row r="35" spans="1:10" x14ac:dyDescent="0.2">
      <c r="A35" s="1032"/>
      <c r="B35" s="1045"/>
      <c r="C35" s="1065"/>
      <c r="D35" s="1105"/>
      <c r="E35" s="1048"/>
      <c r="F35" s="1048"/>
      <c r="G35" s="1048"/>
      <c r="H35" s="1048"/>
      <c r="I35" s="1048"/>
      <c r="J35" s="1050"/>
    </row>
    <row r="36" spans="1:10" x14ac:dyDescent="0.2">
      <c r="A36" s="1032"/>
      <c r="B36" s="1045"/>
      <c r="C36" s="1106" t="s">
        <v>489</v>
      </c>
      <c r="D36" s="1107"/>
      <c r="E36" s="1108"/>
      <c r="F36" s="1109"/>
      <c r="G36" s="1109"/>
      <c r="H36" s="1109"/>
      <c r="I36" s="1109"/>
      <c r="J36" s="1050"/>
    </row>
    <row r="37" spans="1:10" x14ac:dyDescent="0.2">
      <c r="A37" s="1032"/>
      <c r="B37" s="1045"/>
      <c r="C37" s="1110" t="s">
        <v>490</v>
      </c>
      <c r="D37" s="1107"/>
      <c r="E37" s="1108"/>
      <c r="F37" s="1109"/>
      <c r="G37" s="1109"/>
      <c r="H37" s="1109"/>
      <c r="I37" s="1109"/>
      <c r="J37" s="1050"/>
    </row>
    <row r="38" spans="1:10" x14ac:dyDescent="0.2">
      <c r="A38" s="1032"/>
      <c r="B38" s="1045"/>
      <c r="C38" s="1110" t="s">
        <v>491</v>
      </c>
      <c r="D38" s="1107"/>
      <c r="E38" s="1108"/>
      <c r="F38" s="1109"/>
      <c r="G38" s="1109"/>
      <c r="H38" s="1109"/>
      <c r="I38" s="1109"/>
      <c r="J38" s="1050"/>
    </row>
    <row r="39" spans="1:10" x14ac:dyDescent="0.2">
      <c r="A39" s="1032"/>
      <c r="B39" s="1045"/>
      <c r="C39" s="1111" t="s">
        <v>492</v>
      </c>
      <c r="D39" s="1112"/>
      <c r="E39" s="1112"/>
      <c r="F39" s="1112"/>
      <c r="G39" s="1112"/>
      <c r="H39" s="1112"/>
      <c r="I39" s="1112"/>
      <c r="J39" s="1050"/>
    </row>
    <row r="40" spans="1:10" x14ac:dyDescent="0.2">
      <c r="A40" s="1033"/>
      <c r="B40" s="1045"/>
      <c r="C40" s="1111" t="s">
        <v>493</v>
      </c>
      <c r="D40" s="1112"/>
      <c r="E40" s="1112"/>
      <c r="F40" s="1112"/>
      <c r="G40" s="1112"/>
      <c r="H40" s="1112"/>
      <c r="I40" s="1112"/>
      <c r="J40" s="1050"/>
    </row>
    <row r="41" spans="1:10" ht="13.5" thickBot="1" x14ac:dyDescent="0.25">
      <c r="A41" s="1033"/>
      <c r="B41" s="1113"/>
      <c r="C41" s="1114"/>
      <c r="D41" s="1115"/>
      <c r="E41" s="1115"/>
      <c r="F41" s="1115"/>
      <c r="G41" s="1115"/>
      <c r="H41" s="1115"/>
      <c r="I41" s="1115"/>
      <c r="J41" s="1116"/>
    </row>
  </sheetData>
  <mergeCells count="6">
    <mergeCell ref="F12:I12"/>
    <mergeCell ref="D2:J2"/>
    <mergeCell ref="C5:I5"/>
    <mergeCell ref="C6:I6"/>
    <mergeCell ref="F8:H8"/>
    <mergeCell ref="C3:I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58"/>
  <sheetViews>
    <sheetView showGridLines="0" tabSelected="1" workbookViewId="0"/>
  </sheetViews>
  <sheetFormatPr defaultRowHeight="12.75" x14ac:dyDescent="0.2"/>
  <cols>
    <col min="1" max="1" width="7.7109375" style="920" customWidth="1"/>
    <col min="2" max="2" width="36.7109375" style="920" customWidth="1"/>
    <col min="3" max="3" width="45.7109375" style="920" customWidth="1"/>
    <col min="4" max="4" width="55.5703125" style="920" customWidth="1"/>
    <col min="5" max="256" width="9.140625" style="920"/>
    <col min="257" max="257" width="7.7109375" style="920" customWidth="1"/>
    <col min="258" max="258" width="36.7109375" style="920" customWidth="1"/>
    <col min="259" max="260" width="45.7109375" style="920" customWidth="1"/>
    <col min="261" max="512" width="9.140625" style="920"/>
    <col min="513" max="513" width="7.7109375" style="920" customWidth="1"/>
    <col min="514" max="514" width="36.7109375" style="920" customWidth="1"/>
    <col min="515" max="516" width="45.7109375" style="920" customWidth="1"/>
    <col min="517" max="768" width="9.140625" style="920"/>
    <col min="769" max="769" width="7.7109375" style="920" customWidth="1"/>
    <col min="770" max="770" width="36.7109375" style="920" customWidth="1"/>
    <col min="771" max="772" width="45.7109375" style="920" customWidth="1"/>
    <col min="773" max="1024" width="9.140625" style="920"/>
    <col min="1025" max="1025" width="7.7109375" style="920" customWidth="1"/>
    <col min="1026" max="1026" width="36.7109375" style="920" customWidth="1"/>
    <col min="1027" max="1028" width="45.7109375" style="920" customWidth="1"/>
    <col min="1029" max="1280" width="9.140625" style="920"/>
    <col min="1281" max="1281" width="7.7109375" style="920" customWidth="1"/>
    <col min="1282" max="1282" width="36.7109375" style="920" customWidth="1"/>
    <col min="1283" max="1284" width="45.7109375" style="920" customWidth="1"/>
    <col min="1285" max="1536" width="9.140625" style="920"/>
    <col min="1537" max="1537" width="7.7109375" style="920" customWidth="1"/>
    <col min="1538" max="1538" width="36.7109375" style="920" customWidth="1"/>
    <col min="1539" max="1540" width="45.7109375" style="920" customWidth="1"/>
    <col min="1541" max="1792" width="9.140625" style="920"/>
    <col min="1793" max="1793" width="7.7109375" style="920" customWidth="1"/>
    <col min="1794" max="1794" width="36.7109375" style="920" customWidth="1"/>
    <col min="1795" max="1796" width="45.7109375" style="920" customWidth="1"/>
    <col min="1797" max="2048" width="9.140625" style="920"/>
    <col min="2049" max="2049" width="7.7109375" style="920" customWidth="1"/>
    <col min="2050" max="2050" width="36.7109375" style="920" customWidth="1"/>
    <col min="2051" max="2052" width="45.7109375" style="920" customWidth="1"/>
    <col min="2053" max="2304" width="9.140625" style="920"/>
    <col min="2305" max="2305" width="7.7109375" style="920" customWidth="1"/>
    <col min="2306" max="2306" width="36.7109375" style="920" customWidth="1"/>
    <col min="2307" max="2308" width="45.7109375" style="920" customWidth="1"/>
    <col min="2309" max="2560" width="9.140625" style="920"/>
    <col min="2561" max="2561" width="7.7109375" style="920" customWidth="1"/>
    <col min="2562" max="2562" width="36.7109375" style="920" customWidth="1"/>
    <col min="2563" max="2564" width="45.7109375" style="920" customWidth="1"/>
    <col min="2565" max="2816" width="9.140625" style="920"/>
    <col min="2817" max="2817" width="7.7109375" style="920" customWidth="1"/>
    <col min="2818" max="2818" width="36.7109375" style="920" customWidth="1"/>
    <col min="2819" max="2820" width="45.7109375" style="920" customWidth="1"/>
    <col min="2821" max="3072" width="9.140625" style="920"/>
    <col min="3073" max="3073" width="7.7109375" style="920" customWidth="1"/>
    <col min="3074" max="3074" width="36.7109375" style="920" customWidth="1"/>
    <col min="3075" max="3076" width="45.7109375" style="920" customWidth="1"/>
    <col min="3077" max="3328" width="9.140625" style="920"/>
    <col min="3329" max="3329" width="7.7109375" style="920" customWidth="1"/>
    <col min="3330" max="3330" width="36.7109375" style="920" customWidth="1"/>
    <col min="3331" max="3332" width="45.7109375" style="920" customWidth="1"/>
    <col min="3333" max="3584" width="9.140625" style="920"/>
    <col min="3585" max="3585" width="7.7109375" style="920" customWidth="1"/>
    <col min="3586" max="3586" width="36.7109375" style="920" customWidth="1"/>
    <col min="3587" max="3588" width="45.7109375" style="920" customWidth="1"/>
    <col min="3589" max="3840" width="9.140625" style="920"/>
    <col min="3841" max="3841" width="7.7109375" style="920" customWidth="1"/>
    <col min="3842" max="3842" width="36.7109375" style="920" customWidth="1"/>
    <col min="3843" max="3844" width="45.7109375" style="920" customWidth="1"/>
    <col min="3845" max="4096" width="9.140625" style="920"/>
    <col min="4097" max="4097" width="7.7109375" style="920" customWidth="1"/>
    <col min="4098" max="4098" width="36.7109375" style="920" customWidth="1"/>
    <col min="4099" max="4100" width="45.7109375" style="920" customWidth="1"/>
    <col min="4101" max="4352" width="9.140625" style="920"/>
    <col min="4353" max="4353" width="7.7109375" style="920" customWidth="1"/>
    <col min="4354" max="4354" width="36.7109375" style="920" customWidth="1"/>
    <col min="4355" max="4356" width="45.7109375" style="920" customWidth="1"/>
    <col min="4357" max="4608" width="9.140625" style="920"/>
    <col min="4609" max="4609" width="7.7109375" style="920" customWidth="1"/>
    <col min="4610" max="4610" width="36.7109375" style="920" customWidth="1"/>
    <col min="4611" max="4612" width="45.7109375" style="920" customWidth="1"/>
    <col min="4613" max="4864" width="9.140625" style="920"/>
    <col min="4865" max="4865" width="7.7109375" style="920" customWidth="1"/>
    <col min="4866" max="4866" width="36.7109375" style="920" customWidth="1"/>
    <col min="4867" max="4868" width="45.7109375" style="920" customWidth="1"/>
    <col min="4869" max="5120" width="9.140625" style="920"/>
    <col min="5121" max="5121" width="7.7109375" style="920" customWidth="1"/>
    <col min="5122" max="5122" width="36.7109375" style="920" customWidth="1"/>
    <col min="5123" max="5124" width="45.7109375" style="920" customWidth="1"/>
    <col min="5125" max="5376" width="9.140625" style="920"/>
    <col min="5377" max="5377" width="7.7109375" style="920" customWidth="1"/>
    <col min="5378" max="5378" width="36.7109375" style="920" customWidth="1"/>
    <col min="5379" max="5380" width="45.7109375" style="920" customWidth="1"/>
    <col min="5381" max="5632" width="9.140625" style="920"/>
    <col min="5633" max="5633" width="7.7109375" style="920" customWidth="1"/>
    <col min="5634" max="5634" width="36.7109375" style="920" customWidth="1"/>
    <col min="5635" max="5636" width="45.7109375" style="920" customWidth="1"/>
    <col min="5637" max="5888" width="9.140625" style="920"/>
    <col min="5889" max="5889" width="7.7109375" style="920" customWidth="1"/>
    <col min="5890" max="5890" width="36.7109375" style="920" customWidth="1"/>
    <col min="5891" max="5892" width="45.7109375" style="920" customWidth="1"/>
    <col min="5893" max="6144" width="9.140625" style="920"/>
    <col min="6145" max="6145" width="7.7109375" style="920" customWidth="1"/>
    <col min="6146" max="6146" width="36.7109375" style="920" customWidth="1"/>
    <col min="6147" max="6148" width="45.7109375" style="920" customWidth="1"/>
    <col min="6149" max="6400" width="9.140625" style="920"/>
    <col min="6401" max="6401" width="7.7109375" style="920" customWidth="1"/>
    <col min="6402" max="6402" width="36.7109375" style="920" customWidth="1"/>
    <col min="6403" max="6404" width="45.7109375" style="920" customWidth="1"/>
    <col min="6405" max="6656" width="9.140625" style="920"/>
    <col min="6657" max="6657" width="7.7109375" style="920" customWidth="1"/>
    <col min="6658" max="6658" width="36.7109375" style="920" customWidth="1"/>
    <col min="6659" max="6660" width="45.7109375" style="920" customWidth="1"/>
    <col min="6661" max="6912" width="9.140625" style="920"/>
    <col min="6913" max="6913" width="7.7109375" style="920" customWidth="1"/>
    <col min="6914" max="6914" width="36.7109375" style="920" customWidth="1"/>
    <col min="6915" max="6916" width="45.7109375" style="920" customWidth="1"/>
    <col min="6917" max="7168" width="9.140625" style="920"/>
    <col min="7169" max="7169" width="7.7109375" style="920" customWidth="1"/>
    <col min="7170" max="7170" width="36.7109375" style="920" customWidth="1"/>
    <col min="7171" max="7172" width="45.7109375" style="920" customWidth="1"/>
    <col min="7173" max="7424" width="9.140625" style="920"/>
    <col min="7425" max="7425" width="7.7109375" style="920" customWidth="1"/>
    <col min="7426" max="7426" width="36.7109375" style="920" customWidth="1"/>
    <col min="7427" max="7428" width="45.7109375" style="920" customWidth="1"/>
    <col min="7429" max="7680" width="9.140625" style="920"/>
    <col min="7681" max="7681" width="7.7109375" style="920" customWidth="1"/>
    <col min="7682" max="7682" width="36.7109375" style="920" customWidth="1"/>
    <col min="7683" max="7684" width="45.7109375" style="920" customWidth="1"/>
    <col min="7685" max="7936" width="9.140625" style="920"/>
    <col min="7937" max="7937" width="7.7109375" style="920" customWidth="1"/>
    <col min="7938" max="7938" width="36.7109375" style="920" customWidth="1"/>
    <col min="7939" max="7940" width="45.7109375" style="920" customWidth="1"/>
    <col min="7941" max="8192" width="9.140625" style="920"/>
    <col min="8193" max="8193" width="7.7109375" style="920" customWidth="1"/>
    <col min="8194" max="8194" width="36.7109375" style="920" customWidth="1"/>
    <col min="8195" max="8196" width="45.7109375" style="920" customWidth="1"/>
    <col min="8197" max="8448" width="9.140625" style="920"/>
    <col min="8449" max="8449" width="7.7109375" style="920" customWidth="1"/>
    <col min="8450" max="8450" width="36.7109375" style="920" customWidth="1"/>
    <col min="8451" max="8452" width="45.7109375" style="920" customWidth="1"/>
    <col min="8453" max="8704" width="9.140625" style="920"/>
    <col min="8705" max="8705" width="7.7109375" style="920" customWidth="1"/>
    <col min="8706" max="8706" width="36.7109375" style="920" customWidth="1"/>
    <col min="8707" max="8708" width="45.7109375" style="920" customWidth="1"/>
    <col min="8709" max="8960" width="9.140625" style="920"/>
    <col min="8961" max="8961" width="7.7109375" style="920" customWidth="1"/>
    <col min="8962" max="8962" width="36.7109375" style="920" customWidth="1"/>
    <col min="8963" max="8964" width="45.7109375" style="920" customWidth="1"/>
    <col min="8965" max="9216" width="9.140625" style="920"/>
    <col min="9217" max="9217" width="7.7109375" style="920" customWidth="1"/>
    <col min="9218" max="9218" width="36.7109375" style="920" customWidth="1"/>
    <col min="9219" max="9220" width="45.7109375" style="920" customWidth="1"/>
    <col min="9221" max="9472" width="9.140625" style="920"/>
    <col min="9473" max="9473" width="7.7109375" style="920" customWidth="1"/>
    <col min="9474" max="9474" width="36.7109375" style="920" customWidth="1"/>
    <col min="9475" max="9476" width="45.7109375" style="920" customWidth="1"/>
    <col min="9477" max="9728" width="9.140625" style="920"/>
    <col min="9729" max="9729" width="7.7109375" style="920" customWidth="1"/>
    <col min="9730" max="9730" width="36.7109375" style="920" customWidth="1"/>
    <col min="9731" max="9732" width="45.7109375" style="920" customWidth="1"/>
    <col min="9733" max="9984" width="9.140625" style="920"/>
    <col min="9985" max="9985" width="7.7109375" style="920" customWidth="1"/>
    <col min="9986" max="9986" width="36.7109375" style="920" customWidth="1"/>
    <col min="9987" max="9988" width="45.7109375" style="920" customWidth="1"/>
    <col min="9989" max="10240" width="9.140625" style="920"/>
    <col min="10241" max="10241" width="7.7109375" style="920" customWidth="1"/>
    <col min="10242" max="10242" width="36.7109375" style="920" customWidth="1"/>
    <col min="10243" max="10244" width="45.7109375" style="920" customWidth="1"/>
    <col min="10245" max="10496" width="9.140625" style="920"/>
    <col min="10497" max="10497" width="7.7109375" style="920" customWidth="1"/>
    <col min="10498" max="10498" width="36.7109375" style="920" customWidth="1"/>
    <col min="10499" max="10500" width="45.7109375" style="920" customWidth="1"/>
    <col min="10501" max="10752" width="9.140625" style="920"/>
    <col min="10753" max="10753" width="7.7109375" style="920" customWidth="1"/>
    <col min="10754" max="10754" width="36.7109375" style="920" customWidth="1"/>
    <col min="10755" max="10756" width="45.7109375" style="920" customWidth="1"/>
    <col min="10757" max="11008" width="9.140625" style="920"/>
    <col min="11009" max="11009" width="7.7109375" style="920" customWidth="1"/>
    <col min="11010" max="11010" width="36.7109375" style="920" customWidth="1"/>
    <col min="11011" max="11012" width="45.7109375" style="920" customWidth="1"/>
    <col min="11013" max="11264" width="9.140625" style="920"/>
    <col min="11265" max="11265" width="7.7109375" style="920" customWidth="1"/>
    <col min="11266" max="11266" width="36.7109375" style="920" customWidth="1"/>
    <col min="11267" max="11268" width="45.7109375" style="920" customWidth="1"/>
    <col min="11269" max="11520" width="9.140625" style="920"/>
    <col min="11521" max="11521" width="7.7109375" style="920" customWidth="1"/>
    <col min="11522" max="11522" width="36.7109375" style="920" customWidth="1"/>
    <col min="11523" max="11524" width="45.7109375" style="920" customWidth="1"/>
    <col min="11525" max="11776" width="9.140625" style="920"/>
    <col min="11777" max="11777" width="7.7109375" style="920" customWidth="1"/>
    <col min="11778" max="11778" width="36.7109375" style="920" customWidth="1"/>
    <col min="11779" max="11780" width="45.7109375" style="920" customWidth="1"/>
    <col min="11781" max="12032" width="9.140625" style="920"/>
    <col min="12033" max="12033" width="7.7109375" style="920" customWidth="1"/>
    <col min="12034" max="12034" width="36.7109375" style="920" customWidth="1"/>
    <col min="12035" max="12036" width="45.7109375" style="920" customWidth="1"/>
    <col min="12037" max="12288" width="9.140625" style="920"/>
    <col min="12289" max="12289" width="7.7109375" style="920" customWidth="1"/>
    <col min="12290" max="12290" width="36.7109375" style="920" customWidth="1"/>
    <col min="12291" max="12292" width="45.7109375" style="920" customWidth="1"/>
    <col min="12293" max="12544" width="9.140625" style="920"/>
    <col min="12545" max="12545" width="7.7109375" style="920" customWidth="1"/>
    <col min="12546" max="12546" width="36.7109375" style="920" customWidth="1"/>
    <col min="12547" max="12548" width="45.7109375" style="920" customWidth="1"/>
    <col min="12549" max="12800" width="9.140625" style="920"/>
    <col min="12801" max="12801" width="7.7109375" style="920" customWidth="1"/>
    <col min="12802" max="12802" width="36.7109375" style="920" customWidth="1"/>
    <col min="12803" max="12804" width="45.7109375" style="920" customWidth="1"/>
    <col min="12805" max="13056" width="9.140625" style="920"/>
    <col min="13057" max="13057" width="7.7109375" style="920" customWidth="1"/>
    <col min="13058" max="13058" width="36.7109375" style="920" customWidth="1"/>
    <col min="13059" max="13060" width="45.7109375" style="920" customWidth="1"/>
    <col min="13061" max="13312" width="9.140625" style="920"/>
    <col min="13313" max="13313" width="7.7109375" style="920" customWidth="1"/>
    <col min="13314" max="13314" width="36.7109375" style="920" customWidth="1"/>
    <col min="13315" max="13316" width="45.7109375" style="920" customWidth="1"/>
    <col min="13317" max="13568" width="9.140625" style="920"/>
    <col min="13569" max="13569" width="7.7109375" style="920" customWidth="1"/>
    <col min="13570" max="13570" width="36.7109375" style="920" customWidth="1"/>
    <col min="13571" max="13572" width="45.7109375" style="920" customWidth="1"/>
    <col min="13573" max="13824" width="9.140625" style="920"/>
    <col min="13825" max="13825" width="7.7109375" style="920" customWidth="1"/>
    <col min="13826" max="13826" width="36.7109375" style="920" customWidth="1"/>
    <col min="13827" max="13828" width="45.7109375" style="920" customWidth="1"/>
    <col min="13829" max="14080" width="9.140625" style="920"/>
    <col min="14081" max="14081" width="7.7109375" style="920" customWidth="1"/>
    <col min="14082" max="14082" width="36.7109375" style="920" customWidth="1"/>
    <col min="14083" max="14084" width="45.7109375" style="920" customWidth="1"/>
    <col min="14085" max="14336" width="9.140625" style="920"/>
    <col min="14337" max="14337" width="7.7109375" style="920" customWidth="1"/>
    <col min="14338" max="14338" width="36.7109375" style="920" customWidth="1"/>
    <col min="14339" max="14340" width="45.7109375" style="920" customWidth="1"/>
    <col min="14341" max="14592" width="9.140625" style="920"/>
    <col min="14593" max="14593" width="7.7109375" style="920" customWidth="1"/>
    <col min="14594" max="14594" width="36.7109375" style="920" customWidth="1"/>
    <col min="14595" max="14596" width="45.7109375" style="920" customWidth="1"/>
    <col min="14597" max="14848" width="9.140625" style="920"/>
    <col min="14849" max="14849" width="7.7109375" style="920" customWidth="1"/>
    <col min="14850" max="14850" width="36.7109375" style="920" customWidth="1"/>
    <col min="14851" max="14852" width="45.7109375" style="920" customWidth="1"/>
    <col min="14853" max="15104" width="9.140625" style="920"/>
    <col min="15105" max="15105" width="7.7109375" style="920" customWidth="1"/>
    <col min="15106" max="15106" width="36.7109375" style="920" customWidth="1"/>
    <col min="15107" max="15108" width="45.7109375" style="920" customWidth="1"/>
    <col min="15109" max="15360" width="9.140625" style="920"/>
    <col min="15361" max="15361" width="7.7109375" style="920" customWidth="1"/>
    <col min="15362" max="15362" width="36.7109375" style="920" customWidth="1"/>
    <col min="15363" max="15364" width="45.7109375" style="920" customWidth="1"/>
    <col min="15365" max="15616" width="9.140625" style="920"/>
    <col min="15617" max="15617" width="7.7109375" style="920" customWidth="1"/>
    <col min="15618" max="15618" width="36.7109375" style="920" customWidth="1"/>
    <col min="15619" max="15620" width="45.7109375" style="920" customWidth="1"/>
    <col min="15621" max="15872" width="9.140625" style="920"/>
    <col min="15873" max="15873" width="7.7109375" style="920" customWidth="1"/>
    <col min="15874" max="15874" width="36.7109375" style="920" customWidth="1"/>
    <col min="15875" max="15876" width="45.7109375" style="920" customWidth="1"/>
    <col min="15877" max="16128" width="9.140625" style="920"/>
    <col min="16129" max="16129" width="7.7109375" style="920" customWidth="1"/>
    <col min="16130" max="16130" width="36.7109375" style="920" customWidth="1"/>
    <col min="16131" max="16132" width="45.7109375" style="920" customWidth="1"/>
    <col min="16133" max="16384" width="9.140625" style="920"/>
  </cols>
  <sheetData>
    <row r="1" spans="2:5" x14ac:dyDescent="0.2">
      <c r="D1" s="1035" t="s">
        <v>370</v>
      </c>
    </row>
    <row r="2" spans="2:5" x14ac:dyDescent="0.2">
      <c r="C2" s="1130" t="s">
        <v>503</v>
      </c>
      <c r="D2" s="1130"/>
    </row>
    <row r="3" spans="2:5" ht="12.75" customHeight="1" x14ac:dyDescent="0.2">
      <c r="C3" s="1130"/>
      <c r="D3" s="1130"/>
    </row>
    <row r="4" spans="2:5" x14ac:dyDescent="0.2">
      <c r="C4" s="1130"/>
      <c r="D4" s="1130"/>
    </row>
    <row r="5" spans="2:5" x14ac:dyDescent="0.2">
      <c r="C5" s="1130"/>
      <c r="D5" s="1130"/>
    </row>
    <row r="6" spans="2:5" x14ac:dyDescent="0.2">
      <c r="C6" s="1130"/>
      <c r="D6" s="1130"/>
    </row>
    <row r="7" spans="2:5" ht="25.5" customHeight="1" x14ac:dyDescent="0.25">
      <c r="C7" s="1131"/>
      <c r="D7" s="1131"/>
    </row>
    <row r="8" spans="2:5" ht="13.5" thickBot="1" x14ac:dyDescent="0.25"/>
    <row r="9" spans="2:5" s="926" customFormat="1" ht="18" customHeight="1" thickTop="1" x14ac:dyDescent="0.2">
      <c r="B9" s="922" t="s">
        <v>371</v>
      </c>
      <c r="C9" s="923" t="s">
        <v>372</v>
      </c>
      <c r="D9" s="924" t="s">
        <v>373</v>
      </c>
      <c r="E9" s="925"/>
    </row>
    <row r="10" spans="2:5" s="926" customFormat="1" ht="18" customHeight="1" x14ac:dyDescent="0.2">
      <c r="B10" s="927" t="s">
        <v>374</v>
      </c>
      <c r="C10" s="928">
        <v>39239</v>
      </c>
      <c r="D10" s="929">
        <v>41657</v>
      </c>
    </row>
    <row r="11" spans="2:5" s="926" customFormat="1" ht="18" customHeight="1" x14ac:dyDescent="0.2">
      <c r="B11" s="927" t="s">
        <v>375</v>
      </c>
      <c r="C11" s="930" t="s">
        <v>393</v>
      </c>
      <c r="D11" s="931" t="s">
        <v>391</v>
      </c>
    </row>
    <row r="12" spans="2:5" ht="214.5" customHeight="1" x14ac:dyDescent="0.2">
      <c r="B12" s="932" t="s">
        <v>376</v>
      </c>
      <c r="C12" s="1029" t="s">
        <v>392</v>
      </c>
      <c r="D12" s="1128" t="s">
        <v>504</v>
      </c>
    </row>
    <row r="13" spans="2:5" ht="30" customHeight="1" x14ac:dyDescent="0.2">
      <c r="B13" s="1132" t="s">
        <v>377</v>
      </c>
      <c r="C13" s="1138" t="s">
        <v>394</v>
      </c>
      <c r="D13" s="1141" t="s">
        <v>505</v>
      </c>
    </row>
    <row r="14" spans="2:5" ht="34.5" customHeight="1" x14ac:dyDescent="0.2">
      <c r="B14" s="1133"/>
      <c r="C14" s="1139"/>
      <c r="D14" s="1142"/>
    </row>
    <row r="15" spans="2:5" ht="35.25" customHeight="1" x14ac:dyDescent="0.2">
      <c r="B15" s="1133"/>
      <c r="C15" s="1139"/>
      <c r="D15" s="1142"/>
    </row>
    <row r="16" spans="2:5" ht="30" customHeight="1" x14ac:dyDescent="0.2">
      <c r="B16" s="1133"/>
      <c r="C16" s="1139"/>
      <c r="D16" s="1142"/>
    </row>
    <row r="17" spans="2:4" ht="30" customHeight="1" x14ac:dyDescent="0.2">
      <c r="B17" s="1133"/>
      <c r="C17" s="1139"/>
      <c r="D17" s="1142"/>
    </row>
    <row r="18" spans="2:4" ht="30" customHeight="1" x14ac:dyDescent="0.2">
      <c r="B18" s="1133"/>
      <c r="C18" s="1139"/>
      <c r="D18" s="1142"/>
    </row>
    <row r="19" spans="2:4" ht="30" customHeight="1" x14ac:dyDescent="0.2">
      <c r="B19" s="1133"/>
      <c r="C19" s="1139"/>
      <c r="D19" s="1142"/>
    </row>
    <row r="20" spans="2:4" ht="30" customHeight="1" x14ac:dyDescent="0.2">
      <c r="B20" s="1134"/>
      <c r="C20" s="1140"/>
      <c r="D20" s="1143"/>
    </row>
    <row r="21" spans="2:4" ht="38.25" customHeight="1" x14ac:dyDescent="0.2">
      <c r="B21" s="927" t="s">
        <v>378</v>
      </c>
      <c r="C21" s="933" t="s">
        <v>379</v>
      </c>
      <c r="D21" s="934" t="s">
        <v>379</v>
      </c>
    </row>
    <row r="22" spans="2:4" ht="18" customHeight="1" thickBot="1" x14ac:dyDescent="0.25">
      <c r="B22" s="935" t="s">
        <v>380</v>
      </c>
      <c r="C22" s="936" t="s">
        <v>395</v>
      </c>
      <c r="D22" s="937" t="s">
        <v>396</v>
      </c>
    </row>
    <row r="23" spans="2:4" ht="18" customHeight="1" thickTop="1" x14ac:dyDescent="0.2">
      <c r="B23" s="938"/>
      <c r="C23" s="939"/>
    </row>
    <row r="24" spans="2:4" x14ac:dyDescent="0.2">
      <c r="B24" s="940" t="s">
        <v>381</v>
      </c>
      <c r="C24" s="941"/>
    </row>
    <row r="25" spans="2:4" x14ac:dyDescent="0.2">
      <c r="B25" s="942" t="s">
        <v>382</v>
      </c>
      <c r="C25" s="943"/>
      <c r="D25" s="944"/>
    </row>
    <row r="26" spans="2:4" x14ac:dyDescent="0.2">
      <c r="B26" s="1135" t="s">
        <v>383</v>
      </c>
      <c r="C26" s="1135"/>
      <c r="D26" s="1135"/>
    </row>
    <row r="27" spans="2:4" x14ac:dyDescent="0.2">
      <c r="B27" s="941"/>
      <c r="C27" s="941"/>
      <c r="D27" s="944"/>
    </row>
    <row r="28" spans="2:4" s="947" customFormat="1" x14ac:dyDescent="0.2">
      <c r="B28" s="1027" t="s">
        <v>384</v>
      </c>
      <c r="C28" s="945"/>
      <c r="D28" s="946"/>
    </row>
    <row r="29" spans="2:4" s="947" customFormat="1" x14ac:dyDescent="0.2">
      <c r="B29" s="1136" t="s">
        <v>385</v>
      </c>
      <c r="C29" s="1136"/>
      <c r="D29" s="1136"/>
    </row>
    <row r="30" spans="2:4" s="947" customFormat="1" x14ac:dyDescent="0.2">
      <c r="B30" s="948"/>
      <c r="C30" s="948"/>
      <c r="D30" s="946"/>
    </row>
    <row r="31" spans="2:4" s="947" customFormat="1" x14ac:dyDescent="0.2">
      <c r="B31" s="952" t="s">
        <v>386</v>
      </c>
      <c r="C31" s="949"/>
      <c r="D31" s="946"/>
    </row>
    <row r="32" spans="2:4" s="947" customFormat="1" x14ac:dyDescent="0.2">
      <c r="B32" s="1137" t="s">
        <v>387</v>
      </c>
      <c r="C32" s="1137"/>
      <c r="D32" s="1137"/>
    </row>
    <row r="33" spans="2:4" s="947" customFormat="1" x14ac:dyDescent="0.2"/>
    <row r="34" spans="2:4" s="947" customFormat="1" x14ac:dyDescent="0.2">
      <c r="B34" s="950" t="s">
        <v>311</v>
      </c>
      <c r="C34" s="951"/>
      <c r="D34" s="946"/>
    </row>
    <row r="35" spans="2:4" s="947" customFormat="1" x14ac:dyDescent="0.2">
      <c r="B35" s="1137" t="s">
        <v>436</v>
      </c>
      <c r="C35" s="1137"/>
      <c r="D35" s="1137"/>
    </row>
    <row r="36" spans="2:4" s="947" customFormat="1" x14ac:dyDescent="0.2">
      <c r="B36" s="948"/>
      <c r="C36" s="948"/>
      <c r="D36" s="946"/>
    </row>
    <row r="37" spans="2:4" s="947" customFormat="1" x14ac:dyDescent="0.2">
      <c r="B37" s="952" t="s">
        <v>81</v>
      </c>
      <c r="C37" s="949"/>
      <c r="D37" s="946"/>
    </row>
    <row r="38" spans="2:4" s="947" customFormat="1" x14ac:dyDescent="0.2">
      <c r="B38" s="1129" t="s">
        <v>437</v>
      </c>
      <c r="C38" s="1129"/>
      <c r="D38" s="1129"/>
    </row>
    <row r="39" spans="2:4" s="947" customFormat="1" x14ac:dyDescent="0.2">
      <c r="B39" s="953"/>
      <c r="C39" s="953"/>
      <c r="D39" s="953"/>
    </row>
    <row r="40" spans="2:4" s="947" customFormat="1" ht="15" customHeight="1" x14ac:dyDescent="0.2">
      <c r="B40" s="954" t="s">
        <v>312</v>
      </c>
      <c r="C40" s="949"/>
      <c r="D40" s="946"/>
    </row>
    <row r="41" spans="2:4" s="947" customFormat="1" ht="15" customHeight="1" x14ac:dyDescent="0.2">
      <c r="B41" s="1129" t="s">
        <v>438</v>
      </c>
      <c r="C41" s="1129"/>
      <c r="D41" s="953"/>
    </row>
    <row r="42" spans="2:4" s="947" customFormat="1" x14ac:dyDescent="0.2">
      <c r="B42" s="953"/>
      <c r="C42" s="953"/>
      <c r="D42" s="953"/>
    </row>
    <row r="43" spans="2:4" s="947" customFormat="1" x14ac:dyDescent="0.2">
      <c r="B43" s="950" t="s">
        <v>80</v>
      </c>
      <c r="C43" s="953"/>
      <c r="D43" s="953"/>
    </row>
    <row r="44" spans="2:4" s="947" customFormat="1" ht="13.5" customHeight="1" x14ac:dyDescent="0.2">
      <c r="B44" s="1129" t="s">
        <v>439</v>
      </c>
      <c r="C44" s="1129"/>
      <c r="D44" s="953"/>
    </row>
    <row r="45" spans="2:4" s="947" customFormat="1" x14ac:dyDescent="0.2">
      <c r="B45" s="953"/>
      <c r="C45" s="953"/>
      <c r="D45" s="953"/>
    </row>
    <row r="46" spans="2:4" s="947" customFormat="1" x14ac:dyDescent="0.2">
      <c r="B46" s="954" t="s">
        <v>440</v>
      </c>
      <c r="C46" s="949"/>
      <c r="D46" s="946"/>
    </row>
    <row r="47" spans="2:4" s="947" customFormat="1" x14ac:dyDescent="0.2">
      <c r="B47" s="1129" t="s">
        <v>444</v>
      </c>
      <c r="C47" s="1129"/>
      <c r="D47" s="953"/>
    </row>
    <row r="48" spans="2:4" s="947" customFormat="1" x14ac:dyDescent="0.2">
      <c r="B48" s="953"/>
      <c r="C48" s="953"/>
      <c r="D48" s="953"/>
    </row>
    <row r="49" spans="2:4" x14ac:dyDescent="0.2">
      <c r="B49" s="952" t="s">
        <v>441</v>
      </c>
      <c r="C49" s="949"/>
      <c r="D49" s="946"/>
    </row>
    <row r="50" spans="2:4" x14ac:dyDescent="0.2">
      <c r="B50" s="1129" t="s">
        <v>442</v>
      </c>
      <c r="C50" s="1129"/>
      <c r="D50" s="1129"/>
    </row>
    <row r="52" spans="2:4" x14ac:dyDescent="0.2">
      <c r="B52" s="954" t="s">
        <v>443</v>
      </c>
    </row>
    <row r="53" spans="2:4" x14ac:dyDescent="0.2">
      <c r="B53" s="920" t="s">
        <v>388</v>
      </c>
    </row>
    <row r="55" spans="2:4" x14ac:dyDescent="0.2">
      <c r="B55" s="954" t="s">
        <v>389</v>
      </c>
    </row>
    <row r="56" spans="2:4" x14ac:dyDescent="0.2">
      <c r="B56" s="920" t="s">
        <v>390</v>
      </c>
    </row>
    <row r="58" spans="2:4" x14ac:dyDescent="0.2">
      <c r="B58" s="954" t="s">
        <v>448</v>
      </c>
    </row>
  </sheetData>
  <mergeCells count="14">
    <mergeCell ref="B50:D50"/>
    <mergeCell ref="C2:D6"/>
    <mergeCell ref="C7:D7"/>
    <mergeCell ref="B13:B20"/>
    <mergeCell ref="B26:D26"/>
    <mergeCell ref="B29:D29"/>
    <mergeCell ref="B32:D32"/>
    <mergeCell ref="C13:C20"/>
    <mergeCell ref="B35:D35"/>
    <mergeCell ref="B38:D38"/>
    <mergeCell ref="B41:C41"/>
    <mergeCell ref="B44:C44"/>
    <mergeCell ref="B47:C47"/>
    <mergeCell ref="D13:D20"/>
  </mergeCells>
  <hyperlinks>
    <hyperlink ref="B28" location="'ERR &amp; Sensitivity Analysis'!A1" display="ERR &amp; Sensitivity Analysis"/>
    <hyperlink ref="B34" location="'Endemic Assumptions'!A1" display="Endemic Assumptions"/>
    <hyperlink ref="B25" location="'Activity Description'!A1" display="Activity Description"/>
    <hyperlink ref="B37" location="'Endemic Benefits'!A1" display="Endemic Benefits"/>
    <hyperlink ref="B31" location="'Cost-Benefit Summary'!A1" display="Cost-Benefit Summary"/>
    <hyperlink ref="B40" location="'Epidemic Assumptions'!A1" display="Epidemic Assumptions"/>
    <hyperlink ref="B52" location="'Crystal Ball Sensitivity'!A1" display="Crystal Ball Sensitivity"/>
    <hyperlink ref="B55" location="Charts!A1" display="Charts"/>
    <hyperlink ref="B43" location="' Epidemic Benefits'!A1" display="Epidemic Benefits"/>
    <hyperlink ref="B46" location="'Geral FISP'!A1" display="Geral FISP"/>
    <hyperlink ref="B49" location="'MCC Costs'!A1" display="MCC Costs"/>
    <hyperlink ref="B58" location="'Poverty Scorecard'!A1" display="Poverty Scorecard"/>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0"/>
  <sheetViews>
    <sheetView showGridLines="0" workbookViewId="0">
      <selection activeCell="B26" sqref="B26"/>
    </sheetView>
  </sheetViews>
  <sheetFormatPr defaultRowHeight="12.75" x14ac:dyDescent="0.2"/>
  <cols>
    <col min="1" max="1" width="7.7109375" style="956" customWidth="1"/>
    <col min="2" max="2" width="106.42578125" style="956" customWidth="1"/>
    <col min="3" max="256" width="9.140625" style="956"/>
    <col min="257" max="257" width="5.7109375" style="956" customWidth="1"/>
    <col min="258" max="258" width="106.42578125" style="956" customWidth="1"/>
    <col min="259" max="512" width="9.140625" style="956"/>
    <col min="513" max="513" width="5.7109375" style="956" customWidth="1"/>
    <col min="514" max="514" width="106.42578125" style="956" customWidth="1"/>
    <col min="515" max="768" width="9.140625" style="956"/>
    <col min="769" max="769" width="5.7109375" style="956" customWidth="1"/>
    <col min="770" max="770" width="106.42578125" style="956" customWidth="1"/>
    <col min="771" max="1024" width="9.140625" style="956"/>
    <col min="1025" max="1025" width="5.7109375" style="956" customWidth="1"/>
    <col min="1026" max="1026" width="106.42578125" style="956" customWidth="1"/>
    <col min="1027" max="1280" width="9.140625" style="956"/>
    <col min="1281" max="1281" width="5.7109375" style="956" customWidth="1"/>
    <col min="1282" max="1282" width="106.42578125" style="956" customWidth="1"/>
    <col min="1283" max="1536" width="9.140625" style="956"/>
    <col min="1537" max="1537" width="5.7109375" style="956" customWidth="1"/>
    <col min="1538" max="1538" width="106.42578125" style="956" customWidth="1"/>
    <col min="1539" max="1792" width="9.140625" style="956"/>
    <col min="1793" max="1793" width="5.7109375" style="956" customWidth="1"/>
    <col min="1794" max="1794" width="106.42578125" style="956" customWidth="1"/>
    <col min="1795" max="2048" width="9.140625" style="956"/>
    <col min="2049" max="2049" width="5.7109375" style="956" customWidth="1"/>
    <col min="2050" max="2050" width="106.42578125" style="956" customWidth="1"/>
    <col min="2051" max="2304" width="9.140625" style="956"/>
    <col min="2305" max="2305" width="5.7109375" style="956" customWidth="1"/>
    <col min="2306" max="2306" width="106.42578125" style="956" customWidth="1"/>
    <col min="2307" max="2560" width="9.140625" style="956"/>
    <col min="2561" max="2561" width="5.7109375" style="956" customWidth="1"/>
    <col min="2562" max="2562" width="106.42578125" style="956" customWidth="1"/>
    <col min="2563" max="2816" width="9.140625" style="956"/>
    <col min="2817" max="2817" width="5.7109375" style="956" customWidth="1"/>
    <col min="2818" max="2818" width="106.42578125" style="956" customWidth="1"/>
    <col min="2819" max="3072" width="9.140625" style="956"/>
    <col min="3073" max="3073" width="5.7109375" style="956" customWidth="1"/>
    <col min="3074" max="3074" width="106.42578125" style="956" customWidth="1"/>
    <col min="3075" max="3328" width="9.140625" style="956"/>
    <col min="3329" max="3329" width="5.7109375" style="956" customWidth="1"/>
    <col min="3330" max="3330" width="106.42578125" style="956" customWidth="1"/>
    <col min="3331" max="3584" width="9.140625" style="956"/>
    <col min="3585" max="3585" width="5.7109375" style="956" customWidth="1"/>
    <col min="3586" max="3586" width="106.42578125" style="956" customWidth="1"/>
    <col min="3587" max="3840" width="9.140625" style="956"/>
    <col min="3841" max="3841" width="5.7109375" style="956" customWidth="1"/>
    <col min="3842" max="3842" width="106.42578125" style="956" customWidth="1"/>
    <col min="3843" max="4096" width="9.140625" style="956"/>
    <col min="4097" max="4097" width="5.7109375" style="956" customWidth="1"/>
    <col min="4098" max="4098" width="106.42578125" style="956" customWidth="1"/>
    <col min="4099" max="4352" width="9.140625" style="956"/>
    <col min="4353" max="4353" width="5.7109375" style="956" customWidth="1"/>
    <col min="4354" max="4354" width="106.42578125" style="956" customWidth="1"/>
    <col min="4355" max="4608" width="9.140625" style="956"/>
    <col min="4609" max="4609" width="5.7109375" style="956" customWidth="1"/>
    <col min="4610" max="4610" width="106.42578125" style="956" customWidth="1"/>
    <col min="4611" max="4864" width="9.140625" style="956"/>
    <col min="4865" max="4865" width="5.7109375" style="956" customWidth="1"/>
    <col min="4866" max="4866" width="106.42578125" style="956" customWidth="1"/>
    <col min="4867" max="5120" width="9.140625" style="956"/>
    <col min="5121" max="5121" width="5.7109375" style="956" customWidth="1"/>
    <col min="5122" max="5122" width="106.42578125" style="956" customWidth="1"/>
    <col min="5123" max="5376" width="9.140625" style="956"/>
    <col min="5377" max="5377" width="5.7109375" style="956" customWidth="1"/>
    <col min="5378" max="5378" width="106.42578125" style="956" customWidth="1"/>
    <col min="5379" max="5632" width="9.140625" style="956"/>
    <col min="5633" max="5633" width="5.7109375" style="956" customWidth="1"/>
    <col min="5634" max="5634" width="106.42578125" style="956" customWidth="1"/>
    <col min="5635" max="5888" width="9.140625" style="956"/>
    <col min="5889" max="5889" width="5.7109375" style="956" customWidth="1"/>
    <col min="5890" max="5890" width="106.42578125" style="956" customWidth="1"/>
    <col min="5891" max="6144" width="9.140625" style="956"/>
    <col min="6145" max="6145" width="5.7109375" style="956" customWidth="1"/>
    <col min="6146" max="6146" width="106.42578125" style="956" customWidth="1"/>
    <col min="6147" max="6400" width="9.140625" style="956"/>
    <col min="6401" max="6401" width="5.7109375" style="956" customWidth="1"/>
    <col min="6402" max="6402" width="106.42578125" style="956" customWidth="1"/>
    <col min="6403" max="6656" width="9.140625" style="956"/>
    <col min="6657" max="6657" width="5.7109375" style="956" customWidth="1"/>
    <col min="6658" max="6658" width="106.42578125" style="956" customWidth="1"/>
    <col min="6659" max="6912" width="9.140625" style="956"/>
    <col min="6913" max="6913" width="5.7109375" style="956" customWidth="1"/>
    <col min="6914" max="6914" width="106.42578125" style="956" customWidth="1"/>
    <col min="6915" max="7168" width="9.140625" style="956"/>
    <col min="7169" max="7169" width="5.7109375" style="956" customWidth="1"/>
    <col min="7170" max="7170" width="106.42578125" style="956" customWidth="1"/>
    <col min="7171" max="7424" width="9.140625" style="956"/>
    <col min="7425" max="7425" width="5.7109375" style="956" customWidth="1"/>
    <col min="7426" max="7426" width="106.42578125" style="956" customWidth="1"/>
    <col min="7427" max="7680" width="9.140625" style="956"/>
    <col min="7681" max="7681" width="5.7109375" style="956" customWidth="1"/>
    <col min="7682" max="7682" width="106.42578125" style="956" customWidth="1"/>
    <col min="7683" max="7936" width="9.140625" style="956"/>
    <col min="7937" max="7937" width="5.7109375" style="956" customWidth="1"/>
    <col min="7938" max="7938" width="106.42578125" style="956" customWidth="1"/>
    <col min="7939" max="8192" width="9.140625" style="956"/>
    <col min="8193" max="8193" width="5.7109375" style="956" customWidth="1"/>
    <col min="8194" max="8194" width="106.42578125" style="956" customWidth="1"/>
    <col min="8195" max="8448" width="9.140625" style="956"/>
    <col min="8449" max="8449" width="5.7109375" style="956" customWidth="1"/>
    <col min="8450" max="8450" width="106.42578125" style="956" customWidth="1"/>
    <col min="8451" max="8704" width="9.140625" style="956"/>
    <col min="8705" max="8705" width="5.7109375" style="956" customWidth="1"/>
    <col min="8706" max="8706" width="106.42578125" style="956" customWidth="1"/>
    <col min="8707" max="8960" width="9.140625" style="956"/>
    <col min="8961" max="8961" width="5.7109375" style="956" customWidth="1"/>
    <col min="8962" max="8962" width="106.42578125" style="956" customWidth="1"/>
    <col min="8963" max="9216" width="9.140625" style="956"/>
    <col min="9217" max="9217" width="5.7109375" style="956" customWidth="1"/>
    <col min="9218" max="9218" width="106.42578125" style="956" customWidth="1"/>
    <col min="9219" max="9472" width="9.140625" style="956"/>
    <col min="9473" max="9473" width="5.7109375" style="956" customWidth="1"/>
    <col min="9474" max="9474" width="106.42578125" style="956" customWidth="1"/>
    <col min="9475" max="9728" width="9.140625" style="956"/>
    <col min="9729" max="9729" width="5.7109375" style="956" customWidth="1"/>
    <col min="9730" max="9730" width="106.42578125" style="956" customWidth="1"/>
    <col min="9731" max="9984" width="9.140625" style="956"/>
    <col min="9985" max="9985" width="5.7109375" style="956" customWidth="1"/>
    <col min="9986" max="9986" width="106.42578125" style="956" customWidth="1"/>
    <col min="9987" max="10240" width="9.140625" style="956"/>
    <col min="10241" max="10241" width="5.7109375" style="956" customWidth="1"/>
    <col min="10242" max="10242" width="106.42578125" style="956" customWidth="1"/>
    <col min="10243" max="10496" width="9.140625" style="956"/>
    <col min="10497" max="10497" width="5.7109375" style="956" customWidth="1"/>
    <col min="10498" max="10498" width="106.42578125" style="956" customWidth="1"/>
    <col min="10499" max="10752" width="9.140625" style="956"/>
    <col min="10753" max="10753" width="5.7109375" style="956" customWidth="1"/>
    <col min="10754" max="10754" width="106.42578125" style="956" customWidth="1"/>
    <col min="10755" max="11008" width="9.140625" style="956"/>
    <col min="11009" max="11009" width="5.7109375" style="956" customWidth="1"/>
    <col min="11010" max="11010" width="106.42578125" style="956" customWidth="1"/>
    <col min="11011" max="11264" width="9.140625" style="956"/>
    <col min="11265" max="11265" width="5.7109375" style="956" customWidth="1"/>
    <col min="11266" max="11266" width="106.42578125" style="956" customWidth="1"/>
    <col min="11267" max="11520" width="9.140625" style="956"/>
    <col min="11521" max="11521" width="5.7109375" style="956" customWidth="1"/>
    <col min="11522" max="11522" width="106.42578125" style="956" customWidth="1"/>
    <col min="11523" max="11776" width="9.140625" style="956"/>
    <col min="11777" max="11777" width="5.7109375" style="956" customWidth="1"/>
    <col min="11778" max="11778" width="106.42578125" style="956" customWidth="1"/>
    <col min="11779" max="12032" width="9.140625" style="956"/>
    <col min="12033" max="12033" width="5.7109375" style="956" customWidth="1"/>
    <col min="12034" max="12034" width="106.42578125" style="956" customWidth="1"/>
    <col min="12035" max="12288" width="9.140625" style="956"/>
    <col min="12289" max="12289" width="5.7109375" style="956" customWidth="1"/>
    <col min="12290" max="12290" width="106.42578125" style="956" customWidth="1"/>
    <col min="12291" max="12544" width="9.140625" style="956"/>
    <col min="12545" max="12545" width="5.7109375" style="956" customWidth="1"/>
    <col min="12546" max="12546" width="106.42578125" style="956" customWidth="1"/>
    <col min="12547" max="12800" width="9.140625" style="956"/>
    <col min="12801" max="12801" width="5.7109375" style="956" customWidth="1"/>
    <col min="12802" max="12802" width="106.42578125" style="956" customWidth="1"/>
    <col min="12803" max="13056" width="9.140625" style="956"/>
    <col min="13057" max="13057" width="5.7109375" style="956" customWidth="1"/>
    <col min="13058" max="13058" width="106.42578125" style="956" customWidth="1"/>
    <col min="13059" max="13312" width="9.140625" style="956"/>
    <col min="13313" max="13313" width="5.7109375" style="956" customWidth="1"/>
    <col min="13314" max="13314" width="106.42578125" style="956" customWidth="1"/>
    <col min="13315" max="13568" width="9.140625" style="956"/>
    <col min="13569" max="13569" width="5.7109375" style="956" customWidth="1"/>
    <col min="13570" max="13570" width="106.42578125" style="956" customWidth="1"/>
    <col min="13571" max="13824" width="9.140625" style="956"/>
    <col min="13825" max="13825" width="5.7109375" style="956" customWidth="1"/>
    <col min="13826" max="13826" width="106.42578125" style="956" customWidth="1"/>
    <col min="13827" max="14080" width="9.140625" style="956"/>
    <col min="14081" max="14081" width="5.7109375" style="956" customWidth="1"/>
    <col min="14082" max="14082" width="106.42578125" style="956" customWidth="1"/>
    <col min="14083" max="14336" width="9.140625" style="956"/>
    <col min="14337" max="14337" width="5.7109375" style="956" customWidth="1"/>
    <col min="14338" max="14338" width="106.42578125" style="956" customWidth="1"/>
    <col min="14339" max="14592" width="9.140625" style="956"/>
    <col min="14593" max="14593" width="5.7109375" style="956" customWidth="1"/>
    <col min="14594" max="14594" width="106.42578125" style="956" customWidth="1"/>
    <col min="14595" max="14848" width="9.140625" style="956"/>
    <col min="14849" max="14849" width="5.7109375" style="956" customWidth="1"/>
    <col min="14850" max="14850" width="106.42578125" style="956" customWidth="1"/>
    <col min="14851" max="15104" width="9.140625" style="956"/>
    <col min="15105" max="15105" width="5.7109375" style="956" customWidth="1"/>
    <col min="15106" max="15106" width="106.42578125" style="956" customWidth="1"/>
    <col min="15107" max="15360" width="9.140625" style="956"/>
    <col min="15361" max="15361" width="5.7109375" style="956" customWidth="1"/>
    <col min="15362" max="15362" width="106.42578125" style="956" customWidth="1"/>
    <col min="15363" max="15616" width="9.140625" style="956"/>
    <col min="15617" max="15617" width="5.7109375" style="956" customWidth="1"/>
    <col min="15618" max="15618" width="106.42578125" style="956" customWidth="1"/>
    <col min="15619" max="15872" width="9.140625" style="956"/>
    <col min="15873" max="15873" width="5.7109375" style="956" customWidth="1"/>
    <col min="15874" max="15874" width="106.42578125" style="956" customWidth="1"/>
    <col min="15875" max="16128" width="9.140625" style="956"/>
    <col min="16129" max="16129" width="5.7109375" style="956" customWidth="1"/>
    <col min="16130" max="16130" width="106.42578125" style="956" customWidth="1"/>
    <col min="16131" max="16384" width="9.140625" style="956"/>
  </cols>
  <sheetData>
    <row r="1" spans="2:2" x14ac:dyDescent="0.2">
      <c r="B1" s="963" t="str">
        <f>'User''s Guide'!$D$1</f>
        <v>Last updated: 04/06/2014</v>
      </c>
    </row>
    <row r="2" spans="2:2" x14ac:dyDescent="0.2">
      <c r="B2" s="963"/>
    </row>
    <row r="3" spans="2:2" ht="20.25" x14ac:dyDescent="0.2">
      <c r="B3" s="957" t="s">
        <v>329</v>
      </c>
    </row>
    <row r="4" spans="2:2" ht="18" x14ac:dyDescent="0.2">
      <c r="B4" s="958" t="s">
        <v>397</v>
      </c>
    </row>
    <row r="7" spans="2:2" x14ac:dyDescent="0.2">
      <c r="B7" s="959" t="s">
        <v>445</v>
      </c>
    </row>
    <row r="9" spans="2:2" ht="76.5" x14ac:dyDescent="0.2">
      <c r="B9" s="960" t="s">
        <v>399</v>
      </c>
    </row>
    <row r="10" spans="2:2" x14ac:dyDescent="0.2">
      <c r="B10" s="960"/>
    </row>
    <row r="11" spans="2:2" x14ac:dyDescent="0.2">
      <c r="B11" s="1030" t="s">
        <v>446</v>
      </c>
    </row>
    <row r="12" spans="2:2" ht="76.5" x14ac:dyDescent="0.2">
      <c r="B12" s="1127" t="s">
        <v>506</v>
      </c>
    </row>
    <row r="14" spans="2:2" x14ac:dyDescent="0.2">
      <c r="B14" s="960"/>
    </row>
    <row r="16" spans="2:2" x14ac:dyDescent="0.2">
      <c r="B16" s="959" t="s">
        <v>400</v>
      </c>
    </row>
    <row r="18" spans="2:2" x14ac:dyDescent="0.2">
      <c r="B18" s="961" t="s">
        <v>401</v>
      </c>
    </row>
    <row r="19" spans="2:2" ht="25.5" x14ac:dyDescent="0.2">
      <c r="B19" s="962" t="s">
        <v>402</v>
      </c>
    </row>
    <row r="20" spans="2:2" ht="38.25" x14ac:dyDescent="0.2">
      <c r="B20" s="962" t="s">
        <v>403</v>
      </c>
    </row>
    <row r="21" spans="2:2" x14ac:dyDescent="0.2">
      <c r="B21" s="962"/>
    </row>
    <row r="22" spans="2:2" x14ac:dyDescent="0.2">
      <c r="B22" s="959" t="s">
        <v>404</v>
      </c>
    </row>
    <row r="23" spans="2:2" x14ac:dyDescent="0.2">
      <c r="B23" s="959"/>
    </row>
    <row r="25" spans="2:2" ht="95.25" customHeight="1" x14ac:dyDescent="0.2">
      <c r="B25" s="961" t="s">
        <v>508</v>
      </c>
    </row>
    <row r="26" spans="2:2" ht="51" x14ac:dyDescent="0.2">
      <c r="B26" s="961" t="s">
        <v>507</v>
      </c>
    </row>
    <row r="27" spans="2:2" x14ac:dyDescent="0.2">
      <c r="B27" s="961"/>
    </row>
    <row r="28" spans="2:2" x14ac:dyDescent="0.2">
      <c r="B28" s="961"/>
    </row>
    <row r="29" spans="2:2" x14ac:dyDescent="0.2">
      <c r="B29" s="960"/>
    </row>
    <row r="30" spans="2:2" x14ac:dyDescent="0.2">
      <c r="B30" s="955" t="str">
        <f>'User''s Guide'!$D$1</f>
        <v>Last updated: 04/06/2014</v>
      </c>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showGridLines="0" workbookViewId="0"/>
  </sheetViews>
  <sheetFormatPr defaultRowHeight="12.75" x14ac:dyDescent="0.2"/>
  <cols>
    <col min="1" max="1" width="5.7109375" style="969" customWidth="1"/>
    <col min="2" max="2" width="16.28515625" style="969" customWidth="1"/>
    <col min="3" max="3" width="67" style="969" customWidth="1"/>
    <col min="4" max="4" width="15.140625" style="969" customWidth="1"/>
    <col min="5" max="5" width="15" style="969" customWidth="1"/>
    <col min="6" max="6" width="15.140625" style="969" customWidth="1"/>
    <col min="7" max="7" width="18.28515625" style="969" customWidth="1"/>
    <col min="8" max="8" width="5.7109375" style="969" customWidth="1"/>
    <col min="9" max="9" width="20.7109375" style="969" customWidth="1"/>
    <col min="10" max="256" width="9.140625" style="969"/>
    <col min="257" max="257" width="5.7109375" style="969" customWidth="1"/>
    <col min="258" max="258" width="16.28515625" style="969" customWidth="1"/>
    <col min="259" max="259" width="67" style="969" customWidth="1"/>
    <col min="260" max="260" width="15.140625" style="969" customWidth="1"/>
    <col min="261" max="261" width="15" style="969" customWidth="1"/>
    <col min="262" max="262" width="15.140625" style="969" customWidth="1"/>
    <col min="263" max="263" width="18.28515625" style="969" customWidth="1"/>
    <col min="264" max="264" width="5.7109375" style="969" customWidth="1"/>
    <col min="265" max="265" width="20.7109375" style="969" customWidth="1"/>
    <col min="266" max="512" width="9.140625" style="969"/>
    <col min="513" max="513" width="5.7109375" style="969" customWidth="1"/>
    <col min="514" max="514" width="16.28515625" style="969" customWidth="1"/>
    <col min="515" max="515" width="67" style="969" customWidth="1"/>
    <col min="516" max="516" width="15.140625" style="969" customWidth="1"/>
    <col min="517" max="517" width="15" style="969" customWidth="1"/>
    <col min="518" max="518" width="15.140625" style="969" customWidth="1"/>
    <col min="519" max="519" width="18.28515625" style="969" customWidth="1"/>
    <col min="520" max="520" width="5.7109375" style="969" customWidth="1"/>
    <col min="521" max="521" width="20.7109375" style="969" customWidth="1"/>
    <col min="522" max="768" width="9.140625" style="969"/>
    <col min="769" max="769" width="5.7109375" style="969" customWidth="1"/>
    <col min="770" max="770" width="16.28515625" style="969" customWidth="1"/>
    <col min="771" max="771" width="67" style="969" customWidth="1"/>
    <col min="772" max="772" width="15.140625" style="969" customWidth="1"/>
    <col min="773" max="773" width="15" style="969" customWidth="1"/>
    <col min="774" max="774" width="15.140625" style="969" customWidth="1"/>
    <col min="775" max="775" width="18.28515625" style="969" customWidth="1"/>
    <col min="776" max="776" width="5.7109375" style="969" customWidth="1"/>
    <col min="777" max="777" width="20.7109375" style="969" customWidth="1"/>
    <col min="778" max="1024" width="9.140625" style="969"/>
    <col min="1025" max="1025" width="5.7109375" style="969" customWidth="1"/>
    <col min="1026" max="1026" width="16.28515625" style="969" customWidth="1"/>
    <col min="1027" max="1027" width="67" style="969" customWidth="1"/>
    <col min="1028" max="1028" width="15.140625" style="969" customWidth="1"/>
    <col min="1029" max="1029" width="15" style="969" customWidth="1"/>
    <col min="1030" max="1030" width="15.140625" style="969" customWidth="1"/>
    <col min="1031" max="1031" width="18.28515625" style="969" customWidth="1"/>
    <col min="1032" max="1032" width="5.7109375" style="969" customWidth="1"/>
    <col min="1033" max="1033" width="20.7109375" style="969" customWidth="1"/>
    <col min="1034" max="1280" width="9.140625" style="969"/>
    <col min="1281" max="1281" width="5.7109375" style="969" customWidth="1"/>
    <col min="1282" max="1282" width="16.28515625" style="969" customWidth="1"/>
    <col min="1283" max="1283" width="67" style="969" customWidth="1"/>
    <col min="1284" max="1284" width="15.140625" style="969" customWidth="1"/>
    <col min="1285" max="1285" width="15" style="969" customWidth="1"/>
    <col min="1286" max="1286" width="15.140625" style="969" customWidth="1"/>
    <col min="1287" max="1287" width="18.28515625" style="969" customWidth="1"/>
    <col min="1288" max="1288" width="5.7109375" style="969" customWidth="1"/>
    <col min="1289" max="1289" width="20.7109375" style="969" customWidth="1"/>
    <col min="1290" max="1536" width="9.140625" style="969"/>
    <col min="1537" max="1537" width="5.7109375" style="969" customWidth="1"/>
    <col min="1538" max="1538" width="16.28515625" style="969" customWidth="1"/>
    <col min="1539" max="1539" width="67" style="969" customWidth="1"/>
    <col min="1540" max="1540" width="15.140625" style="969" customWidth="1"/>
    <col min="1541" max="1541" width="15" style="969" customWidth="1"/>
    <col min="1542" max="1542" width="15.140625" style="969" customWidth="1"/>
    <col min="1543" max="1543" width="18.28515625" style="969" customWidth="1"/>
    <col min="1544" max="1544" width="5.7109375" style="969" customWidth="1"/>
    <col min="1545" max="1545" width="20.7109375" style="969" customWidth="1"/>
    <col min="1546" max="1792" width="9.140625" style="969"/>
    <col min="1793" max="1793" width="5.7109375" style="969" customWidth="1"/>
    <col min="1794" max="1794" width="16.28515625" style="969" customWidth="1"/>
    <col min="1795" max="1795" width="67" style="969" customWidth="1"/>
    <col min="1796" max="1796" width="15.140625" style="969" customWidth="1"/>
    <col min="1797" max="1797" width="15" style="969" customWidth="1"/>
    <col min="1798" max="1798" width="15.140625" style="969" customWidth="1"/>
    <col min="1799" max="1799" width="18.28515625" style="969" customWidth="1"/>
    <col min="1800" max="1800" width="5.7109375" style="969" customWidth="1"/>
    <col min="1801" max="1801" width="20.7109375" style="969" customWidth="1"/>
    <col min="1802" max="2048" width="9.140625" style="969"/>
    <col min="2049" max="2049" width="5.7109375" style="969" customWidth="1"/>
    <col min="2050" max="2050" width="16.28515625" style="969" customWidth="1"/>
    <col min="2051" max="2051" width="67" style="969" customWidth="1"/>
    <col min="2052" max="2052" width="15.140625" style="969" customWidth="1"/>
    <col min="2053" max="2053" width="15" style="969" customWidth="1"/>
    <col min="2054" max="2054" width="15.140625" style="969" customWidth="1"/>
    <col min="2055" max="2055" width="18.28515625" style="969" customWidth="1"/>
    <col min="2056" max="2056" width="5.7109375" style="969" customWidth="1"/>
    <col min="2057" max="2057" width="20.7109375" style="969" customWidth="1"/>
    <col min="2058" max="2304" width="9.140625" style="969"/>
    <col min="2305" max="2305" width="5.7109375" style="969" customWidth="1"/>
    <col min="2306" max="2306" width="16.28515625" style="969" customWidth="1"/>
    <col min="2307" max="2307" width="67" style="969" customWidth="1"/>
    <col min="2308" max="2308" width="15.140625" style="969" customWidth="1"/>
    <col min="2309" max="2309" width="15" style="969" customWidth="1"/>
    <col min="2310" max="2310" width="15.140625" style="969" customWidth="1"/>
    <col min="2311" max="2311" width="18.28515625" style="969" customWidth="1"/>
    <col min="2312" max="2312" width="5.7109375" style="969" customWidth="1"/>
    <col min="2313" max="2313" width="20.7109375" style="969" customWidth="1"/>
    <col min="2314" max="2560" width="9.140625" style="969"/>
    <col min="2561" max="2561" width="5.7109375" style="969" customWidth="1"/>
    <col min="2562" max="2562" width="16.28515625" style="969" customWidth="1"/>
    <col min="2563" max="2563" width="67" style="969" customWidth="1"/>
    <col min="2564" max="2564" width="15.140625" style="969" customWidth="1"/>
    <col min="2565" max="2565" width="15" style="969" customWidth="1"/>
    <col min="2566" max="2566" width="15.140625" style="969" customWidth="1"/>
    <col min="2567" max="2567" width="18.28515625" style="969" customWidth="1"/>
    <col min="2568" max="2568" width="5.7109375" style="969" customWidth="1"/>
    <col min="2569" max="2569" width="20.7109375" style="969" customWidth="1"/>
    <col min="2570" max="2816" width="9.140625" style="969"/>
    <col min="2817" max="2817" width="5.7109375" style="969" customWidth="1"/>
    <col min="2818" max="2818" width="16.28515625" style="969" customWidth="1"/>
    <col min="2819" max="2819" width="67" style="969" customWidth="1"/>
    <col min="2820" max="2820" width="15.140625" style="969" customWidth="1"/>
    <col min="2821" max="2821" width="15" style="969" customWidth="1"/>
    <col min="2822" max="2822" width="15.140625" style="969" customWidth="1"/>
    <col min="2823" max="2823" width="18.28515625" style="969" customWidth="1"/>
    <col min="2824" max="2824" width="5.7109375" style="969" customWidth="1"/>
    <col min="2825" max="2825" width="20.7109375" style="969" customWidth="1"/>
    <col min="2826" max="3072" width="9.140625" style="969"/>
    <col min="3073" max="3073" width="5.7109375" style="969" customWidth="1"/>
    <col min="3074" max="3074" width="16.28515625" style="969" customWidth="1"/>
    <col min="3075" max="3075" width="67" style="969" customWidth="1"/>
    <col min="3076" max="3076" width="15.140625" style="969" customWidth="1"/>
    <col min="3077" max="3077" width="15" style="969" customWidth="1"/>
    <col min="3078" max="3078" width="15.140625" style="969" customWidth="1"/>
    <col min="3079" max="3079" width="18.28515625" style="969" customWidth="1"/>
    <col min="3080" max="3080" width="5.7109375" style="969" customWidth="1"/>
    <col min="3081" max="3081" width="20.7109375" style="969" customWidth="1"/>
    <col min="3082" max="3328" width="9.140625" style="969"/>
    <col min="3329" max="3329" width="5.7109375" style="969" customWidth="1"/>
    <col min="3330" max="3330" width="16.28515625" style="969" customWidth="1"/>
    <col min="3331" max="3331" width="67" style="969" customWidth="1"/>
    <col min="3332" max="3332" width="15.140625" style="969" customWidth="1"/>
    <col min="3333" max="3333" width="15" style="969" customWidth="1"/>
    <col min="3334" max="3334" width="15.140625" style="969" customWidth="1"/>
    <col min="3335" max="3335" width="18.28515625" style="969" customWidth="1"/>
    <col min="3336" max="3336" width="5.7109375" style="969" customWidth="1"/>
    <col min="3337" max="3337" width="20.7109375" style="969" customWidth="1"/>
    <col min="3338" max="3584" width="9.140625" style="969"/>
    <col min="3585" max="3585" width="5.7109375" style="969" customWidth="1"/>
    <col min="3586" max="3586" width="16.28515625" style="969" customWidth="1"/>
    <col min="3587" max="3587" width="67" style="969" customWidth="1"/>
    <col min="3588" max="3588" width="15.140625" style="969" customWidth="1"/>
    <col min="3589" max="3589" width="15" style="969" customWidth="1"/>
    <col min="3590" max="3590" width="15.140625" style="969" customWidth="1"/>
    <col min="3591" max="3591" width="18.28515625" style="969" customWidth="1"/>
    <col min="3592" max="3592" width="5.7109375" style="969" customWidth="1"/>
    <col min="3593" max="3593" width="20.7109375" style="969" customWidth="1"/>
    <col min="3594" max="3840" width="9.140625" style="969"/>
    <col min="3841" max="3841" width="5.7109375" style="969" customWidth="1"/>
    <col min="3842" max="3842" width="16.28515625" style="969" customWidth="1"/>
    <col min="3843" max="3843" width="67" style="969" customWidth="1"/>
    <col min="3844" max="3844" width="15.140625" style="969" customWidth="1"/>
    <col min="3845" max="3845" width="15" style="969" customWidth="1"/>
    <col min="3846" max="3846" width="15.140625" style="969" customWidth="1"/>
    <col min="3847" max="3847" width="18.28515625" style="969" customWidth="1"/>
    <col min="3848" max="3848" width="5.7109375" style="969" customWidth="1"/>
    <col min="3849" max="3849" width="20.7109375" style="969" customWidth="1"/>
    <col min="3850" max="4096" width="9.140625" style="969"/>
    <col min="4097" max="4097" width="5.7109375" style="969" customWidth="1"/>
    <col min="4098" max="4098" width="16.28515625" style="969" customWidth="1"/>
    <col min="4099" max="4099" width="67" style="969" customWidth="1"/>
    <col min="4100" max="4100" width="15.140625" style="969" customWidth="1"/>
    <col min="4101" max="4101" width="15" style="969" customWidth="1"/>
    <col min="4102" max="4102" width="15.140625" style="969" customWidth="1"/>
    <col min="4103" max="4103" width="18.28515625" style="969" customWidth="1"/>
    <col min="4104" max="4104" width="5.7109375" style="969" customWidth="1"/>
    <col min="4105" max="4105" width="20.7109375" style="969" customWidth="1"/>
    <col min="4106" max="4352" width="9.140625" style="969"/>
    <col min="4353" max="4353" width="5.7109375" style="969" customWidth="1"/>
    <col min="4354" max="4354" width="16.28515625" style="969" customWidth="1"/>
    <col min="4355" max="4355" width="67" style="969" customWidth="1"/>
    <col min="4356" max="4356" width="15.140625" style="969" customWidth="1"/>
    <col min="4357" max="4357" width="15" style="969" customWidth="1"/>
    <col min="4358" max="4358" width="15.140625" style="969" customWidth="1"/>
    <col min="4359" max="4359" width="18.28515625" style="969" customWidth="1"/>
    <col min="4360" max="4360" width="5.7109375" style="969" customWidth="1"/>
    <col min="4361" max="4361" width="20.7109375" style="969" customWidth="1"/>
    <col min="4362" max="4608" width="9.140625" style="969"/>
    <col min="4609" max="4609" width="5.7109375" style="969" customWidth="1"/>
    <col min="4610" max="4610" width="16.28515625" style="969" customWidth="1"/>
    <col min="4611" max="4611" width="67" style="969" customWidth="1"/>
    <col min="4612" max="4612" width="15.140625" style="969" customWidth="1"/>
    <col min="4613" max="4613" width="15" style="969" customWidth="1"/>
    <col min="4614" max="4614" width="15.140625" style="969" customWidth="1"/>
    <col min="4615" max="4615" width="18.28515625" style="969" customWidth="1"/>
    <col min="4616" max="4616" width="5.7109375" style="969" customWidth="1"/>
    <col min="4617" max="4617" width="20.7109375" style="969" customWidth="1"/>
    <col min="4618" max="4864" width="9.140625" style="969"/>
    <col min="4865" max="4865" width="5.7109375" style="969" customWidth="1"/>
    <col min="4866" max="4866" width="16.28515625" style="969" customWidth="1"/>
    <col min="4867" max="4867" width="67" style="969" customWidth="1"/>
    <col min="4868" max="4868" width="15.140625" style="969" customWidth="1"/>
    <col min="4869" max="4869" width="15" style="969" customWidth="1"/>
    <col min="4870" max="4870" width="15.140625" style="969" customWidth="1"/>
    <col min="4871" max="4871" width="18.28515625" style="969" customWidth="1"/>
    <col min="4872" max="4872" width="5.7109375" style="969" customWidth="1"/>
    <col min="4873" max="4873" width="20.7109375" style="969" customWidth="1"/>
    <col min="4874" max="5120" width="9.140625" style="969"/>
    <col min="5121" max="5121" width="5.7109375" style="969" customWidth="1"/>
    <col min="5122" max="5122" width="16.28515625" style="969" customWidth="1"/>
    <col min="5123" max="5123" width="67" style="969" customWidth="1"/>
    <col min="5124" max="5124" width="15.140625" style="969" customWidth="1"/>
    <col min="5125" max="5125" width="15" style="969" customWidth="1"/>
    <col min="5126" max="5126" width="15.140625" style="969" customWidth="1"/>
    <col min="5127" max="5127" width="18.28515625" style="969" customWidth="1"/>
    <col min="5128" max="5128" width="5.7109375" style="969" customWidth="1"/>
    <col min="5129" max="5129" width="20.7109375" style="969" customWidth="1"/>
    <col min="5130" max="5376" width="9.140625" style="969"/>
    <col min="5377" max="5377" width="5.7109375" style="969" customWidth="1"/>
    <col min="5378" max="5378" width="16.28515625" style="969" customWidth="1"/>
    <col min="5379" max="5379" width="67" style="969" customWidth="1"/>
    <col min="5380" max="5380" width="15.140625" style="969" customWidth="1"/>
    <col min="5381" max="5381" width="15" style="969" customWidth="1"/>
    <col min="5382" max="5382" width="15.140625" style="969" customWidth="1"/>
    <col min="5383" max="5383" width="18.28515625" style="969" customWidth="1"/>
    <col min="5384" max="5384" width="5.7109375" style="969" customWidth="1"/>
    <col min="5385" max="5385" width="20.7109375" style="969" customWidth="1"/>
    <col min="5386" max="5632" width="9.140625" style="969"/>
    <col min="5633" max="5633" width="5.7109375" style="969" customWidth="1"/>
    <col min="5634" max="5634" width="16.28515625" style="969" customWidth="1"/>
    <col min="5635" max="5635" width="67" style="969" customWidth="1"/>
    <col min="5636" max="5636" width="15.140625" style="969" customWidth="1"/>
    <col min="5637" max="5637" width="15" style="969" customWidth="1"/>
    <col min="5638" max="5638" width="15.140625" style="969" customWidth="1"/>
    <col min="5639" max="5639" width="18.28515625" style="969" customWidth="1"/>
    <col min="5640" max="5640" width="5.7109375" style="969" customWidth="1"/>
    <col min="5641" max="5641" width="20.7109375" style="969" customWidth="1"/>
    <col min="5642" max="5888" width="9.140625" style="969"/>
    <col min="5889" max="5889" width="5.7109375" style="969" customWidth="1"/>
    <col min="5890" max="5890" width="16.28515625" style="969" customWidth="1"/>
    <col min="5891" max="5891" width="67" style="969" customWidth="1"/>
    <col min="5892" max="5892" width="15.140625" style="969" customWidth="1"/>
    <col min="5893" max="5893" width="15" style="969" customWidth="1"/>
    <col min="5894" max="5894" width="15.140625" style="969" customWidth="1"/>
    <col min="5895" max="5895" width="18.28515625" style="969" customWidth="1"/>
    <col min="5896" max="5896" width="5.7109375" style="969" customWidth="1"/>
    <col min="5897" max="5897" width="20.7109375" style="969" customWidth="1"/>
    <col min="5898" max="6144" width="9.140625" style="969"/>
    <col min="6145" max="6145" width="5.7109375" style="969" customWidth="1"/>
    <col min="6146" max="6146" width="16.28515625" style="969" customWidth="1"/>
    <col min="6147" max="6147" width="67" style="969" customWidth="1"/>
    <col min="6148" max="6148" width="15.140625" style="969" customWidth="1"/>
    <col min="6149" max="6149" width="15" style="969" customWidth="1"/>
    <col min="6150" max="6150" width="15.140625" style="969" customWidth="1"/>
    <col min="6151" max="6151" width="18.28515625" style="969" customWidth="1"/>
    <col min="6152" max="6152" width="5.7109375" style="969" customWidth="1"/>
    <col min="6153" max="6153" width="20.7109375" style="969" customWidth="1"/>
    <col min="6154" max="6400" width="9.140625" style="969"/>
    <col min="6401" max="6401" width="5.7109375" style="969" customWidth="1"/>
    <col min="6402" max="6402" width="16.28515625" style="969" customWidth="1"/>
    <col min="6403" max="6403" width="67" style="969" customWidth="1"/>
    <col min="6404" max="6404" width="15.140625" style="969" customWidth="1"/>
    <col min="6405" max="6405" width="15" style="969" customWidth="1"/>
    <col min="6406" max="6406" width="15.140625" style="969" customWidth="1"/>
    <col min="6407" max="6407" width="18.28515625" style="969" customWidth="1"/>
    <col min="6408" max="6408" width="5.7109375" style="969" customWidth="1"/>
    <col min="6409" max="6409" width="20.7109375" style="969" customWidth="1"/>
    <col min="6410" max="6656" width="9.140625" style="969"/>
    <col min="6657" max="6657" width="5.7109375" style="969" customWidth="1"/>
    <col min="6658" max="6658" width="16.28515625" style="969" customWidth="1"/>
    <col min="6659" max="6659" width="67" style="969" customWidth="1"/>
    <col min="6660" max="6660" width="15.140625" style="969" customWidth="1"/>
    <col min="6661" max="6661" width="15" style="969" customWidth="1"/>
    <col min="6662" max="6662" width="15.140625" style="969" customWidth="1"/>
    <col min="6663" max="6663" width="18.28515625" style="969" customWidth="1"/>
    <col min="6664" max="6664" width="5.7109375" style="969" customWidth="1"/>
    <col min="6665" max="6665" width="20.7109375" style="969" customWidth="1"/>
    <col min="6666" max="6912" width="9.140625" style="969"/>
    <col min="6913" max="6913" width="5.7109375" style="969" customWidth="1"/>
    <col min="6914" max="6914" width="16.28515625" style="969" customWidth="1"/>
    <col min="6915" max="6915" width="67" style="969" customWidth="1"/>
    <col min="6916" max="6916" width="15.140625" style="969" customWidth="1"/>
    <col min="6917" max="6917" width="15" style="969" customWidth="1"/>
    <col min="6918" max="6918" width="15.140625" style="969" customWidth="1"/>
    <col min="6919" max="6919" width="18.28515625" style="969" customWidth="1"/>
    <col min="6920" max="6920" width="5.7109375" style="969" customWidth="1"/>
    <col min="6921" max="6921" width="20.7109375" style="969" customWidth="1"/>
    <col min="6922" max="7168" width="9.140625" style="969"/>
    <col min="7169" max="7169" width="5.7109375" style="969" customWidth="1"/>
    <col min="7170" max="7170" width="16.28515625" style="969" customWidth="1"/>
    <col min="7171" max="7171" width="67" style="969" customWidth="1"/>
    <col min="7172" max="7172" width="15.140625" style="969" customWidth="1"/>
    <col min="7173" max="7173" width="15" style="969" customWidth="1"/>
    <col min="7174" max="7174" width="15.140625" style="969" customWidth="1"/>
    <col min="7175" max="7175" width="18.28515625" style="969" customWidth="1"/>
    <col min="7176" max="7176" width="5.7109375" style="969" customWidth="1"/>
    <col min="7177" max="7177" width="20.7109375" style="969" customWidth="1"/>
    <col min="7178" max="7424" width="9.140625" style="969"/>
    <col min="7425" max="7425" width="5.7109375" style="969" customWidth="1"/>
    <col min="7426" max="7426" width="16.28515625" style="969" customWidth="1"/>
    <col min="7427" max="7427" width="67" style="969" customWidth="1"/>
    <col min="7428" max="7428" width="15.140625" style="969" customWidth="1"/>
    <col min="7429" max="7429" width="15" style="969" customWidth="1"/>
    <col min="7430" max="7430" width="15.140625" style="969" customWidth="1"/>
    <col min="7431" max="7431" width="18.28515625" style="969" customWidth="1"/>
    <col min="7432" max="7432" width="5.7109375" style="969" customWidth="1"/>
    <col min="7433" max="7433" width="20.7109375" style="969" customWidth="1"/>
    <col min="7434" max="7680" width="9.140625" style="969"/>
    <col min="7681" max="7681" width="5.7109375" style="969" customWidth="1"/>
    <col min="7682" max="7682" width="16.28515625" style="969" customWidth="1"/>
    <col min="7683" max="7683" width="67" style="969" customWidth="1"/>
    <col min="7684" max="7684" width="15.140625" style="969" customWidth="1"/>
    <col min="7685" max="7685" width="15" style="969" customWidth="1"/>
    <col min="7686" max="7686" width="15.140625" style="969" customWidth="1"/>
    <col min="7687" max="7687" width="18.28515625" style="969" customWidth="1"/>
    <col min="7688" max="7688" width="5.7109375" style="969" customWidth="1"/>
    <col min="7689" max="7689" width="20.7109375" style="969" customWidth="1"/>
    <col min="7690" max="7936" width="9.140625" style="969"/>
    <col min="7937" max="7937" width="5.7109375" style="969" customWidth="1"/>
    <col min="7938" max="7938" width="16.28515625" style="969" customWidth="1"/>
    <col min="7939" max="7939" width="67" style="969" customWidth="1"/>
    <col min="7940" max="7940" width="15.140625" style="969" customWidth="1"/>
    <col min="7941" max="7941" width="15" style="969" customWidth="1"/>
    <col min="7942" max="7942" width="15.140625" style="969" customWidth="1"/>
    <col min="7943" max="7943" width="18.28515625" style="969" customWidth="1"/>
    <col min="7944" max="7944" width="5.7109375" style="969" customWidth="1"/>
    <col min="7945" max="7945" width="20.7109375" style="969" customWidth="1"/>
    <col min="7946" max="8192" width="9.140625" style="969"/>
    <col min="8193" max="8193" width="5.7109375" style="969" customWidth="1"/>
    <col min="8194" max="8194" width="16.28515625" style="969" customWidth="1"/>
    <col min="8195" max="8195" width="67" style="969" customWidth="1"/>
    <col min="8196" max="8196" width="15.140625" style="969" customWidth="1"/>
    <col min="8197" max="8197" width="15" style="969" customWidth="1"/>
    <col min="8198" max="8198" width="15.140625" style="969" customWidth="1"/>
    <col min="8199" max="8199" width="18.28515625" style="969" customWidth="1"/>
    <col min="8200" max="8200" width="5.7109375" style="969" customWidth="1"/>
    <col min="8201" max="8201" width="20.7109375" style="969" customWidth="1"/>
    <col min="8202" max="8448" width="9.140625" style="969"/>
    <col min="8449" max="8449" width="5.7109375" style="969" customWidth="1"/>
    <col min="8450" max="8450" width="16.28515625" style="969" customWidth="1"/>
    <col min="8451" max="8451" width="67" style="969" customWidth="1"/>
    <col min="8452" max="8452" width="15.140625" style="969" customWidth="1"/>
    <col min="8453" max="8453" width="15" style="969" customWidth="1"/>
    <col min="8454" max="8454" width="15.140625" style="969" customWidth="1"/>
    <col min="8455" max="8455" width="18.28515625" style="969" customWidth="1"/>
    <col min="8456" max="8456" width="5.7109375" style="969" customWidth="1"/>
    <col min="8457" max="8457" width="20.7109375" style="969" customWidth="1"/>
    <col min="8458" max="8704" width="9.140625" style="969"/>
    <col min="8705" max="8705" width="5.7109375" style="969" customWidth="1"/>
    <col min="8706" max="8706" width="16.28515625" style="969" customWidth="1"/>
    <col min="8707" max="8707" width="67" style="969" customWidth="1"/>
    <col min="8708" max="8708" width="15.140625" style="969" customWidth="1"/>
    <col min="8709" max="8709" width="15" style="969" customWidth="1"/>
    <col min="8710" max="8710" width="15.140625" style="969" customWidth="1"/>
    <col min="8711" max="8711" width="18.28515625" style="969" customWidth="1"/>
    <col min="8712" max="8712" width="5.7109375" style="969" customWidth="1"/>
    <col min="8713" max="8713" width="20.7109375" style="969" customWidth="1"/>
    <col min="8714" max="8960" width="9.140625" style="969"/>
    <col min="8961" max="8961" width="5.7109375" style="969" customWidth="1"/>
    <col min="8962" max="8962" width="16.28515625" style="969" customWidth="1"/>
    <col min="8963" max="8963" width="67" style="969" customWidth="1"/>
    <col min="8964" max="8964" width="15.140625" style="969" customWidth="1"/>
    <col min="8965" max="8965" width="15" style="969" customWidth="1"/>
    <col min="8966" max="8966" width="15.140625" style="969" customWidth="1"/>
    <col min="8967" max="8967" width="18.28515625" style="969" customWidth="1"/>
    <col min="8968" max="8968" width="5.7109375" style="969" customWidth="1"/>
    <col min="8969" max="8969" width="20.7109375" style="969" customWidth="1"/>
    <col min="8970" max="9216" width="9.140625" style="969"/>
    <col min="9217" max="9217" width="5.7109375" style="969" customWidth="1"/>
    <col min="9218" max="9218" width="16.28515625" style="969" customWidth="1"/>
    <col min="9219" max="9219" width="67" style="969" customWidth="1"/>
    <col min="9220" max="9220" width="15.140625" style="969" customWidth="1"/>
    <col min="9221" max="9221" width="15" style="969" customWidth="1"/>
    <col min="9222" max="9222" width="15.140625" style="969" customWidth="1"/>
    <col min="9223" max="9223" width="18.28515625" style="969" customWidth="1"/>
    <col min="9224" max="9224" width="5.7109375" style="969" customWidth="1"/>
    <col min="9225" max="9225" width="20.7109375" style="969" customWidth="1"/>
    <col min="9226" max="9472" width="9.140625" style="969"/>
    <col min="9473" max="9473" width="5.7109375" style="969" customWidth="1"/>
    <col min="9474" max="9474" width="16.28515625" style="969" customWidth="1"/>
    <col min="9475" max="9475" width="67" style="969" customWidth="1"/>
    <col min="9476" max="9476" width="15.140625" style="969" customWidth="1"/>
    <col min="9477" max="9477" width="15" style="969" customWidth="1"/>
    <col min="9478" max="9478" width="15.140625" style="969" customWidth="1"/>
    <col min="9479" max="9479" width="18.28515625" style="969" customWidth="1"/>
    <col min="9480" max="9480" width="5.7109375" style="969" customWidth="1"/>
    <col min="9481" max="9481" width="20.7109375" style="969" customWidth="1"/>
    <col min="9482" max="9728" width="9.140625" style="969"/>
    <col min="9729" max="9729" width="5.7109375" style="969" customWidth="1"/>
    <col min="9730" max="9730" width="16.28515625" style="969" customWidth="1"/>
    <col min="9731" max="9731" width="67" style="969" customWidth="1"/>
    <col min="9732" max="9732" width="15.140625" style="969" customWidth="1"/>
    <col min="9733" max="9733" width="15" style="969" customWidth="1"/>
    <col min="9734" max="9734" width="15.140625" style="969" customWidth="1"/>
    <col min="9735" max="9735" width="18.28515625" style="969" customWidth="1"/>
    <col min="9736" max="9736" width="5.7109375" style="969" customWidth="1"/>
    <col min="9737" max="9737" width="20.7109375" style="969" customWidth="1"/>
    <col min="9738" max="9984" width="9.140625" style="969"/>
    <col min="9985" max="9985" width="5.7109375" style="969" customWidth="1"/>
    <col min="9986" max="9986" width="16.28515625" style="969" customWidth="1"/>
    <col min="9987" max="9987" width="67" style="969" customWidth="1"/>
    <col min="9988" max="9988" width="15.140625" style="969" customWidth="1"/>
    <col min="9989" max="9989" width="15" style="969" customWidth="1"/>
    <col min="9990" max="9990" width="15.140625" style="969" customWidth="1"/>
    <col min="9991" max="9991" width="18.28515625" style="969" customWidth="1"/>
    <col min="9992" max="9992" width="5.7109375" style="969" customWidth="1"/>
    <col min="9993" max="9993" width="20.7109375" style="969" customWidth="1"/>
    <col min="9994" max="10240" width="9.140625" style="969"/>
    <col min="10241" max="10241" width="5.7109375" style="969" customWidth="1"/>
    <col min="10242" max="10242" width="16.28515625" style="969" customWidth="1"/>
    <col min="10243" max="10243" width="67" style="969" customWidth="1"/>
    <col min="10244" max="10244" width="15.140625" style="969" customWidth="1"/>
    <col min="10245" max="10245" width="15" style="969" customWidth="1"/>
    <col min="10246" max="10246" width="15.140625" style="969" customWidth="1"/>
    <col min="10247" max="10247" width="18.28515625" style="969" customWidth="1"/>
    <col min="10248" max="10248" width="5.7109375" style="969" customWidth="1"/>
    <col min="10249" max="10249" width="20.7109375" style="969" customWidth="1"/>
    <col min="10250" max="10496" width="9.140625" style="969"/>
    <col min="10497" max="10497" width="5.7109375" style="969" customWidth="1"/>
    <col min="10498" max="10498" width="16.28515625" style="969" customWidth="1"/>
    <col min="10499" max="10499" width="67" style="969" customWidth="1"/>
    <col min="10500" max="10500" width="15.140625" style="969" customWidth="1"/>
    <col min="10501" max="10501" width="15" style="969" customWidth="1"/>
    <col min="10502" max="10502" width="15.140625" style="969" customWidth="1"/>
    <col min="10503" max="10503" width="18.28515625" style="969" customWidth="1"/>
    <col min="10504" max="10504" width="5.7109375" style="969" customWidth="1"/>
    <col min="10505" max="10505" width="20.7109375" style="969" customWidth="1"/>
    <col min="10506" max="10752" width="9.140625" style="969"/>
    <col min="10753" max="10753" width="5.7109375" style="969" customWidth="1"/>
    <col min="10754" max="10754" width="16.28515625" style="969" customWidth="1"/>
    <col min="10755" max="10755" width="67" style="969" customWidth="1"/>
    <col min="10756" max="10756" width="15.140625" style="969" customWidth="1"/>
    <col min="10757" max="10757" width="15" style="969" customWidth="1"/>
    <col min="10758" max="10758" width="15.140625" style="969" customWidth="1"/>
    <col min="10759" max="10759" width="18.28515625" style="969" customWidth="1"/>
    <col min="10760" max="10760" width="5.7109375" style="969" customWidth="1"/>
    <col min="10761" max="10761" width="20.7109375" style="969" customWidth="1"/>
    <col min="10762" max="11008" width="9.140625" style="969"/>
    <col min="11009" max="11009" width="5.7109375" style="969" customWidth="1"/>
    <col min="11010" max="11010" width="16.28515625" style="969" customWidth="1"/>
    <col min="11011" max="11011" width="67" style="969" customWidth="1"/>
    <col min="11012" max="11012" width="15.140625" style="969" customWidth="1"/>
    <col min="11013" max="11013" width="15" style="969" customWidth="1"/>
    <col min="11014" max="11014" width="15.140625" style="969" customWidth="1"/>
    <col min="11015" max="11015" width="18.28515625" style="969" customWidth="1"/>
    <col min="11016" max="11016" width="5.7109375" style="969" customWidth="1"/>
    <col min="11017" max="11017" width="20.7109375" style="969" customWidth="1"/>
    <col min="11018" max="11264" width="9.140625" style="969"/>
    <col min="11265" max="11265" width="5.7109375" style="969" customWidth="1"/>
    <col min="11266" max="11266" width="16.28515625" style="969" customWidth="1"/>
    <col min="11267" max="11267" width="67" style="969" customWidth="1"/>
    <col min="11268" max="11268" width="15.140625" style="969" customWidth="1"/>
    <col min="11269" max="11269" width="15" style="969" customWidth="1"/>
    <col min="11270" max="11270" width="15.140625" style="969" customWidth="1"/>
    <col min="11271" max="11271" width="18.28515625" style="969" customWidth="1"/>
    <col min="11272" max="11272" width="5.7109375" style="969" customWidth="1"/>
    <col min="11273" max="11273" width="20.7109375" style="969" customWidth="1"/>
    <col min="11274" max="11520" width="9.140625" style="969"/>
    <col min="11521" max="11521" width="5.7109375" style="969" customWidth="1"/>
    <col min="11522" max="11522" width="16.28515625" style="969" customWidth="1"/>
    <col min="11523" max="11523" width="67" style="969" customWidth="1"/>
    <col min="11524" max="11524" width="15.140625" style="969" customWidth="1"/>
    <col min="11525" max="11525" width="15" style="969" customWidth="1"/>
    <col min="11526" max="11526" width="15.140625" style="969" customWidth="1"/>
    <col min="11527" max="11527" width="18.28515625" style="969" customWidth="1"/>
    <col min="11528" max="11528" width="5.7109375" style="969" customWidth="1"/>
    <col min="11529" max="11529" width="20.7109375" style="969" customWidth="1"/>
    <col min="11530" max="11776" width="9.140625" style="969"/>
    <col min="11777" max="11777" width="5.7109375" style="969" customWidth="1"/>
    <col min="11778" max="11778" width="16.28515625" style="969" customWidth="1"/>
    <col min="11779" max="11779" width="67" style="969" customWidth="1"/>
    <col min="11780" max="11780" width="15.140625" style="969" customWidth="1"/>
    <col min="11781" max="11781" width="15" style="969" customWidth="1"/>
    <col min="11782" max="11782" width="15.140625" style="969" customWidth="1"/>
    <col min="11783" max="11783" width="18.28515625" style="969" customWidth="1"/>
    <col min="11784" max="11784" width="5.7109375" style="969" customWidth="1"/>
    <col min="11785" max="11785" width="20.7109375" style="969" customWidth="1"/>
    <col min="11786" max="12032" width="9.140625" style="969"/>
    <col min="12033" max="12033" width="5.7109375" style="969" customWidth="1"/>
    <col min="12034" max="12034" width="16.28515625" style="969" customWidth="1"/>
    <col min="12035" max="12035" width="67" style="969" customWidth="1"/>
    <col min="12036" max="12036" width="15.140625" style="969" customWidth="1"/>
    <col min="12037" max="12037" width="15" style="969" customWidth="1"/>
    <col min="12038" max="12038" width="15.140625" style="969" customWidth="1"/>
    <col min="12039" max="12039" width="18.28515625" style="969" customWidth="1"/>
    <col min="12040" max="12040" width="5.7109375" style="969" customWidth="1"/>
    <col min="12041" max="12041" width="20.7109375" style="969" customWidth="1"/>
    <col min="12042" max="12288" width="9.140625" style="969"/>
    <col min="12289" max="12289" width="5.7109375" style="969" customWidth="1"/>
    <col min="12290" max="12290" width="16.28515625" style="969" customWidth="1"/>
    <col min="12291" max="12291" width="67" style="969" customWidth="1"/>
    <col min="12292" max="12292" width="15.140625" style="969" customWidth="1"/>
    <col min="12293" max="12293" width="15" style="969" customWidth="1"/>
    <col min="12294" max="12294" width="15.140625" style="969" customWidth="1"/>
    <col min="12295" max="12295" width="18.28515625" style="969" customWidth="1"/>
    <col min="12296" max="12296" width="5.7109375" style="969" customWidth="1"/>
    <col min="12297" max="12297" width="20.7109375" style="969" customWidth="1"/>
    <col min="12298" max="12544" width="9.140625" style="969"/>
    <col min="12545" max="12545" width="5.7109375" style="969" customWidth="1"/>
    <col min="12546" max="12546" width="16.28515625" style="969" customWidth="1"/>
    <col min="12547" max="12547" width="67" style="969" customWidth="1"/>
    <col min="12548" max="12548" width="15.140625" style="969" customWidth="1"/>
    <col min="12549" max="12549" width="15" style="969" customWidth="1"/>
    <col min="12550" max="12550" width="15.140625" style="969" customWidth="1"/>
    <col min="12551" max="12551" width="18.28515625" style="969" customWidth="1"/>
    <col min="12552" max="12552" width="5.7109375" style="969" customWidth="1"/>
    <col min="12553" max="12553" width="20.7109375" style="969" customWidth="1"/>
    <col min="12554" max="12800" width="9.140625" style="969"/>
    <col min="12801" max="12801" width="5.7109375" style="969" customWidth="1"/>
    <col min="12802" max="12802" width="16.28515625" style="969" customWidth="1"/>
    <col min="12803" max="12803" width="67" style="969" customWidth="1"/>
    <col min="12804" max="12804" width="15.140625" style="969" customWidth="1"/>
    <col min="12805" max="12805" width="15" style="969" customWidth="1"/>
    <col min="12806" max="12806" width="15.140625" style="969" customWidth="1"/>
    <col min="12807" max="12807" width="18.28515625" style="969" customWidth="1"/>
    <col min="12808" max="12808" width="5.7109375" style="969" customWidth="1"/>
    <col min="12809" max="12809" width="20.7109375" style="969" customWidth="1"/>
    <col min="12810" max="13056" width="9.140625" style="969"/>
    <col min="13057" max="13057" width="5.7109375" style="969" customWidth="1"/>
    <col min="13058" max="13058" width="16.28515625" style="969" customWidth="1"/>
    <col min="13059" max="13059" width="67" style="969" customWidth="1"/>
    <col min="13060" max="13060" width="15.140625" style="969" customWidth="1"/>
    <col min="13061" max="13061" width="15" style="969" customWidth="1"/>
    <col min="13062" max="13062" width="15.140625" style="969" customWidth="1"/>
    <col min="13063" max="13063" width="18.28515625" style="969" customWidth="1"/>
    <col min="13064" max="13064" width="5.7109375" style="969" customWidth="1"/>
    <col min="13065" max="13065" width="20.7109375" style="969" customWidth="1"/>
    <col min="13066" max="13312" width="9.140625" style="969"/>
    <col min="13313" max="13313" width="5.7109375" style="969" customWidth="1"/>
    <col min="13314" max="13314" width="16.28515625" style="969" customWidth="1"/>
    <col min="13315" max="13315" width="67" style="969" customWidth="1"/>
    <col min="13316" max="13316" width="15.140625" style="969" customWidth="1"/>
    <col min="13317" max="13317" width="15" style="969" customWidth="1"/>
    <col min="13318" max="13318" width="15.140625" style="969" customWidth="1"/>
    <col min="13319" max="13319" width="18.28515625" style="969" customWidth="1"/>
    <col min="13320" max="13320" width="5.7109375" style="969" customWidth="1"/>
    <col min="13321" max="13321" width="20.7109375" style="969" customWidth="1"/>
    <col min="13322" max="13568" width="9.140625" style="969"/>
    <col min="13569" max="13569" width="5.7109375" style="969" customWidth="1"/>
    <col min="13570" max="13570" width="16.28515625" style="969" customWidth="1"/>
    <col min="13571" max="13571" width="67" style="969" customWidth="1"/>
    <col min="13572" max="13572" width="15.140625" style="969" customWidth="1"/>
    <col min="13573" max="13573" width="15" style="969" customWidth="1"/>
    <col min="13574" max="13574" width="15.140625" style="969" customWidth="1"/>
    <col min="13575" max="13575" width="18.28515625" style="969" customWidth="1"/>
    <col min="13576" max="13576" width="5.7109375" style="969" customWidth="1"/>
    <col min="13577" max="13577" width="20.7109375" style="969" customWidth="1"/>
    <col min="13578" max="13824" width="9.140625" style="969"/>
    <col min="13825" max="13825" width="5.7109375" style="969" customWidth="1"/>
    <col min="13826" max="13826" width="16.28515625" style="969" customWidth="1"/>
    <col min="13827" max="13827" width="67" style="969" customWidth="1"/>
    <col min="13828" max="13828" width="15.140625" style="969" customWidth="1"/>
    <col min="13829" max="13829" width="15" style="969" customWidth="1"/>
    <col min="13830" max="13830" width="15.140625" style="969" customWidth="1"/>
    <col min="13831" max="13831" width="18.28515625" style="969" customWidth="1"/>
    <col min="13832" max="13832" width="5.7109375" style="969" customWidth="1"/>
    <col min="13833" max="13833" width="20.7109375" style="969" customWidth="1"/>
    <col min="13834" max="14080" width="9.140625" style="969"/>
    <col min="14081" max="14081" width="5.7109375" style="969" customWidth="1"/>
    <col min="14082" max="14082" width="16.28515625" style="969" customWidth="1"/>
    <col min="14083" max="14083" width="67" style="969" customWidth="1"/>
    <col min="14084" max="14084" width="15.140625" style="969" customWidth="1"/>
    <col min="14085" max="14085" width="15" style="969" customWidth="1"/>
    <col min="14086" max="14086" width="15.140625" style="969" customWidth="1"/>
    <col min="14087" max="14087" width="18.28515625" style="969" customWidth="1"/>
    <col min="14088" max="14088" width="5.7109375" style="969" customWidth="1"/>
    <col min="14089" max="14089" width="20.7109375" style="969" customWidth="1"/>
    <col min="14090" max="14336" width="9.140625" style="969"/>
    <col min="14337" max="14337" width="5.7109375" style="969" customWidth="1"/>
    <col min="14338" max="14338" width="16.28515625" style="969" customWidth="1"/>
    <col min="14339" max="14339" width="67" style="969" customWidth="1"/>
    <col min="14340" max="14340" width="15.140625" style="969" customWidth="1"/>
    <col min="14341" max="14341" width="15" style="969" customWidth="1"/>
    <col min="14342" max="14342" width="15.140625" style="969" customWidth="1"/>
    <col min="14343" max="14343" width="18.28515625" style="969" customWidth="1"/>
    <col min="14344" max="14344" width="5.7109375" style="969" customWidth="1"/>
    <col min="14345" max="14345" width="20.7109375" style="969" customWidth="1"/>
    <col min="14346" max="14592" width="9.140625" style="969"/>
    <col min="14593" max="14593" width="5.7109375" style="969" customWidth="1"/>
    <col min="14594" max="14594" width="16.28515625" style="969" customWidth="1"/>
    <col min="14595" max="14595" width="67" style="969" customWidth="1"/>
    <col min="14596" max="14596" width="15.140625" style="969" customWidth="1"/>
    <col min="14597" max="14597" width="15" style="969" customWidth="1"/>
    <col min="14598" max="14598" width="15.140625" style="969" customWidth="1"/>
    <col min="14599" max="14599" width="18.28515625" style="969" customWidth="1"/>
    <col min="14600" max="14600" width="5.7109375" style="969" customWidth="1"/>
    <col min="14601" max="14601" width="20.7109375" style="969" customWidth="1"/>
    <col min="14602" max="14848" width="9.140625" style="969"/>
    <col min="14849" max="14849" width="5.7109375" style="969" customWidth="1"/>
    <col min="14850" max="14850" width="16.28515625" style="969" customWidth="1"/>
    <col min="14851" max="14851" width="67" style="969" customWidth="1"/>
    <col min="14852" max="14852" width="15.140625" style="969" customWidth="1"/>
    <col min="14853" max="14853" width="15" style="969" customWidth="1"/>
    <col min="14854" max="14854" width="15.140625" style="969" customWidth="1"/>
    <col min="14855" max="14855" width="18.28515625" style="969" customWidth="1"/>
    <col min="14856" max="14856" width="5.7109375" style="969" customWidth="1"/>
    <col min="14857" max="14857" width="20.7109375" style="969" customWidth="1"/>
    <col min="14858" max="15104" width="9.140625" style="969"/>
    <col min="15105" max="15105" width="5.7109375" style="969" customWidth="1"/>
    <col min="15106" max="15106" width="16.28515625" style="969" customWidth="1"/>
    <col min="15107" max="15107" width="67" style="969" customWidth="1"/>
    <col min="15108" max="15108" width="15.140625" style="969" customWidth="1"/>
    <col min="15109" max="15109" width="15" style="969" customWidth="1"/>
    <col min="15110" max="15110" width="15.140625" style="969" customWidth="1"/>
    <col min="15111" max="15111" width="18.28515625" style="969" customWidth="1"/>
    <col min="15112" max="15112" width="5.7109375" style="969" customWidth="1"/>
    <col min="15113" max="15113" width="20.7109375" style="969" customWidth="1"/>
    <col min="15114" max="15360" width="9.140625" style="969"/>
    <col min="15361" max="15361" width="5.7109375" style="969" customWidth="1"/>
    <col min="15362" max="15362" width="16.28515625" style="969" customWidth="1"/>
    <col min="15363" max="15363" width="67" style="969" customWidth="1"/>
    <col min="15364" max="15364" width="15.140625" style="969" customWidth="1"/>
    <col min="15365" max="15365" width="15" style="969" customWidth="1"/>
    <col min="15366" max="15366" width="15.140625" style="969" customWidth="1"/>
    <col min="15367" max="15367" width="18.28515625" style="969" customWidth="1"/>
    <col min="15368" max="15368" width="5.7109375" style="969" customWidth="1"/>
    <col min="15369" max="15369" width="20.7109375" style="969" customWidth="1"/>
    <col min="15370" max="15616" width="9.140625" style="969"/>
    <col min="15617" max="15617" width="5.7109375" style="969" customWidth="1"/>
    <col min="15618" max="15618" width="16.28515625" style="969" customWidth="1"/>
    <col min="15619" max="15619" width="67" style="969" customWidth="1"/>
    <col min="15620" max="15620" width="15.140625" style="969" customWidth="1"/>
    <col min="15621" max="15621" width="15" style="969" customWidth="1"/>
    <col min="15622" max="15622" width="15.140625" style="969" customWidth="1"/>
    <col min="15623" max="15623" width="18.28515625" style="969" customWidth="1"/>
    <col min="15624" max="15624" width="5.7109375" style="969" customWidth="1"/>
    <col min="15625" max="15625" width="20.7109375" style="969" customWidth="1"/>
    <col min="15626" max="15872" width="9.140625" style="969"/>
    <col min="15873" max="15873" width="5.7109375" style="969" customWidth="1"/>
    <col min="15874" max="15874" width="16.28515625" style="969" customWidth="1"/>
    <col min="15875" max="15875" width="67" style="969" customWidth="1"/>
    <col min="15876" max="15876" width="15.140625" style="969" customWidth="1"/>
    <col min="15877" max="15877" width="15" style="969" customWidth="1"/>
    <col min="15878" max="15878" width="15.140625" style="969" customWidth="1"/>
    <col min="15879" max="15879" width="18.28515625" style="969" customWidth="1"/>
    <col min="15880" max="15880" width="5.7109375" style="969" customWidth="1"/>
    <col min="15881" max="15881" width="20.7109375" style="969" customWidth="1"/>
    <col min="15882" max="16128" width="9.140625" style="969"/>
    <col min="16129" max="16129" width="5.7109375" style="969" customWidth="1"/>
    <col min="16130" max="16130" width="16.28515625" style="969" customWidth="1"/>
    <col min="16131" max="16131" width="67" style="969" customWidth="1"/>
    <col min="16132" max="16132" width="15.140625" style="969" customWidth="1"/>
    <col min="16133" max="16133" width="15" style="969" customWidth="1"/>
    <col min="16134" max="16134" width="15.140625" style="969" customWidth="1"/>
    <col min="16135" max="16135" width="18.28515625" style="969" customWidth="1"/>
    <col min="16136" max="16136" width="5.7109375" style="969" customWidth="1"/>
    <col min="16137" max="16137" width="20.7109375" style="969" customWidth="1"/>
    <col min="16138" max="16384" width="9.140625" style="969"/>
  </cols>
  <sheetData>
    <row r="1" spans="1:10" s="920" customFormat="1" x14ac:dyDescent="0.2">
      <c r="C1" s="964"/>
      <c r="F1" s="965" t="s">
        <v>370</v>
      </c>
    </row>
    <row r="2" spans="1:10" ht="20.25" x14ac:dyDescent="0.3">
      <c r="A2" s="966"/>
      <c r="B2" s="967" t="s">
        <v>435</v>
      </c>
      <c r="C2" s="966"/>
      <c r="D2" s="966"/>
      <c r="E2" s="966"/>
      <c r="F2" s="966"/>
      <c r="G2" s="968"/>
    </row>
    <row r="3" spans="1:10" ht="30.75" customHeight="1" x14ac:dyDescent="0.25">
      <c r="A3" s="966"/>
      <c r="B3" s="1148"/>
      <c r="C3" s="1148"/>
      <c r="D3" s="966"/>
      <c r="E3" s="966"/>
      <c r="F3" s="966"/>
      <c r="G3" s="966"/>
    </row>
    <row r="4" spans="1:10" ht="27.75" customHeight="1" x14ac:dyDescent="0.25">
      <c r="A4" s="966"/>
      <c r="B4" s="970" t="s">
        <v>405</v>
      </c>
      <c r="C4" s="966"/>
      <c r="D4" s="966"/>
      <c r="E4" s="966"/>
      <c r="F4" s="966"/>
      <c r="G4" s="971"/>
    </row>
    <row r="5" spans="1:10" ht="12.75" customHeight="1" x14ac:dyDescent="0.25">
      <c r="C5" s="972"/>
    </row>
    <row r="6" spans="1:10" ht="39.75" customHeight="1" x14ac:dyDescent="0.2">
      <c r="B6" s="1149" t="s">
        <v>406</v>
      </c>
      <c r="C6" s="1150"/>
      <c r="D6" s="1150"/>
      <c r="E6" s="1150"/>
      <c r="F6" s="1150"/>
      <c r="G6" s="1150"/>
    </row>
    <row r="8" spans="1:10" s="972" customFormat="1" ht="15.75" x14ac:dyDescent="0.25">
      <c r="B8" s="1151" t="s">
        <v>407</v>
      </c>
      <c r="C8" s="1153" t="s">
        <v>408</v>
      </c>
      <c r="D8" s="1155" t="s">
        <v>409</v>
      </c>
      <c r="E8" s="1156"/>
      <c r="F8" s="1156"/>
      <c r="G8" s="1157"/>
    </row>
    <row r="9" spans="1:10" s="972" customFormat="1" ht="39" thickBot="1" x14ac:dyDescent="0.3">
      <c r="B9" s="1152"/>
      <c r="C9" s="1154"/>
      <c r="D9" s="973" t="s">
        <v>410</v>
      </c>
      <c r="E9" s="974" t="s">
        <v>411</v>
      </c>
      <c r="F9" s="975" t="s">
        <v>412</v>
      </c>
      <c r="G9" s="974" t="s">
        <v>413</v>
      </c>
      <c r="I9" s="976" t="s">
        <v>414</v>
      </c>
      <c r="J9" s="977"/>
    </row>
    <row r="10" spans="1:10" ht="38.85" customHeight="1" x14ac:dyDescent="0.2">
      <c r="B10" s="978" t="s">
        <v>398</v>
      </c>
      <c r="C10" s="979" t="s">
        <v>415</v>
      </c>
      <c r="D10" s="980">
        <v>1</v>
      </c>
      <c r="E10" s="981">
        <v>1</v>
      </c>
      <c r="F10" s="982" t="s">
        <v>416</v>
      </c>
      <c r="G10" s="983">
        <f>D10</f>
        <v>1</v>
      </c>
      <c r="I10" s="984" t="str">
        <f>IF(D10=E10,IF(D11=E11,"Y","N"),"N")</f>
        <v>Y</v>
      </c>
    </row>
    <row r="11" spans="1:10" ht="38.85" customHeight="1" x14ac:dyDescent="0.2">
      <c r="B11" s="985" t="s">
        <v>398</v>
      </c>
      <c r="C11" s="986" t="s">
        <v>417</v>
      </c>
      <c r="D11" s="987">
        <v>1</v>
      </c>
      <c r="E11" s="988">
        <v>1</v>
      </c>
      <c r="F11" s="989" t="s">
        <v>416</v>
      </c>
      <c r="G11" s="990">
        <f>D11</f>
        <v>1</v>
      </c>
    </row>
    <row r="12" spans="1:10" ht="14.25" customHeight="1" x14ac:dyDescent="0.2">
      <c r="B12" s="1017"/>
      <c r="C12" s="991"/>
      <c r="D12" s="991"/>
      <c r="E12" s="991"/>
      <c r="F12" s="991"/>
      <c r="G12" s="1017"/>
    </row>
    <row r="13" spans="1:10" ht="35.25" customHeight="1" x14ac:dyDescent="0.2">
      <c r="B13" s="992" t="s">
        <v>418</v>
      </c>
      <c r="C13" s="1118" t="s">
        <v>430</v>
      </c>
      <c r="D13" s="1018">
        <v>4</v>
      </c>
      <c r="E13" s="1020">
        <v>4</v>
      </c>
      <c r="F13" s="1121" t="s">
        <v>433</v>
      </c>
      <c r="G13" s="1019">
        <f>IF($I$10="Y",D13,E13)</f>
        <v>4</v>
      </c>
      <c r="H13" s="1144"/>
      <c r="I13" s="976" t="s">
        <v>419</v>
      </c>
    </row>
    <row r="14" spans="1:10" ht="35.25" customHeight="1" x14ac:dyDescent="0.2">
      <c r="B14" s="1016" t="s">
        <v>418</v>
      </c>
      <c r="C14" s="1119" t="s">
        <v>431</v>
      </c>
      <c r="D14" s="1021">
        <v>5</v>
      </c>
      <c r="E14" s="1022">
        <v>5</v>
      </c>
      <c r="F14" s="1122" t="s">
        <v>432</v>
      </c>
      <c r="G14" s="1023">
        <f>IF($I$10="Y",D14,E14)</f>
        <v>5</v>
      </c>
      <c r="H14" s="1144"/>
      <c r="I14" s="984" t="str">
        <f>IF(D13=E13,IF(D15=E15,IF(D14=E14, "Y","N"),"N"),"N")</f>
        <v>Y</v>
      </c>
    </row>
    <row r="15" spans="1:10" ht="42" customHeight="1" x14ac:dyDescent="0.2">
      <c r="B15" s="993" t="s">
        <v>418</v>
      </c>
      <c r="C15" s="1120" t="s">
        <v>429</v>
      </c>
      <c r="D15" s="1026">
        <v>3.7499999999999999E-2</v>
      </c>
      <c r="E15" s="1025">
        <v>3.7499999999999999E-2</v>
      </c>
      <c r="F15" s="1123" t="s">
        <v>434</v>
      </c>
      <c r="G15" s="1024">
        <f>IF($I$10="Y",IF(D15&lt;0,0%,D15),E15)</f>
        <v>3.7499999999999999E-2</v>
      </c>
      <c r="H15" s="1144"/>
    </row>
    <row r="16" spans="1:10" x14ac:dyDescent="0.2">
      <c r="D16" s="1145"/>
      <c r="E16" s="1145"/>
      <c r="F16" s="1145"/>
      <c r="G16" s="1145"/>
    </row>
    <row r="17" spans="2:7" x14ac:dyDescent="0.2">
      <c r="B17" s="1146">
        <f>IF(I10="N",IF(I14="N","Reminder: Please reset all summary parameters to original values before changing specific parameters.  Specific parameters will only be used in ERR computation when all summary parameters are set to initial values",0),0)</f>
        <v>0</v>
      </c>
      <c r="C17" s="1146"/>
      <c r="D17" s="1146"/>
      <c r="E17" s="1146"/>
      <c r="F17" s="1146"/>
      <c r="G17" s="1146"/>
    </row>
    <row r="18" spans="2:7" x14ac:dyDescent="0.2">
      <c r="B18" s="994"/>
      <c r="C18" s="994"/>
      <c r="D18" s="994"/>
      <c r="E18" s="994"/>
      <c r="F18" s="994"/>
      <c r="G18" s="994"/>
    </row>
    <row r="19" spans="2:7" x14ac:dyDescent="0.2">
      <c r="C19" s="995" t="s">
        <v>420</v>
      </c>
      <c r="D19" s="996">
        <f>'Cost-Benefit Summary'!B16</f>
        <v>0.36039500237898325</v>
      </c>
      <c r="E19" s="997"/>
    </row>
    <row r="20" spans="2:7" x14ac:dyDescent="0.2">
      <c r="C20" s="995"/>
      <c r="D20" s="997"/>
      <c r="E20" s="997"/>
    </row>
    <row r="21" spans="2:7" x14ac:dyDescent="0.2">
      <c r="C21" s="995"/>
      <c r="D21" s="998"/>
      <c r="E21" s="997"/>
    </row>
    <row r="22" spans="2:7" x14ac:dyDescent="0.2">
      <c r="C22" s="995" t="s">
        <v>421</v>
      </c>
      <c r="D22" s="999"/>
      <c r="E22" s="1000" t="s">
        <v>422</v>
      </c>
      <c r="F22" s="1001" t="s">
        <v>423</v>
      </c>
      <c r="G22" s="1002" t="s">
        <v>360</v>
      </c>
    </row>
    <row r="23" spans="2:7" x14ac:dyDescent="0.2">
      <c r="C23" s="995"/>
      <c r="D23" s="1003" t="s">
        <v>14</v>
      </c>
      <c r="E23" s="1028">
        <v>0.251</v>
      </c>
      <c r="F23" s="1004" t="s">
        <v>424</v>
      </c>
      <c r="G23" s="1005">
        <f>D19</f>
        <v>0.36039500237898325</v>
      </c>
    </row>
    <row r="24" spans="2:7" x14ac:dyDescent="0.2">
      <c r="D24" s="1003" t="s">
        <v>425</v>
      </c>
      <c r="E24" s="1006">
        <v>39239</v>
      </c>
      <c r="F24" s="1007" t="s">
        <v>424</v>
      </c>
      <c r="G24" s="1008">
        <v>41653</v>
      </c>
    </row>
    <row r="26" spans="2:7" x14ac:dyDescent="0.2">
      <c r="C26" s="1009" t="s">
        <v>499</v>
      </c>
      <c r="D26" s="1010">
        <f>NPV(0.1,'Cost-Benefit Summary'!C12:V12)/'Dollar Conversion'!C5</f>
        <v>56323875.11733412</v>
      </c>
    </row>
    <row r="27" spans="2:7" x14ac:dyDescent="0.2">
      <c r="C27" s="1009"/>
      <c r="D27" s="1011"/>
    </row>
    <row r="28" spans="2:7" x14ac:dyDescent="0.2">
      <c r="C28" s="1009" t="s">
        <v>500</v>
      </c>
      <c r="D28" s="1010">
        <f>NPV(0.1,'Cost-Benefit Summary'!C8:G8)/'Dollar Conversion'!C5</f>
        <v>13278064.067756765</v>
      </c>
    </row>
    <row r="29" spans="2:7" x14ac:dyDescent="0.2">
      <c r="C29" s="1012"/>
      <c r="D29" s="1012"/>
    </row>
    <row r="30" spans="2:7" x14ac:dyDescent="0.2">
      <c r="C30" s="1013" t="s">
        <v>426</v>
      </c>
    </row>
    <row r="77" spans="3:6" x14ac:dyDescent="0.2">
      <c r="C77" s="1147"/>
      <c r="D77" s="1147"/>
      <c r="E77" s="1147"/>
      <c r="F77" s="1147"/>
    </row>
    <row r="78" spans="3:6" x14ac:dyDescent="0.2">
      <c r="C78" s="1147"/>
      <c r="D78" s="1147"/>
      <c r="E78" s="1147"/>
      <c r="F78" s="1147"/>
    </row>
    <row r="79" spans="3:6" x14ac:dyDescent="0.2">
      <c r="C79" s="1013"/>
      <c r="D79" s="1013"/>
      <c r="E79" s="1013"/>
      <c r="F79" s="1013"/>
    </row>
  </sheetData>
  <mergeCells count="10">
    <mergeCell ref="B3:C3"/>
    <mergeCell ref="B6:G6"/>
    <mergeCell ref="B8:B9"/>
    <mergeCell ref="C8:C9"/>
    <mergeCell ref="D8:G8"/>
    <mergeCell ref="H13:H15"/>
    <mergeCell ref="D16:G16"/>
    <mergeCell ref="B17:G17"/>
    <mergeCell ref="C77:F77"/>
    <mergeCell ref="C78:F78"/>
  </mergeCells>
  <conditionalFormatting sqref="B17:B18 B12">
    <cfRule type="cellIs" dxfId="1" priority="1" stopIfTrue="1" operator="equal">
      <formula>0</formula>
    </cfRule>
    <cfRule type="cellIs" dxfId="0" priority="2" stopIfTrue="1" operator="notEqual">
      <formula>0</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31"/>
  <sheetViews>
    <sheetView workbookViewId="0">
      <selection activeCell="B8" sqref="B8"/>
    </sheetView>
  </sheetViews>
  <sheetFormatPr defaultRowHeight="12.75" x14ac:dyDescent="0.2"/>
  <cols>
    <col min="1" max="1" width="19.7109375" customWidth="1"/>
    <col min="2" max="2" width="20.7109375" bestFit="1" customWidth="1"/>
    <col min="3" max="3" width="14.85546875" customWidth="1"/>
    <col min="4" max="4" width="14.5703125" bestFit="1" customWidth="1"/>
    <col min="5" max="6" width="14.85546875" bestFit="1" customWidth="1"/>
    <col min="7" max="7" width="15.140625" bestFit="1" customWidth="1"/>
    <col min="8" max="10" width="15" bestFit="1" customWidth="1"/>
    <col min="11" max="19" width="15.28515625" bestFit="1" customWidth="1"/>
    <col min="20" max="22" width="14.7109375" bestFit="1" customWidth="1"/>
  </cols>
  <sheetData>
    <row r="2" spans="1:44" ht="20.25" x14ac:dyDescent="0.3">
      <c r="A2" s="967" t="s">
        <v>496</v>
      </c>
      <c r="G2" s="921" t="s">
        <v>370</v>
      </c>
      <c r="K2" t="s">
        <v>46</v>
      </c>
    </row>
    <row r="3" spans="1:44" x14ac:dyDescent="0.2">
      <c r="C3" s="31" t="s">
        <v>46</v>
      </c>
      <c r="D3" s="31" t="s">
        <v>46</v>
      </c>
      <c r="G3" s="148"/>
    </row>
    <row r="5" spans="1:44" s="707" customFormat="1" x14ac:dyDescent="0.2">
      <c r="A5" s="706" t="s">
        <v>87</v>
      </c>
      <c r="C5" s="707">
        <v>1</v>
      </c>
      <c r="D5" s="707">
        <f t="shared" ref="D5:V5" si="0">C5+1</f>
        <v>2</v>
      </c>
      <c r="E5" s="707">
        <f t="shared" si="0"/>
        <v>3</v>
      </c>
      <c r="F5" s="707">
        <f t="shared" si="0"/>
        <v>4</v>
      </c>
      <c r="G5" s="707">
        <f t="shared" si="0"/>
        <v>5</v>
      </c>
      <c r="H5" s="707">
        <f t="shared" si="0"/>
        <v>6</v>
      </c>
      <c r="I5" s="707">
        <f t="shared" si="0"/>
        <v>7</v>
      </c>
      <c r="J5" s="707">
        <f t="shared" si="0"/>
        <v>8</v>
      </c>
      <c r="K5" s="707">
        <f t="shared" si="0"/>
        <v>9</v>
      </c>
      <c r="L5" s="707">
        <f t="shared" si="0"/>
        <v>10</v>
      </c>
      <c r="M5" s="707">
        <f t="shared" si="0"/>
        <v>11</v>
      </c>
      <c r="N5" s="707">
        <f t="shared" si="0"/>
        <v>12</v>
      </c>
      <c r="O5" s="707">
        <f t="shared" si="0"/>
        <v>13</v>
      </c>
      <c r="P5" s="707">
        <f t="shared" si="0"/>
        <v>14</v>
      </c>
      <c r="Q5" s="707">
        <f t="shared" si="0"/>
        <v>15</v>
      </c>
      <c r="R5" s="707">
        <f t="shared" si="0"/>
        <v>16</v>
      </c>
      <c r="S5" s="707">
        <f t="shared" si="0"/>
        <v>17</v>
      </c>
      <c r="T5" s="707">
        <f t="shared" si="0"/>
        <v>18</v>
      </c>
      <c r="U5" s="707">
        <f t="shared" si="0"/>
        <v>19</v>
      </c>
      <c r="V5" s="707">
        <f t="shared" si="0"/>
        <v>20</v>
      </c>
      <c r="W5" s="707" t="s">
        <v>46</v>
      </c>
      <c r="AR5" s="707">
        <f>AQ5+1</f>
        <v>1</v>
      </c>
    </row>
    <row r="6" spans="1:44" s="707" customFormat="1" x14ac:dyDescent="0.2">
      <c r="A6" s="706" t="s">
        <v>88</v>
      </c>
      <c r="C6" s="707">
        <v>2009</v>
      </c>
      <c r="D6" s="707">
        <f t="shared" ref="D6:V6" si="1">C6+1</f>
        <v>2010</v>
      </c>
      <c r="E6" s="707">
        <f t="shared" si="1"/>
        <v>2011</v>
      </c>
      <c r="F6" s="707">
        <f t="shared" si="1"/>
        <v>2012</v>
      </c>
      <c r="G6" s="707">
        <f t="shared" si="1"/>
        <v>2013</v>
      </c>
      <c r="H6" s="707">
        <f t="shared" si="1"/>
        <v>2014</v>
      </c>
      <c r="I6" s="707">
        <f t="shared" si="1"/>
        <v>2015</v>
      </c>
      <c r="J6" s="707">
        <f t="shared" si="1"/>
        <v>2016</v>
      </c>
      <c r="K6" s="707">
        <f t="shared" si="1"/>
        <v>2017</v>
      </c>
      <c r="L6" s="707">
        <f t="shared" si="1"/>
        <v>2018</v>
      </c>
      <c r="M6" s="707">
        <f t="shared" si="1"/>
        <v>2019</v>
      </c>
      <c r="N6" s="707">
        <f t="shared" si="1"/>
        <v>2020</v>
      </c>
      <c r="O6" s="707">
        <f t="shared" si="1"/>
        <v>2021</v>
      </c>
      <c r="P6" s="707">
        <f t="shared" si="1"/>
        <v>2022</v>
      </c>
      <c r="Q6" s="707">
        <f t="shared" si="1"/>
        <v>2023</v>
      </c>
      <c r="R6" s="707">
        <f t="shared" si="1"/>
        <v>2024</v>
      </c>
      <c r="S6" s="707">
        <f t="shared" si="1"/>
        <v>2025</v>
      </c>
      <c r="T6" s="707">
        <f t="shared" si="1"/>
        <v>2026</v>
      </c>
      <c r="U6" s="707">
        <f t="shared" si="1"/>
        <v>2027</v>
      </c>
      <c r="V6" s="707">
        <f t="shared" si="1"/>
        <v>2028</v>
      </c>
      <c r="W6" s="707" t="s">
        <v>46</v>
      </c>
      <c r="AR6" s="707">
        <f>AQ6+1</f>
        <v>1</v>
      </c>
    </row>
    <row r="8" spans="1:44" s="701" customFormat="1" x14ac:dyDescent="0.2">
      <c r="A8" s="701" t="s">
        <v>15</v>
      </c>
      <c r="B8" s="836" t="s">
        <v>501</v>
      </c>
      <c r="C8" s="837">
        <f>'Dollar Conversion'!C18*$G$18</f>
        <v>31688189.914818428</v>
      </c>
      <c r="D8" s="837">
        <f>'Dollar Conversion'!D18*$G$18</f>
        <v>70880383.521604329</v>
      </c>
      <c r="E8" s="837">
        <f>'Dollar Conversion'!E18*$G$18</f>
        <v>108652063.61318277</v>
      </c>
      <c r="F8" s="837">
        <f>'Dollar Conversion'!F18*$G$18</f>
        <v>131325230.00752656</v>
      </c>
      <c r="G8" s="837">
        <f>'Dollar Conversion'!G18*$G$18</f>
        <v>154503622.14859483</v>
      </c>
    </row>
    <row r="9" spans="1:44" x14ac:dyDescent="0.2">
      <c r="B9" s="86"/>
      <c r="C9" s="121"/>
      <c r="D9" s="2"/>
      <c r="E9" s="2"/>
      <c r="F9" s="2"/>
      <c r="G9" s="2"/>
      <c r="H9" s="2"/>
    </row>
    <row r="10" spans="1:44" s="856" customFormat="1" x14ac:dyDescent="0.2">
      <c r="A10" s="856" t="s">
        <v>81</v>
      </c>
      <c r="B10" s="857" t="s">
        <v>501</v>
      </c>
      <c r="C10" s="856">
        <f>IF($B$20=1,'Endemic Benefits'!C30,'Endemic Benefits'!C26)</f>
        <v>0</v>
      </c>
      <c r="D10" s="856">
        <f>IF($B$20=1,'Endemic Benefits'!D30,'Endemic Benefits'!D26)</f>
        <v>0</v>
      </c>
      <c r="E10" s="856">
        <f>IF($B$20=1,'Endemic Benefits'!E30,'Endemic Benefits'!E26)</f>
        <v>0</v>
      </c>
      <c r="F10" s="856">
        <f>IF($B$20=1,'Endemic Benefits'!F30,'Endemic Benefits'!F26)</f>
        <v>1446867.2000753577</v>
      </c>
      <c r="G10" s="856">
        <f>IF($B$20=1,'Endemic Benefits'!G30,'Endemic Benefits'!G26)</f>
        <v>3363025.7839810522</v>
      </c>
      <c r="H10" s="856">
        <f>IF($B$20=1,'Endemic Benefits'!H30,'Endemic Benefits'!H26)</f>
        <v>4648632.0594251249</v>
      </c>
      <c r="I10" s="856">
        <f>IF($B$20=1,'Endemic Benefits'!I30,'Endemic Benefits'!I26)</f>
        <v>4495876.4129615668</v>
      </c>
      <c r="J10" s="856">
        <f>IF($B$20=1,'Endemic Benefits'!J30,'Endemic Benefits'!J26)</f>
        <v>8581612.8415329941</v>
      </c>
      <c r="K10" s="856">
        <f>IF($B$20=1,'Endemic Benefits'!K30,'Endemic Benefits'!K26)</f>
        <v>16083962.634390138</v>
      </c>
      <c r="L10" s="856">
        <f>IF($B$20=1,'Endemic Benefits'!L30,'Endemic Benefits'!L26)</f>
        <v>27247176.920104429</v>
      </c>
      <c r="M10" s="856">
        <f>IF($B$20=1,'Endemic Benefits'!M30,'Endemic Benefits'!M26)</f>
        <v>43745967.808675848</v>
      </c>
      <c r="N10" s="856">
        <f>IF($B$20=1,'Endemic Benefits'!N30,'Endemic Benefits'!N26)</f>
        <v>47298087.808675848</v>
      </c>
      <c r="O10" s="856">
        <f>IF($B$20=1,'Endemic Benefits'!O30,'Endemic Benefits'!O26)</f>
        <v>51019159.237247281</v>
      </c>
      <c r="P10" s="856">
        <f>IF($B$20=1,'Endemic Benefits'!P30,'Endemic Benefits'!P26)</f>
        <v>51019159.237247281</v>
      </c>
      <c r="Q10" s="856">
        <f>IF($B$20=1,'Endemic Benefits'!Q30,'Endemic Benefits'!Q26)</f>
        <v>51019159.237247281</v>
      </c>
      <c r="R10" s="856">
        <f>IF($B$20=1,'Endemic Benefits'!R30,'Endemic Benefits'!R26)</f>
        <v>51019159.237247281</v>
      </c>
      <c r="S10" s="856">
        <f>IF($B$20=1,'Endemic Benefits'!S30,'Endemic Benefits'!S26)</f>
        <v>51019159.237247281</v>
      </c>
      <c r="T10" s="856">
        <f>IF($B$20=1,'Endemic Benefits'!T30,'Endemic Benefits'!T26)</f>
        <v>51019159.237247281</v>
      </c>
      <c r="U10" s="856">
        <f>IF($B$20=1,'Endemic Benefits'!U30,'Endemic Benefits'!U26)</f>
        <v>51019159.237247281</v>
      </c>
      <c r="V10" s="856">
        <f>IF($B$20=1,'Endemic Benefits'!V30,'Endemic Benefits'!V26)</f>
        <v>51019159.237247281</v>
      </c>
    </row>
    <row r="11" spans="1:44" s="90" customFormat="1" x14ac:dyDescent="0.2">
      <c r="A11" s="90" t="s">
        <v>80</v>
      </c>
      <c r="B11" s="710" t="s">
        <v>502</v>
      </c>
      <c r="C11" s="90">
        <f>' Epidemic Benefits'!C64</f>
        <v>0</v>
      </c>
      <c r="D11" s="90">
        <f>' Epidemic Benefits'!D64</f>
        <v>0</v>
      </c>
      <c r="E11" s="90">
        <f>' Epidemic Benefits'!E64</f>
        <v>7631812.4067195654</v>
      </c>
      <c r="F11" s="90">
        <f>' Epidemic Benefits'!F64</f>
        <v>35818698.113670349</v>
      </c>
      <c r="G11" s="90">
        <f>' Epidemic Benefits'!G64</f>
        <v>76895317.889578223</v>
      </c>
      <c r="H11" s="90">
        <f>' Epidemic Benefits'!H64</f>
        <v>131291151.57270288</v>
      </c>
      <c r="I11" s="90">
        <f>' Epidemic Benefits'!I64</f>
        <v>90076704.157171488</v>
      </c>
      <c r="J11" s="90">
        <f>' Epidemic Benefits'!J64</f>
        <v>257522149.29885888</v>
      </c>
      <c r="K11" s="90">
        <f>' Epidemic Benefits'!L64</f>
        <v>316089467.07787168</v>
      </c>
      <c r="L11" s="90">
        <f>' Epidemic Benefits'!M64</f>
        <v>362656603.51345515</v>
      </c>
      <c r="M11" s="90">
        <f>' Epidemic Benefits'!N64</f>
        <v>404848041.31474775</v>
      </c>
      <c r="N11" s="90">
        <f>' Epidemic Benefits'!O64</f>
        <v>423739027.06633025</v>
      </c>
      <c r="O11" s="90">
        <f>' Epidemic Benefits'!P64</f>
        <v>416639105.52028745</v>
      </c>
      <c r="P11" s="90">
        <f>' Epidemic Benefits'!Q64</f>
        <v>391574807.25961089</v>
      </c>
      <c r="Q11" s="90">
        <f>' Epidemic Benefits'!R64</f>
        <v>350633644.36696225</v>
      </c>
      <c r="R11" s="90">
        <f>' Epidemic Benefits'!S64</f>
        <v>297979541.41431892</v>
      </c>
      <c r="S11" s="90">
        <f>' Epidemic Benefits'!T64</f>
        <v>239844920.84153175</v>
      </c>
      <c r="T11" s="90">
        <f>' Epidemic Benefits'!U64</f>
        <v>183158872.84809902</v>
      </c>
      <c r="U11" s="90">
        <f>' Epidemic Benefits'!V64</f>
        <v>133461389.57344264</v>
      </c>
      <c r="V11" s="90">
        <f>' Epidemic Benefits'!W64</f>
        <v>93569585.884335786</v>
      </c>
    </row>
    <row r="12" spans="1:44" s="5" customFormat="1" x14ac:dyDescent="0.2">
      <c r="A12" s="5" t="s">
        <v>82</v>
      </c>
      <c r="B12" s="711" t="s">
        <v>502</v>
      </c>
      <c r="C12" s="5">
        <f>(C11+C10)*$G$19</f>
        <v>0</v>
      </c>
      <c r="D12" s="5">
        <f t="shared" ref="D12:V12" si="2">(D11+D10)*$G$19</f>
        <v>0</v>
      </c>
      <c r="E12" s="5">
        <f t="shared" si="2"/>
        <v>7631812.4067195654</v>
      </c>
      <c r="F12" s="5">
        <f t="shared" si="2"/>
        <v>37265565.313745707</v>
      </c>
      <c r="G12" s="5">
        <f t="shared" si="2"/>
        <v>80258343.673559278</v>
      </c>
      <c r="H12" s="5">
        <f t="shared" si="2"/>
        <v>135939783.632128</v>
      </c>
      <c r="I12" s="5">
        <f t="shared" si="2"/>
        <v>94572580.57013306</v>
      </c>
      <c r="J12" s="5">
        <f t="shared" si="2"/>
        <v>266103762.14039189</v>
      </c>
      <c r="K12" s="5">
        <f t="shared" si="2"/>
        <v>332173429.7122618</v>
      </c>
      <c r="L12" s="5">
        <f t="shared" si="2"/>
        <v>389903780.4335596</v>
      </c>
      <c r="M12" s="5">
        <f t="shared" si="2"/>
        <v>448594009.12342358</v>
      </c>
      <c r="N12" s="5">
        <f t="shared" si="2"/>
        <v>471037114.87500608</v>
      </c>
      <c r="O12" s="5">
        <f t="shared" si="2"/>
        <v>467658264.75753474</v>
      </c>
      <c r="P12" s="5">
        <f t="shared" si="2"/>
        <v>442593966.49685818</v>
      </c>
      <c r="Q12" s="5">
        <f t="shared" si="2"/>
        <v>401652803.60420954</v>
      </c>
      <c r="R12" s="5">
        <f t="shared" si="2"/>
        <v>348998700.65156621</v>
      </c>
      <c r="S12" s="5">
        <f t="shared" si="2"/>
        <v>290864080.07877904</v>
      </c>
      <c r="T12" s="5">
        <f t="shared" si="2"/>
        <v>234178032.08534631</v>
      </c>
      <c r="U12" s="5">
        <f t="shared" si="2"/>
        <v>184480548.81068993</v>
      </c>
      <c r="V12" s="5">
        <f t="shared" si="2"/>
        <v>144588745.12158307</v>
      </c>
    </row>
    <row r="13" spans="1:44" x14ac:dyDescent="0.2">
      <c r="B13" s="86"/>
      <c r="C13" s="7"/>
      <c r="D13" s="7"/>
      <c r="E13" s="7"/>
      <c r="F13" s="7"/>
      <c r="G13" s="7"/>
      <c r="H13" s="7"/>
      <c r="I13" s="7"/>
      <c r="J13" s="7"/>
      <c r="K13" s="7"/>
      <c r="L13" s="7"/>
      <c r="M13" s="7"/>
      <c r="N13" s="7"/>
      <c r="O13" s="7"/>
      <c r="P13" s="7"/>
      <c r="Q13" s="7"/>
      <c r="R13" s="7"/>
      <c r="S13" s="7"/>
      <c r="T13" s="7"/>
      <c r="U13" s="7"/>
      <c r="V13" s="7"/>
    </row>
    <row r="14" spans="1:44" s="701" customFormat="1" x14ac:dyDescent="0.2">
      <c r="A14" s="701" t="s">
        <v>16</v>
      </c>
      <c r="B14" s="836" t="s">
        <v>502</v>
      </c>
      <c r="C14" s="701">
        <f>C12-C8</f>
        <v>-31688189.914818428</v>
      </c>
      <c r="D14" s="701">
        <f t="shared" ref="D14:V14" si="3">D12-D8</f>
        <v>-70880383.521604329</v>
      </c>
      <c r="E14" s="701">
        <f t="shared" si="3"/>
        <v>-101020251.2064632</v>
      </c>
      <c r="F14" s="701">
        <f t="shared" si="3"/>
        <v>-94059664.693780854</v>
      </c>
      <c r="G14" s="701">
        <f t="shared" si="3"/>
        <v>-74245278.475035548</v>
      </c>
      <c r="H14" s="701">
        <f t="shared" si="3"/>
        <v>135939783.632128</v>
      </c>
      <c r="I14" s="701">
        <f t="shared" si="3"/>
        <v>94572580.57013306</v>
      </c>
      <c r="J14" s="701">
        <f t="shared" si="3"/>
        <v>266103762.14039189</v>
      </c>
      <c r="K14" s="701">
        <f t="shared" si="3"/>
        <v>332173429.7122618</v>
      </c>
      <c r="L14" s="701">
        <f t="shared" si="3"/>
        <v>389903780.4335596</v>
      </c>
      <c r="M14" s="701">
        <f t="shared" si="3"/>
        <v>448594009.12342358</v>
      </c>
      <c r="N14" s="701">
        <f t="shared" si="3"/>
        <v>471037114.87500608</v>
      </c>
      <c r="O14" s="701">
        <f t="shared" si="3"/>
        <v>467658264.75753474</v>
      </c>
      <c r="P14" s="701">
        <f t="shared" si="3"/>
        <v>442593966.49685818</v>
      </c>
      <c r="Q14" s="701">
        <f t="shared" si="3"/>
        <v>401652803.60420954</v>
      </c>
      <c r="R14" s="701">
        <f t="shared" si="3"/>
        <v>348998700.65156621</v>
      </c>
      <c r="S14" s="701">
        <f t="shared" si="3"/>
        <v>290864080.07877904</v>
      </c>
      <c r="T14" s="701">
        <f t="shared" si="3"/>
        <v>234178032.08534631</v>
      </c>
      <c r="U14" s="701">
        <f t="shared" si="3"/>
        <v>184480548.81068993</v>
      </c>
      <c r="V14" s="701">
        <f t="shared" si="3"/>
        <v>144588745.12158307</v>
      </c>
    </row>
    <row r="15" spans="1:44" x14ac:dyDescent="0.2">
      <c r="C15" s="2"/>
    </row>
    <row r="16" spans="1:44" ht="15.75" x14ac:dyDescent="0.25">
      <c r="A16" s="114" t="s">
        <v>17</v>
      </c>
      <c r="B16" s="115">
        <f>'Crystal Ball Sensitivity'!C15</f>
        <v>0.36039500237898325</v>
      </c>
      <c r="F16" t="s">
        <v>46</v>
      </c>
    </row>
    <row r="17" spans="1:11" ht="15.75" x14ac:dyDescent="0.25">
      <c r="A17" s="114" t="s">
        <v>324</v>
      </c>
      <c r="B17" s="878">
        <f>NPV(0.1, C12:V12)</f>
        <v>1504379228.1138625</v>
      </c>
    </row>
    <row r="18" spans="1:11" ht="16.5" thickBot="1" x14ac:dyDescent="0.3">
      <c r="A18" s="114"/>
      <c r="B18" s="120"/>
      <c r="F18" s="1014" t="s">
        <v>427</v>
      </c>
      <c r="G18" s="1015">
        <f>'ERR &amp; Sensitivity Analysis'!G10</f>
        <v>1</v>
      </c>
    </row>
    <row r="19" spans="1:11" ht="13.5" thickBot="1" x14ac:dyDescent="0.25">
      <c r="C19" s="709" t="s">
        <v>305</v>
      </c>
      <c r="D19" s="708" t="s">
        <v>306</v>
      </c>
      <c r="F19" s="1014" t="s">
        <v>428</v>
      </c>
      <c r="G19" s="1015">
        <f>'ERR &amp; Sensitivity Analysis'!G11</f>
        <v>1</v>
      </c>
    </row>
    <row r="20" spans="1:11" ht="13.5" thickBot="1" x14ac:dyDescent="0.25">
      <c r="A20" s="31" t="s">
        <v>86</v>
      </c>
      <c r="B20" s="61">
        <v>1</v>
      </c>
      <c r="C20" s="59">
        <v>1</v>
      </c>
      <c r="D20" s="60">
        <v>2</v>
      </c>
      <c r="F20" s="31" t="s">
        <v>46</v>
      </c>
      <c r="I20" s="31" t="s">
        <v>46</v>
      </c>
    </row>
    <row r="21" spans="1:11" x14ac:dyDescent="0.2">
      <c r="F21" t="s">
        <v>46</v>
      </c>
      <c r="J21" s="31" t="s">
        <v>46</v>
      </c>
    </row>
    <row r="22" spans="1:11" x14ac:dyDescent="0.2">
      <c r="G22" s="31" t="s">
        <v>46</v>
      </c>
    </row>
    <row r="23" spans="1:11" x14ac:dyDescent="0.2">
      <c r="A23" t="s">
        <v>320</v>
      </c>
      <c r="B23" s="818">
        <f>NPV(0.1, C10:V10)</f>
        <v>146466411.68963584</v>
      </c>
    </row>
    <row r="24" spans="1:11" x14ac:dyDescent="0.2">
      <c r="A24" t="s">
        <v>321</v>
      </c>
      <c r="B24" s="818">
        <f>NPV(0.1, C11:V11)</f>
        <v>1357912816.4242268</v>
      </c>
      <c r="H24" t="s">
        <v>46</v>
      </c>
    </row>
    <row r="25" spans="1:11" ht="13.5" thickBot="1" x14ac:dyDescent="0.25"/>
    <row r="26" spans="1:11" x14ac:dyDescent="0.2">
      <c r="A26" s="819" t="s">
        <v>322</v>
      </c>
      <c r="B26" s="820">
        <f>B23/(B23+B24)</f>
        <v>9.7360033263202028E-2</v>
      </c>
    </row>
    <row r="27" spans="1:11" x14ac:dyDescent="0.2">
      <c r="A27" s="821" t="s">
        <v>323</v>
      </c>
      <c r="B27" s="824">
        <f>B24/(B24+B23)</f>
        <v>0.90263996673679803</v>
      </c>
    </row>
    <row r="28" spans="1:11" ht="13.5" thickBot="1" x14ac:dyDescent="0.25">
      <c r="A28" s="822"/>
      <c r="B28" s="823">
        <f>B27+B26</f>
        <v>1</v>
      </c>
      <c r="K28" t="s">
        <v>46</v>
      </c>
    </row>
    <row r="30" spans="1:11" x14ac:dyDescent="0.2">
      <c r="A30" s="31" t="s">
        <v>494</v>
      </c>
      <c r="B30" s="818">
        <f>NPV(0.1,C12:V12)</f>
        <v>1504379228.1138625</v>
      </c>
      <c r="G30" t="s">
        <v>46</v>
      </c>
    </row>
    <row r="31" spans="1:11" x14ac:dyDescent="0.2">
      <c r="A31" s="1117" t="s">
        <v>495</v>
      </c>
      <c r="B31" s="818">
        <f>NPV(0.1,C8:V8)</f>
        <v>354649670.88088006</v>
      </c>
    </row>
  </sheetData>
  <phoneticPr fontId="17" type="noConversion"/>
  <dataValidations count="1">
    <dataValidation type="list" allowBlank="1" showInputMessage="1" showErrorMessage="1" sqref="B20">
      <formula1>$C$20:$D$20</formula1>
    </dataValidation>
  </dataValidations>
  <pageMargins left="0.75" right="0.75" top="1" bottom="1" header="0.5" footer="0.5"/>
  <pageSetup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5"/>
  <sheetViews>
    <sheetView workbookViewId="0"/>
  </sheetViews>
  <sheetFormatPr defaultRowHeight="12.75" x14ac:dyDescent="0.2"/>
  <cols>
    <col min="1" max="1" width="49.140625" bestFit="1" customWidth="1"/>
    <col min="2" max="2" width="20.28515625" bestFit="1" customWidth="1"/>
    <col min="3" max="6" width="20.5703125" bestFit="1" customWidth="1"/>
    <col min="7" max="7" width="15" bestFit="1" customWidth="1"/>
    <col min="8" max="8" width="12.28515625" bestFit="1" customWidth="1"/>
    <col min="10" max="10" width="11.28515625" bestFit="1" customWidth="1"/>
  </cols>
  <sheetData>
    <row r="1" spans="1:43" x14ac:dyDescent="0.2">
      <c r="D1" s="921" t="s">
        <v>370</v>
      </c>
    </row>
    <row r="2" spans="1:43" s="707" customFormat="1" ht="20.25" x14ac:dyDescent="0.3">
      <c r="A2" s="967" t="s">
        <v>497</v>
      </c>
      <c r="B2"/>
      <c r="C2"/>
      <c r="D2"/>
      <c r="E2"/>
      <c r="F2"/>
      <c r="G2"/>
      <c r="H2"/>
      <c r="I2"/>
      <c r="J2"/>
      <c r="K2"/>
      <c r="L2"/>
      <c r="M2" s="707">
        <f t="shared" ref="M2:U3" si="0">L2+1</f>
        <v>1</v>
      </c>
      <c r="N2" s="707">
        <f t="shared" si="0"/>
        <v>2</v>
      </c>
      <c r="O2" s="707">
        <f t="shared" si="0"/>
        <v>3</v>
      </c>
      <c r="P2" s="707">
        <f t="shared" si="0"/>
        <v>4</v>
      </c>
      <c r="Q2" s="707">
        <f t="shared" si="0"/>
        <v>5</v>
      </c>
      <c r="R2" s="707">
        <f t="shared" si="0"/>
        <v>6</v>
      </c>
      <c r="S2" s="707">
        <f t="shared" si="0"/>
        <v>7</v>
      </c>
      <c r="T2" s="707">
        <f t="shared" si="0"/>
        <v>8</v>
      </c>
      <c r="U2" s="707">
        <f t="shared" si="0"/>
        <v>9</v>
      </c>
      <c r="V2" s="707" t="s">
        <v>46</v>
      </c>
      <c r="AQ2" s="707">
        <f>AP2+1</f>
        <v>1</v>
      </c>
    </row>
    <row r="3" spans="1:43" s="1031" customFormat="1" x14ac:dyDescent="0.2">
      <c r="A3" s="1"/>
      <c r="B3" s="1"/>
      <c r="C3" s="1">
        <v>2009</v>
      </c>
      <c r="D3" s="1">
        <f>C3+1</f>
        <v>2010</v>
      </c>
      <c r="E3" s="1">
        <f t="shared" ref="E3:L3" si="1">D3+1</f>
        <v>2011</v>
      </c>
      <c r="F3" s="1">
        <f t="shared" si="1"/>
        <v>2012</v>
      </c>
      <c r="G3" s="1">
        <f t="shared" si="1"/>
        <v>2013</v>
      </c>
      <c r="H3" s="1">
        <f t="shared" si="1"/>
        <v>2014</v>
      </c>
      <c r="I3" s="1">
        <f t="shared" si="1"/>
        <v>2015</v>
      </c>
      <c r="J3" s="1">
        <f t="shared" si="1"/>
        <v>2016</v>
      </c>
      <c r="K3" s="1">
        <f t="shared" si="1"/>
        <v>2017</v>
      </c>
      <c r="L3" s="1">
        <f t="shared" si="1"/>
        <v>2018</v>
      </c>
      <c r="M3" s="1031">
        <f t="shared" si="0"/>
        <v>2019</v>
      </c>
      <c r="N3" s="1031">
        <f t="shared" si="0"/>
        <v>2020</v>
      </c>
      <c r="O3" s="1031">
        <f t="shared" si="0"/>
        <v>2021</v>
      </c>
      <c r="P3" s="1031">
        <f t="shared" si="0"/>
        <v>2022</v>
      </c>
      <c r="Q3" s="1031">
        <f t="shared" si="0"/>
        <v>2023</v>
      </c>
      <c r="R3" s="1031">
        <f t="shared" si="0"/>
        <v>2024</v>
      </c>
      <c r="S3" s="1031">
        <f t="shared" si="0"/>
        <v>2025</v>
      </c>
      <c r="T3" s="1031">
        <f t="shared" si="0"/>
        <v>2026</v>
      </c>
      <c r="U3" s="1031">
        <f t="shared" si="0"/>
        <v>2027</v>
      </c>
      <c r="V3" s="1031" t="s">
        <v>46</v>
      </c>
      <c r="AQ3" s="1031">
        <f>AP3+1</f>
        <v>1</v>
      </c>
    </row>
    <row r="4" spans="1:43" x14ac:dyDescent="0.2">
      <c r="B4" t="s">
        <v>4</v>
      </c>
      <c r="C4" s="825">
        <v>1</v>
      </c>
      <c r="D4" s="825">
        <v>2</v>
      </c>
      <c r="E4" s="825">
        <v>3</v>
      </c>
      <c r="F4" s="825">
        <v>4</v>
      </c>
      <c r="G4" s="825">
        <v>5</v>
      </c>
    </row>
    <row r="5" spans="1:43" s="712" customFormat="1" ht="15" x14ac:dyDescent="0.25">
      <c r="A5" t="s">
        <v>325</v>
      </c>
      <c r="B5"/>
      <c r="C5" s="826">
        <v>26.709441155814186</v>
      </c>
      <c r="D5" s="826">
        <v>32.987117720988692</v>
      </c>
      <c r="E5" s="826">
        <v>29.059338211899462</v>
      </c>
      <c r="F5" s="826">
        <v>28.300437098757001</v>
      </c>
      <c r="G5" s="826">
        <v>30.499684183931276</v>
      </c>
      <c r="H5" s="826">
        <v>32.071270137753913</v>
      </c>
      <c r="I5" s="826">
        <v>32.723364192687903</v>
      </c>
      <c r="J5" s="826">
        <v>33.373552711761121</v>
      </c>
      <c r="K5" s="826">
        <v>34.086826599326599</v>
      </c>
      <c r="L5" s="826">
        <v>34.086826599326599</v>
      </c>
    </row>
    <row r="6" spans="1:43" x14ac:dyDescent="0.2">
      <c r="C6" s="825"/>
      <c r="D6" s="825"/>
      <c r="E6" s="825"/>
      <c r="F6" s="825"/>
      <c r="G6" s="825"/>
    </row>
    <row r="7" spans="1:43" ht="15" x14ac:dyDescent="0.25">
      <c r="A7" t="s">
        <v>346</v>
      </c>
      <c r="C7" s="827">
        <v>1</v>
      </c>
      <c r="D7" s="827">
        <f>101.336632307425/100</f>
        <v>1.01336632307425</v>
      </c>
      <c r="E7" s="827">
        <f>103.496790804262/100</f>
        <v>1.03496790804262</v>
      </c>
      <c r="F7" s="827">
        <f>105.348355230122/100</f>
        <v>1.05348355230122</v>
      </c>
      <c r="G7" s="827">
        <f>107.080316628473/100</f>
        <v>1.0708031662847299</v>
      </c>
      <c r="H7" s="827">
        <f>109.20852011796/100</f>
        <v>1.0920852011796001</v>
      </c>
      <c r="I7" s="827">
        <f>111.409763624246/100</f>
        <v>1.1140976362424599</v>
      </c>
      <c r="J7" s="827">
        <f>113.72969715783/100</f>
        <v>1.1372969715783001</v>
      </c>
      <c r="K7" s="827">
        <f>116.171972719554/100</f>
        <v>1.16171972719554</v>
      </c>
      <c r="L7" s="828">
        <f>118.634334285897/100</f>
        <v>1.18634334285897</v>
      </c>
    </row>
    <row r="8" spans="1:43" ht="15" x14ac:dyDescent="0.25">
      <c r="A8" t="s">
        <v>326</v>
      </c>
      <c r="C8" s="827">
        <v>1</v>
      </c>
      <c r="D8" s="827">
        <f>110.484305201021/100</f>
        <v>1.1048430520102099</v>
      </c>
      <c r="E8" s="827">
        <f>119.411096043395/100</f>
        <v>1.1941109604339502</v>
      </c>
      <c r="F8" s="827">
        <f>125.990646936822/100</f>
        <v>1.25990646936822</v>
      </c>
      <c r="G8" s="827">
        <f>135.43993299298/100</f>
        <v>1.3543993299298001</v>
      </c>
      <c r="H8" s="827">
        <f>143.024589183153/100</f>
        <v>1.4302458918315302</v>
      </c>
      <c r="I8" s="827">
        <f>151.034022016592/100</f>
        <v>1.51034022016592</v>
      </c>
      <c r="J8" s="827">
        <f>159.492162571793/100</f>
        <v>1.5949216257179299</v>
      </c>
      <c r="K8" s="827">
        <f>168.423440491385/100</f>
        <v>1.68423440491385</v>
      </c>
      <c r="L8" s="828">
        <f>177.855276802808/100</f>
        <v>1.7785527680280799</v>
      </c>
    </row>
    <row r="9" spans="1:43" x14ac:dyDescent="0.2">
      <c r="C9" s="825"/>
      <c r="D9" s="825"/>
      <c r="E9" s="825"/>
      <c r="F9" s="825"/>
      <c r="G9" s="825"/>
    </row>
    <row r="10" spans="1:43" s="148" customFormat="1" x14ac:dyDescent="0.2">
      <c r="A10" s="148" t="s">
        <v>332</v>
      </c>
      <c r="C10" s="148">
        <f>C23</f>
        <v>1186404.0782418412</v>
      </c>
      <c r="D10" s="148">
        <f t="shared" ref="D10:G10" si="2">D23</f>
        <v>2689228.6217581593</v>
      </c>
      <c r="E10" s="148">
        <f t="shared" si="2"/>
        <v>4210174.16</v>
      </c>
      <c r="F10" s="148">
        <f t="shared" si="2"/>
        <v>5179777.78</v>
      </c>
      <c r="G10" s="148">
        <f t="shared" si="2"/>
        <v>6194175.5663862238</v>
      </c>
      <c r="H10" s="148" t="s">
        <v>46</v>
      </c>
    </row>
    <row r="11" spans="1:43" x14ac:dyDescent="0.2">
      <c r="C11" s="829"/>
      <c r="D11" s="829"/>
      <c r="E11" s="829"/>
      <c r="F11" s="829"/>
      <c r="G11" s="829"/>
      <c r="H11" s="829"/>
    </row>
    <row r="12" spans="1:43" x14ac:dyDescent="0.2">
      <c r="A12" s="69" t="s">
        <v>327</v>
      </c>
      <c r="B12" s="69"/>
      <c r="C12" s="830">
        <f>1-C13</f>
        <v>1</v>
      </c>
      <c r="D12" s="830">
        <f t="shared" ref="D12:G12" si="3">1-D13</f>
        <v>1</v>
      </c>
      <c r="E12" s="830">
        <f t="shared" si="3"/>
        <v>1</v>
      </c>
      <c r="F12" s="830">
        <f t="shared" si="3"/>
        <v>1</v>
      </c>
      <c r="G12" s="830">
        <f t="shared" si="3"/>
        <v>1</v>
      </c>
      <c r="H12" s="69"/>
      <c r="I12" s="69"/>
      <c r="J12" s="69"/>
      <c r="K12" s="69"/>
      <c r="L12" s="69"/>
    </row>
    <row r="13" spans="1:43" s="712" customFormat="1" x14ac:dyDescent="0.2">
      <c r="A13" s="69" t="s">
        <v>328</v>
      </c>
      <c r="B13" s="69"/>
      <c r="C13" s="831">
        <v>0</v>
      </c>
      <c r="D13" s="831">
        <v>0</v>
      </c>
      <c r="E13" s="831">
        <v>0</v>
      </c>
      <c r="F13" s="831">
        <v>0</v>
      </c>
      <c r="G13" s="831">
        <v>0</v>
      </c>
      <c r="H13" s="69"/>
      <c r="I13" s="69"/>
      <c r="J13" s="69" t="s">
        <v>46</v>
      </c>
      <c r="K13" s="69"/>
      <c r="L13" s="69"/>
    </row>
    <row r="14" spans="1:43" x14ac:dyDescent="0.2">
      <c r="C14" s="825"/>
      <c r="D14" s="825"/>
      <c r="E14" s="825"/>
      <c r="F14" s="825"/>
      <c r="G14" s="825"/>
    </row>
    <row r="15" spans="1:43" s="832" customFormat="1" x14ac:dyDescent="0.2">
      <c r="A15" s="832" t="s">
        <v>333</v>
      </c>
      <c r="C15" s="832">
        <f>C10*C12/C7</f>
        <v>1186404.0782418412</v>
      </c>
      <c r="D15" s="832">
        <f>D10*D12/D7</f>
        <v>2653757.6397840464</v>
      </c>
      <c r="E15" s="832">
        <f>E10*E12/E7</f>
        <v>4067927.2538628564</v>
      </c>
      <c r="F15" s="832">
        <f>F10*F12/F7</f>
        <v>4916809.3499754602</v>
      </c>
      <c r="G15" s="832">
        <f>G10*G12/G7</f>
        <v>5784607.0701094409</v>
      </c>
    </row>
    <row r="16" spans="1:43" s="832" customFormat="1" x14ac:dyDescent="0.2">
      <c r="A16" s="832" t="s">
        <v>334</v>
      </c>
      <c r="C16" s="832">
        <f>C15*$C$5</f>
        <v>31688189.914818428</v>
      </c>
      <c r="D16" s="832">
        <f t="shared" ref="D16:G16" si="4">D15*$C$5</f>
        <v>70880383.521604329</v>
      </c>
      <c r="E16" s="832">
        <f t="shared" si="4"/>
        <v>108652063.61318277</v>
      </c>
      <c r="F16" s="832">
        <f t="shared" si="4"/>
        <v>131325230.00752656</v>
      </c>
      <c r="G16" s="832">
        <f t="shared" si="4"/>
        <v>154503622.14859483</v>
      </c>
    </row>
    <row r="17" spans="1:11" s="832" customFormat="1" x14ac:dyDescent="0.2">
      <c r="A17" s="832" t="s">
        <v>335</v>
      </c>
      <c r="B17" s="832" t="s">
        <v>46</v>
      </c>
      <c r="C17" s="833">
        <f>C10*C13*C5/C8</f>
        <v>0</v>
      </c>
      <c r="D17" s="833">
        <f>D10*D13*D5/D8</f>
        <v>0</v>
      </c>
      <c r="E17" s="833">
        <f>E10*E13*E5/E8</f>
        <v>0</v>
      </c>
      <c r="F17" s="833">
        <f>F10*F13*F5/F8</f>
        <v>0</v>
      </c>
      <c r="G17" s="833">
        <f>G10*G13*G5/G8</f>
        <v>0</v>
      </c>
      <c r="K17" s="832" t="s">
        <v>46</v>
      </c>
    </row>
    <row r="18" spans="1:11" s="835" customFormat="1" x14ac:dyDescent="0.2">
      <c r="A18" s="835" t="s">
        <v>336</v>
      </c>
      <c r="C18" s="835">
        <f>C16+C17</f>
        <v>31688189.914818428</v>
      </c>
      <c r="D18" s="835">
        <f t="shared" ref="D18:G18" si="5">D16+D17</f>
        <v>70880383.521604329</v>
      </c>
      <c r="E18" s="835">
        <f t="shared" si="5"/>
        <v>108652063.61318277</v>
      </c>
      <c r="F18" s="835">
        <f t="shared" si="5"/>
        <v>131325230.00752656</v>
      </c>
      <c r="G18" s="835">
        <f t="shared" si="5"/>
        <v>154503622.14859483</v>
      </c>
      <c r="H18" s="835" t="s">
        <v>46</v>
      </c>
    </row>
    <row r="19" spans="1:11" s="832" customFormat="1" x14ac:dyDescent="0.2">
      <c r="C19" s="833"/>
      <c r="D19" s="833"/>
      <c r="E19" s="833"/>
      <c r="F19" s="833"/>
      <c r="G19" s="833"/>
    </row>
    <row r="20" spans="1:11" s="835" customFormat="1" x14ac:dyDescent="0.2">
      <c r="A20" s="835" t="s">
        <v>337</v>
      </c>
      <c r="B20" s="701">
        <f>SUM(C20:G20)</f>
        <v>578253339.68887937</v>
      </c>
      <c r="C20" s="835">
        <f>C10*C5</f>
        <v>31688189.914818428</v>
      </c>
      <c r="D20" s="835">
        <f>D10*D5</f>
        <v>88709901.124588579</v>
      </c>
      <c r="E20" s="835">
        <f>E10*E5</f>
        <v>122344874.84643972</v>
      </c>
      <c r="F20" s="835">
        <f>F10*F5</f>
        <v>146589975.24842918</v>
      </c>
      <c r="G20" s="835">
        <f>G10*G5</f>
        <v>188920398.55460346</v>
      </c>
      <c r="H20" s="835" t="s">
        <v>46</v>
      </c>
    </row>
    <row r="21" spans="1:11" s="832" customFormat="1" x14ac:dyDescent="0.2"/>
    <row r="22" spans="1:11" x14ac:dyDescent="0.2">
      <c r="A22" s="834"/>
      <c r="B22" s="834"/>
      <c r="C22" s="834"/>
      <c r="D22" s="834"/>
      <c r="E22" s="834"/>
      <c r="F22" s="834"/>
      <c r="G22" s="834"/>
      <c r="H22" s="834"/>
      <c r="I22" s="834"/>
      <c r="J22" s="901"/>
    </row>
    <row r="23" spans="1:11" s="712" customFormat="1" x14ac:dyDescent="0.2">
      <c r="A23" s="712" t="s">
        <v>332</v>
      </c>
      <c r="C23" s="713">
        <f>'MCC Costs'!C4</f>
        <v>1186404.0782418412</v>
      </c>
      <c r="D23" s="713">
        <f>'MCC Costs'!C5</f>
        <v>2689228.6217581593</v>
      </c>
      <c r="E23" s="713">
        <f>'MCC Costs'!C6</f>
        <v>4210174.16</v>
      </c>
      <c r="F23" s="713">
        <f>'MCC Costs'!E12</f>
        <v>5179777.78</v>
      </c>
      <c r="G23" s="713">
        <f>'MCC Costs'!E18</f>
        <v>6194175.5663862238</v>
      </c>
      <c r="H23" s="712" t="s">
        <v>46</v>
      </c>
    </row>
    <row r="25" spans="1:11" x14ac:dyDescent="0.2">
      <c r="A25" t="s">
        <v>347</v>
      </c>
      <c r="B25" s="712">
        <f>SUM(C22:G23)</f>
        <v>19459760.206386223</v>
      </c>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workbookViewId="0">
      <pane xSplit="1" ySplit="2" topLeftCell="B3" activePane="bottomRight" state="frozen"/>
      <selection pane="topRight" activeCell="B1" sqref="B1"/>
      <selection pane="bottomLeft" activeCell="A3" sqref="A3"/>
      <selection pane="bottomRight"/>
    </sheetView>
  </sheetViews>
  <sheetFormatPr defaultRowHeight="12.75" x14ac:dyDescent="0.2"/>
  <cols>
    <col min="1" max="1" width="48.42578125" customWidth="1"/>
    <col min="2" max="3" width="12.85546875" style="91" customWidth="1"/>
    <col min="4" max="4" width="12.140625" customWidth="1"/>
    <col min="5" max="5" width="10.42578125" customWidth="1"/>
    <col min="6" max="6" width="10.28515625" bestFit="1" customWidth="1"/>
    <col min="7" max="7" width="10.85546875" customWidth="1"/>
    <col min="9" max="9" width="9.28515625" bestFit="1" customWidth="1"/>
  </cols>
  <sheetData>
    <row r="1" spans="1:11" x14ac:dyDescent="0.2">
      <c r="A1" s="3" t="s">
        <v>46</v>
      </c>
      <c r="D1" s="921" t="s">
        <v>370</v>
      </c>
    </row>
    <row r="2" spans="1:11" ht="21" thickBot="1" x14ac:dyDescent="0.35">
      <c r="A2" s="967" t="s">
        <v>311</v>
      </c>
      <c r="B2" s="116" t="s">
        <v>0</v>
      </c>
      <c r="C2" s="116" t="s">
        <v>53</v>
      </c>
    </row>
    <row r="3" spans="1:11" x14ac:dyDescent="0.2">
      <c r="C3" s="95"/>
      <c r="D3" s="33"/>
      <c r="E3" s="33"/>
      <c r="F3" s="33"/>
      <c r="G3" s="33"/>
    </row>
    <row r="4" spans="1:11" x14ac:dyDescent="0.2">
      <c r="A4" s="1" t="s">
        <v>1</v>
      </c>
      <c r="B4" s="132">
        <v>50</v>
      </c>
      <c r="C4" s="95" t="s">
        <v>58</v>
      </c>
      <c r="E4" s="31" t="s">
        <v>340</v>
      </c>
    </row>
    <row r="5" spans="1:11" s="98" customFormat="1" x14ac:dyDescent="0.2">
      <c r="A5" s="98" t="s">
        <v>91</v>
      </c>
      <c r="B5" s="805">
        <f>'Crystal Ball Sensitivity'!C4</f>
        <v>0.69</v>
      </c>
      <c r="C5" s="815"/>
      <c r="E5" s="98" t="s">
        <v>338</v>
      </c>
      <c r="F5" s="885">
        <v>0.7</v>
      </c>
    </row>
    <row r="6" spans="1:11" s="98" customFormat="1" x14ac:dyDescent="0.2">
      <c r="B6" s="805"/>
      <c r="C6" s="815"/>
      <c r="E6" s="98" t="s">
        <v>339</v>
      </c>
      <c r="F6" s="885">
        <v>0.62</v>
      </c>
    </row>
    <row r="7" spans="1:11" s="98" customFormat="1" x14ac:dyDescent="0.2">
      <c r="B7" s="805"/>
      <c r="C7" s="815"/>
      <c r="E7" s="98" t="s">
        <v>316</v>
      </c>
      <c r="F7" s="885">
        <v>0.68</v>
      </c>
    </row>
    <row r="8" spans="1:11" s="98" customFormat="1" x14ac:dyDescent="0.2">
      <c r="B8" s="805"/>
      <c r="C8" s="815"/>
      <c r="E8" s="98" t="s">
        <v>317</v>
      </c>
      <c r="F8" s="885">
        <v>0.76</v>
      </c>
    </row>
    <row r="9" spans="1:11" x14ac:dyDescent="0.2">
      <c r="A9" s="98"/>
      <c r="B9" s="884"/>
      <c r="C9" s="95"/>
      <c r="F9" s="886">
        <f>SUM(F5:F8)/4</f>
        <v>0.69</v>
      </c>
    </row>
    <row r="10" spans="1:11" s="98" customFormat="1" x14ac:dyDescent="0.2">
      <c r="A10" s="98" t="s">
        <v>5</v>
      </c>
      <c r="B10" s="807">
        <f>'Crystal Ball Sensitivity'!C5</f>
        <v>4</v>
      </c>
      <c r="C10" s="815" t="s">
        <v>66</v>
      </c>
      <c r="D10" s="806" t="s">
        <v>46</v>
      </c>
    </row>
    <row r="11" spans="1:11" x14ac:dyDescent="0.2">
      <c r="A11" s="1" t="s">
        <v>2</v>
      </c>
      <c r="B11" s="132">
        <v>7</v>
      </c>
      <c r="C11" s="95" t="s">
        <v>58</v>
      </c>
      <c r="D11" s="32"/>
    </row>
    <row r="12" spans="1:11" s="98" customFormat="1" x14ac:dyDescent="0.2">
      <c r="A12" s="98" t="s">
        <v>3</v>
      </c>
      <c r="B12" s="807">
        <f>'Crystal Ball Sensitivity'!C6</f>
        <v>5</v>
      </c>
      <c r="C12" s="815" t="s">
        <v>84</v>
      </c>
    </row>
    <row r="13" spans="1:11" x14ac:dyDescent="0.2">
      <c r="C13" s="95"/>
      <c r="D13" s="31" t="s">
        <v>46</v>
      </c>
      <c r="E13" s="31" t="s">
        <v>46</v>
      </c>
    </row>
    <row r="14" spans="1:11" x14ac:dyDescent="0.2">
      <c r="C14" s="95"/>
      <c r="D14" s="8" t="s">
        <v>46</v>
      </c>
      <c r="E14" s="8" t="s">
        <v>46</v>
      </c>
    </row>
    <row r="15" spans="1:11" x14ac:dyDescent="0.2">
      <c r="A15" t="s">
        <v>18</v>
      </c>
      <c r="B15" s="91">
        <v>13</v>
      </c>
      <c r="C15" s="95" t="s">
        <v>58</v>
      </c>
      <c r="D15" s="9" t="s">
        <v>46</v>
      </c>
      <c r="E15" s="7"/>
      <c r="K15" s="31" t="s">
        <v>46</v>
      </c>
    </row>
    <row r="16" spans="1:11" x14ac:dyDescent="0.2">
      <c r="A16" t="s">
        <v>19</v>
      </c>
      <c r="B16" s="91">
        <v>1</v>
      </c>
      <c r="C16" s="95" t="s">
        <v>58</v>
      </c>
    </row>
    <row r="17" spans="1:10" x14ac:dyDescent="0.2">
      <c r="A17" s="31" t="s">
        <v>20</v>
      </c>
      <c r="B17" s="133">
        <v>2</v>
      </c>
      <c r="C17" s="95" t="s">
        <v>85</v>
      </c>
    </row>
    <row r="18" spans="1:10" x14ac:dyDescent="0.2">
      <c r="C18" s="95"/>
    </row>
    <row r="19" spans="1:10" x14ac:dyDescent="0.2">
      <c r="A19" t="s">
        <v>7</v>
      </c>
      <c r="C19" s="95"/>
    </row>
    <row r="20" spans="1:10" x14ac:dyDescent="0.2">
      <c r="A20" s="31" t="s">
        <v>6</v>
      </c>
      <c r="B20" s="92">
        <v>0.5</v>
      </c>
      <c r="C20" s="96" t="s">
        <v>65</v>
      </c>
    </row>
    <row r="21" spans="1:10" x14ac:dyDescent="0.2">
      <c r="A21" s="31" t="s">
        <v>348</v>
      </c>
      <c r="B21" s="92">
        <v>0.45</v>
      </c>
      <c r="C21" s="96" t="s">
        <v>65</v>
      </c>
    </row>
    <row r="23" spans="1:10" x14ac:dyDescent="0.2">
      <c r="A23" s="753" t="s">
        <v>123</v>
      </c>
      <c r="B23" s="754">
        <v>8000</v>
      </c>
      <c r="C23" s="759" t="s">
        <v>313</v>
      </c>
      <c r="D23" t="s">
        <v>46</v>
      </c>
      <c r="E23">
        <f>B23/B25</f>
        <v>0.43061685865001614</v>
      </c>
    </row>
    <row r="24" spans="1:10" x14ac:dyDescent="0.2">
      <c r="A24" s="102"/>
    </row>
    <row r="25" spans="1:10" x14ac:dyDescent="0.2">
      <c r="A25" s="755" t="s">
        <v>121</v>
      </c>
      <c r="B25" s="134">
        <v>18578</v>
      </c>
      <c r="C25" s="96" t="s">
        <v>58</v>
      </c>
      <c r="F25" s="148">
        <f>B25*4.6</f>
        <v>85458.799999999988</v>
      </c>
    </row>
    <row r="26" spans="1:10" x14ac:dyDescent="0.2">
      <c r="A26" s="755" t="s">
        <v>122</v>
      </c>
      <c r="B26" s="134">
        <v>8958</v>
      </c>
      <c r="C26" s="96" t="s">
        <v>58</v>
      </c>
      <c r="G26" s="6"/>
      <c r="H26" s="1"/>
    </row>
    <row r="27" spans="1:10" s="705" customFormat="1" ht="31.5" customHeight="1" x14ac:dyDescent="0.2">
      <c r="A27" s="756" t="s">
        <v>95</v>
      </c>
      <c r="B27" s="757">
        <f>B26/B25</f>
        <v>0.48218322747335557</v>
      </c>
      <c r="C27" s="758" t="s">
        <v>65</v>
      </c>
      <c r="D27" s="705" t="s">
        <v>46</v>
      </c>
    </row>
    <row r="28" spans="1:10" x14ac:dyDescent="0.2">
      <c r="A28" s="1"/>
      <c r="B28" s="92"/>
      <c r="C28" s="96"/>
      <c r="I28" t="s">
        <v>46</v>
      </c>
    </row>
    <row r="29" spans="1:10" x14ac:dyDescent="0.2">
      <c r="A29" s="731"/>
      <c r="B29" s="761" t="s">
        <v>308</v>
      </c>
      <c r="C29" s="762" t="s">
        <v>307</v>
      </c>
      <c r="D29" s="764" t="s">
        <v>309</v>
      </c>
      <c r="E29" s="763" t="s">
        <v>310</v>
      </c>
    </row>
    <row r="30" spans="1:10" x14ac:dyDescent="0.2">
      <c r="A30" s="728" t="s">
        <v>98</v>
      </c>
      <c r="B30" s="118">
        <f>2373*B27</f>
        <v>1144.2207987942727</v>
      </c>
      <c r="C30" s="760">
        <f>3321*B27+Number_ha_intercropped_yrs_1_to_5</f>
        <v>2745.5512972332863</v>
      </c>
      <c r="D30" s="765">
        <f>B23*B27</f>
        <v>3857.4658197868443</v>
      </c>
      <c r="E30" s="767">
        <f>D30</f>
        <v>3857.4658197868443</v>
      </c>
      <c r="F30" s="109" t="s">
        <v>46</v>
      </c>
      <c r="G30" s="900" t="s">
        <v>46</v>
      </c>
      <c r="H30" s="31" t="s">
        <v>46</v>
      </c>
      <c r="J30" s="105" t="s">
        <v>46</v>
      </c>
    </row>
    <row r="31" spans="1:10" x14ac:dyDescent="0.2">
      <c r="A31" s="725"/>
      <c r="B31" s="117"/>
      <c r="C31" s="118"/>
      <c r="D31" s="766"/>
      <c r="E31" s="726"/>
      <c r="F31" s="109"/>
      <c r="J31" s="105"/>
    </row>
    <row r="32" spans="1:10" s="33" customFormat="1" x14ac:dyDescent="0.2">
      <c r="A32" s="727" t="s">
        <v>34</v>
      </c>
      <c r="B32" s="721">
        <v>0.25</v>
      </c>
      <c r="C32" s="721">
        <v>0.25</v>
      </c>
      <c r="D32" s="732">
        <v>0.25</v>
      </c>
      <c r="E32" s="722">
        <v>0.25</v>
      </c>
      <c r="F32" s="137"/>
      <c r="G32" s="104"/>
      <c r="H32" s="104"/>
      <c r="I32" s="104"/>
      <c r="J32" s="104"/>
    </row>
    <row r="33" spans="1:12" s="33" customFormat="1" x14ac:dyDescent="0.2">
      <c r="A33" s="728" t="s">
        <v>36</v>
      </c>
      <c r="B33" s="135">
        <v>0.35</v>
      </c>
      <c r="C33" s="135">
        <v>0.37</v>
      </c>
      <c r="D33" s="733">
        <v>0.38</v>
      </c>
      <c r="E33" s="723">
        <v>0.4</v>
      </c>
      <c r="F33" s="137"/>
      <c r="G33" s="104"/>
      <c r="H33" s="104"/>
      <c r="I33" s="104"/>
      <c r="J33" s="104"/>
      <c r="L33" s="33" t="s">
        <v>46</v>
      </c>
    </row>
    <row r="34" spans="1:12" s="33" customFormat="1" x14ac:dyDescent="0.2">
      <c r="A34" s="729" t="s">
        <v>41</v>
      </c>
      <c r="B34" s="135">
        <v>0.25</v>
      </c>
      <c r="C34" s="135">
        <v>0.25</v>
      </c>
      <c r="D34" s="733">
        <v>0.25</v>
      </c>
      <c r="E34" s="723">
        <v>0.25</v>
      </c>
      <c r="F34" s="137"/>
      <c r="G34" s="104"/>
      <c r="H34" s="104"/>
      <c r="I34" s="104" t="s">
        <v>46</v>
      </c>
      <c r="J34" s="104"/>
    </row>
    <row r="35" spans="1:12" s="33" customFormat="1" x14ac:dyDescent="0.2">
      <c r="A35" s="730" t="s">
        <v>35</v>
      </c>
      <c r="B35" s="136">
        <v>0.15</v>
      </c>
      <c r="C35" s="136">
        <v>0.13</v>
      </c>
      <c r="D35" s="734">
        <v>0.12</v>
      </c>
      <c r="E35" s="724">
        <v>0.1</v>
      </c>
      <c r="F35" s="137"/>
      <c r="G35" s="104"/>
      <c r="H35" s="104"/>
      <c r="I35" s="104"/>
      <c r="J35" s="104"/>
      <c r="K35" s="33" t="s">
        <v>46</v>
      </c>
    </row>
    <row r="36" spans="1:12" s="33" customFormat="1" x14ac:dyDescent="0.2">
      <c r="A36" s="110"/>
      <c r="B36" s="93">
        <f>SUM(B32:B35)</f>
        <v>1</v>
      </c>
      <c r="C36" s="93">
        <f>SUM(C32:C35)</f>
        <v>1</v>
      </c>
      <c r="D36" s="103">
        <f>SUM(D32:D35)</f>
        <v>1</v>
      </c>
      <c r="E36" s="103">
        <f>SUM(E32:E35)</f>
        <v>1</v>
      </c>
      <c r="F36" s="104"/>
      <c r="G36" s="104"/>
      <c r="H36" s="104"/>
      <c r="I36" s="104"/>
      <c r="J36" s="104"/>
    </row>
    <row r="37" spans="1:12" s="33" customFormat="1" x14ac:dyDescent="0.2">
      <c r="A37" s="110"/>
      <c r="B37" s="93"/>
      <c r="C37" s="93"/>
      <c r="D37" s="103"/>
      <c r="E37" s="103"/>
      <c r="F37" s="104"/>
      <c r="G37" s="104"/>
      <c r="H37" s="104"/>
      <c r="I37" s="104"/>
      <c r="J37" s="104"/>
    </row>
    <row r="38" spans="1:12" s="87" customFormat="1" x14ac:dyDescent="0.2">
      <c r="A38" s="768" t="s">
        <v>314</v>
      </c>
      <c r="B38" s="747">
        <v>0.5</v>
      </c>
      <c r="C38" s="748" t="s">
        <v>65</v>
      </c>
      <c r="D38" s="126"/>
      <c r="E38" s="126"/>
      <c r="F38" s="127"/>
      <c r="G38" s="127"/>
      <c r="H38" s="127"/>
      <c r="I38" s="127"/>
      <c r="J38" s="127"/>
    </row>
    <row r="39" spans="1:12" s="87" customFormat="1" x14ac:dyDescent="0.2">
      <c r="A39" s="769" t="s">
        <v>303</v>
      </c>
      <c r="B39" s="694">
        <f>'Crystal Ball Sensitivity'!C9</f>
        <v>0.3</v>
      </c>
      <c r="C39" s="695" t="s">
        <v>65</v>
      </c>
      <c r="D39" s="126"/>
      <c r="E39" s="126"/>
      <c r="F39" s="127"/>
      <c r="G39" s="127"/>
      <c r="H39" s="127"/>
      <c r="I39" s="127"/>
      <c r="J39" s="127"/>
    </row>
    <row r="40" spans="1:12" s="87" customFormat="1" x14ac:dyDescent="0.2">
      <c r="A40" s="749" t="s">
        <v>304</v>
      </c>
      <c r="B40" s="694">
        <f>B38*B39</f>
        <v>0.15</v>
      </c>
      <c r="C40" s="695" t="s">
        <v>65</v>
      </c>
      <c r="D40" s="126"/>
      <c r="E40" s="126"/>
      <c r="F40" s="127"/>
      <c r="G40" s="127"/>
      <c r="H40" s="127"/>
      <c r="I40" s="127"/>
      <c r="J40" s="127"/>
    </row>
    <row r="41" spans="1:12" s="87" customFormat="1" x14ac:dyDescent="0.2">
      <c r="A41" s="125"/>
      <c r="B41" s="93"/>
      <c r="C41" s="128"/>
      <c r="D41" s="126"/>
      <c r="E41" s="126"/>
      <c r="F41" s="127"/>
      <c r="G41" s="127"/>
      <c r="H41" s="127"/>
      <c r="I41" s="127"/>
      <c r="J41" s="127"/>
    </row>
    <row r="42" spans="1:12" s="33" customFormat="1" ht="25.5" x14ac:dyDescent="0.2">
      <c r="A42" s="110"/>
      <c r="B42" s="738"/>
      <c r="C42" s="738"/>
      <c r="D42" s="879" t="s">
        <v>45</v>
      </c>
      <c r="E42" s="1158" t="s">
        <v>42</v>
      </c>
      <c r="F42" s="1158"/>
      <c r="G42" s="883" t="s">
        <v>89</v>
      </c>
      <c r="H42" s="102"/>
      <c r="J42" s="104"/>
    </row>
    <row r="43" spans="1:12" x14ac:dyDescent="0.2">
      <c r="A43" s="111"/>
      <c r="B43" s="735" t="s">
        <v>43</v>
      </c>
      <c r="C43" s="735" t="s">
        <v>44</v>
      </c>
      <c r="D43" s="736" t="s">
        <v>66</v>
      </c>
      <c r="G43" s="737" t="s">
        <v>66</v>
      </c>
      <c r="H43" s="97"/>
    </row>
    <row r="44" spans="1:12" s="3" customFormat="1" x14ac:dyDescent="0.2">
      <c r="A44" s="750" t="s">
        <v>23</v>
      </c>
      <c r="B44" s="739">
        <f>E44*D44-I44</f>
        <v>13650</v>
      </c>
      <c r="C44" s="739">
        <f>E44*D44</f>
        <v>13650</v>
      </c>
      <c r="D44" s="740">
        <v>21</v>
      </c>
      <c r="E44" s="741">
        <v>650</v>
      </c>
      <c r="F44" s="741" t="s">
        <v>38</v>
      </c>
      <c r="G44" s="742">
        <v>9520</v>
      </c>
      <c r="H44" s="33" t="s">
        <v>93</v>
      </c>
    </row>
    <row r="45" spans="1:12" s="3" customFormat="1" x14ac:dyDescent="0.2">
      <c r="A45" s="751" t="s">
        <v>24</v>
      </c>
      <c r="B45" s="746">
        <v>0</v>
      </c>
      <c r="C45" s="117">
        <f>E45*D45</f>
        <v>6800</v>
      </c>
      <c r="D45" s="97">
        <v>17</v>
      </c>
      <c r="E45" s="97">
        <v>400</v>
      </c>
      <c r="F45" s="97" t="s">
        <v>38</v>
      </c>
      <c r="G45" s="119">
        <v>6180</v>
      </c>
      <c r="H45" s="113" t="s">
        <v>46</v>
      </c>
    </row>
    <row r="46" spans="1:12" s="3" customFormat="1" x14ac:dyDescent="0.2">
      <c r="A46" s="751" t="s">
        <v>40</v>
      </c>
      <c r="B46" s="117">
        <f>E46*D46-I46</f>
        <v>12150</v>
      </c>
      <c r="C46" s="117">
        <f>E46*D46</f>
        <v>12150</v>
      </c>
      <c r="D46" s="106">
        <v>18</v>
      </c>
      <c r="E46" s="97">
        <v>675</v>
      </c>
      <c r="F46" s="97" t="s">
        <v>38</v>
      </c>
      <c r="G46" s="119">
        <v>6195</v>
      </c>
      <c r="H46" s="113" t="s">
        <v>46</v>
      </c>
    </row>
    <row r="47" spans="1:12" s="3" customFormat="1" x14ac:dyDescent="0.2">
      <c r="A47" s="752" t="s">
        <v>37</v>
      </c>
      <c r="B47" s="743">
        <f>E47*D47-I47</f>
        <v>13200</v>
      </c>
      <c r="C47" s="743">
        <f>E47*D47</f>
        <v>13200</v>
      </c>
      <c r="D47" s="744">
        <v>22</v>
      </c>
      <c r="E47" s="744">
        <v>600</v>
      </c>
      <c r="F47" s="744" t="s">
        <v>38</v>
      </c>
      <c r="G47" s="745">
        <v>7540</v>
      </c>
      <c r="H47" s="97"/>
    </row>
    <row r="48" spans="1:12" s="3" customFormat="1" x14ac:dyDescent="0.2">
      <c r="A48" s="112"/>
      <c r="B48" s="94"/>
      <c r="C48" s="94"/>
      <c r="D48" s="97"/>
      <c r="E48" s="97"/>
      <c r="F48" s="97"/>
      <c r="G48" s="97"/>
      <c r="H48" s="102"/>
      <c r="I48" s="97"/>
      <c r="J48" s="97"/>
    </row>
    <row r="49" spans="1:10" x14ac:dyDescent="0.2">
      <c r="A49" s="102"/>
      <c r="D49" s="102"/>
      <c r="E49" s="102"/>
      <c r="F49" s="102"/>
      <c r="G49" s="102"/>
      <c r="H49" s="102"/>
      <c r="I49" s="102"/>
      <c r="J49" s="102"/>
    </row>
    <row r="50" spans="1:10" x14ac:dyDescent="0.2">
      <c r="A50" s="97"/>
      <c r="D50" s="102"/>
      <c r="E50" s="105" t="s">
        <v>46</v>
      </c>
      <c r="F50" s="102"/>
      <c r="G50" s="102"/>
      <c r="I50" s="102"/>
      <c r="J50" s="102"/>
    </row>
    <row r="51" spans="1:10" hidden="1" x14ac:dyDescent="0.2"/>
    <row r="52" spans="1:10" hidden="1" x14ac:dyDescent="0.2"/>
    <row r="53" spans="1:10" hidden="1" x14ac:dyDescent="0.2"/>
    <row r="54" spans="1:10" hidden="1" x14ac:dyDescent="0.2"/>
    <row r="55" spans="1:10" x14ac:dyDescent="0.2">
      <c r="A55" s="97"/>
      <c r="I55" t="s">
        <v>46</v>
      </c>
    </row>
    <row r="56" spans="1:10" x14ac:dyDescent="0.2">
      <c r="A56" s="97"/>
    </row>
    <row r="57" spans="1:10" x14ac:dyDescent="0.2">
      <c r="A57" s="97"/>
    </row>
    <row r="58" spans="1:10" x14ac:dyDescent="0.2">
      <c r="A58" s="97"/>
      <c r="E58" t="s">
        <v>46</v>
      </c>
    </row>
  </sheetData>
  <mergeCells count="1">
    <mergeCell ref="E42:F42"/>
  </mergeCells>
  <phoneticPr fontId="0" type="noConversion"/>
  <dataValidations disablePrompts="1" count="3">
    <dataValidation type="list" allowBlank="1" showInputMessage="1" showErrorMessage="1" sqref="D11">
      <formula1>#REF!</formula1>
    </dataValidation>
    <dataValidation type="list" allowBlank="1" showInputMessage="1" showErrorMessage="1" sqref="C3">
      <formula1>$D$3:$G$3</formula1>
    </dataValidation>
    <dataValidation type="list" allowBlank="1" showInputMessage="1" showErrorMessage="1" sqref="D4:D8">
      <formula1>#REF!</formula1>
    </dataValidation>
  </dataValidations>
  <pageMargins left="0.75" right="0.75" top="1" bottom="1" header="0.5" footer="0.5"/>
  <pageSetup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8"/>
  <sheetViews>
    <sheetView workbookViewId="0">
      <pane xSplit="1" ySplit="5" topLeftCell="B6" activePane="bottomRight" state="frozen"/>
      <selection pane="topRight" activeCell="B1" sqref="B1"/>
      <selection pane="bottomLeft" activeCell="A4" sqref="A4"/>
      <selection pane="bottomRight" activeCell="F19" sqref="F19"/>
    </sheetView>
  </sheetViews>
  <sheetFormatPr defaultRowHeight="12.75" x14ac:dyDescent="0.2"/>
  <cols>
    <col min="1" max="1" width="31.28515625" customWidth="1"/>
    <col min="2" max="2" width="13.28515625" style="38" customWidth="1"/>
    <col min="3" max="3" width="16" bestFit="1" customWidth="1"/>
    <col min="4" max="4" width="13.7109375" bestFit="1" customWidth="1"/>
    <col min="5" max="5" width="13.5703125" customWidth="1"/>
    <col min="6" max="6" width="14.28515625" customWidth="1"/>
    <col min="7" max="9" width="16.140625" bestFit="1" customWidth="1"/>
    <col min="10" max="10" width="13.140625" customWidth="1"/>
    <col min="11" max="11" width="14.28515625" bestFit="1" customWidth="1"/>
    <col min="12" max="12" width="17.5703125" bestFit="1" customWidth="1"/>
    <col min="13" max="13" width="13.85546875" customWidth="1"/>
    <col min="14" max="22" width="17.5703125" bestFit="1" customWidth="1"/>
  </cols>
  <sheetData>
    <row r="1" spans="1:40" x14ac:dyDescent="0.2">
      <c r="H1" s="921" t="s">
        <v>370</v>
      </c>
    </row>
    <row r="2" spans="1:40" ht="20.25" x14ac:dyDescent="0.3">
      <c r="A2" s="967" t="s">
        <v>498</v>
      </c>
      <c r="H2" s="921"/>
    </row>
    <row r="3" spans="1:40" x14ac:dyDescent="0.2">
      <c r="A3" s="1" t="s">
        <v>4</v>
      </c>
      <c r="B3" s="37"/>
    </row>
    <row r="4" spans="1:40" s="717" customFormat="1" x14ac:dyDescent="0.2">
      <c r="A4" s="714"/>
      <c r="B4" s="715" t="s">
        <v>9</v>
      </c>
      <c r="C4" s="716">
        <v>1</v>
      </c>
      <c r="D4" s="716">
        <f>C4+1</f>
        <v>2</v>
      </c>
      <c r="E4" s="716">
        <f t="shared" ref="E4:AN4" si="0">D4+1</f>
        <v>3</v>
      </c>
      <c r="F4" s="716">
        <f t="shared" si="0"/>
        <v>4</v>
      </c>
      <c r="G4" s="716">
        <f t="shared" si="0"/>
        <v>5</v>
      </c>
      <c r="H4" s="716">
        <f t="shared" si="0"/>
        <v>6</v>
      </c>
      <c r="I4" s="716">
        <f t="shared" si="0"/>
        <v>7</v>
      </c>
      <c r="J4" s="716">
        <f t="shared" si="0"/>
        <v>8</v>
      </c>
      <c r="K4" s="716">
        <f t="shared" si="0"/>
        <v>9</v>
      </c>
      <c r="L4" s="716">
        <f t="shared" si="0"/>
        <v>10</v>
      </c>
      <c r="M4" s="716">
        <f t="shared" si="0"/>
        <v>11</v>
      </c>
      <c r="N4" s="716">
        <f t="shared" si="0"/>
        <v>12</v>
      </c>
      <c r="O4" s="716">
        <f t="shared" si="0"/>
        <v>13</v>
      </c>
      <c r="P4" s="716">
        <f t="shared" si="0"/>
        <v>14</v>
      </c>
      <c r="Q4" s="716">
        <f t="shared" si="0"/>
        <v>15</v>
      </c>
      <c r="R4" s="716">
        <f t="shared" si="0"/>
        <v>16</v>
      </c>
      <c r="S4" s="716">
        <f t="shared" si="0"/>
        <v>17</v>
      </c>
      <c r="T4" s="716">
        <f t="shared" si="0"/>
        <v>18</v>
      </c>
      <c r="U4" s="716">
        <f t="shared" si="0"/>
        <v>19</v>
      </c>
      <c r="V4" s="716">
        <f t="shared" si="0"/>
        <v>20</v>
      </c>
      <c r="AG4" s="717">
        <f t="shared" si="0"/>
        <v>1</v>
      </c>
      <c r="AH4" s="717">
        <f t="shared" si="0"/>
        <v>2</v>
      </c>
      <c r="AI4" s="717">
        <f t="shared" si="0"/>
        <v>3</v>
      </c>
      <c r="AJ4" s="717">
        <f t="shared" si="0"/>
        <v>4</v>
      </c>
      <c r="AK4" s="717">
        <f t="shared" si="0"/>
        <v>5</v>
      </c>
      <c r="AL4" s="717">
        <f t="shared" si="0"/>
        <v>6</v>
      </c>
      <c r="AM4" s="717">
        <f t="shared" si="0"/>
        <v>7</v>
      </c>
      <c r="AN4" s="717">
        <f t="shared" si="0"/>
        <v>8</v>
      </c>
    </row>
    <row r="5" spans="1:40" s="717" customFormat="1" x14ac:dyDescent="0.2">
      <c r="A5" s="714"/>
      <c r="B5" s="715" t="s">
        <v>53</v>
      </c>
      <c r="C5" s="716">
        <v>2009</v>
      </c>
      <c r="D5" s="716">
        <f>C5+1</f>
        <v>2010</v>
      </c>
      <c r="E5" s="716">
        <f t="shared" ref="E5:AN5" si="1">D5+1</f>
        <v>2011</v>
      </c>
      <c r="F5" s="716">
        <f t="shared" si="1"/>
        <v>2012</v>
      </c>
      <c r="G5" s="716">
        <f t="shared" si="1"/>
        <v>2013</v>
      </c>
      <c r="H5" s="716">
        <f t="shared" si="1"/>
        <v>2014</v>
      </c>
      <c r="I5" s="716">
        <f t="shared" si="1"/>
        <v>2015</v>
      </c>
      <c r="J5" s="716">
        <f t="shared" si="1"/>
        <v>2016</v>
      </c>
      <c r="K5" s="716">
        <f t="shared" si="1"/>
        <v>2017</v>
      </c>
      <c r="L5" s="716">
        <f t="shared" si="1"/>
        <v>2018</v>
      </c>
      <c r="M5" s="716">
        <f t="shared" si="1"/>
        <v>2019</v>
      </c>
      <c r="N5" s="716">
        <f t="shared" si="1"/>
        <v>2020</v>
      </c>
      <c r="O5" s="716">
        <f t="shared" si="1"/>
        <v>2021</v>
      </c>
      <c r="P5" s="716">
        <f t="shared" si="1"/>
        <v>2022</v>
      </c>
      <c r="Q5" s="716">
        <f t="shared" si="1"/>
        <v>2023</v>
      </c>
      <c r="R5" s="716">
        <f t="shared" si="1"/>
        <v>2024</v>
      </c>
      <c r="S5" s="716">
        <f t="shared" si="1"/>
        <v>2025</v>
      </c>
      <c r="T5" s="716">
        <f t="shared" si="1"/>
        <v>2026</v>
      </c>
      <c r="U5" s="716">
        <f t="shared" si="1"/>
        <v>2027</v>
      </c>
      <c r="V5" s="716">
        <f t="shared" si="1"/>
        <v>2028</v>
      </c>
      <c r="AG5" s="717">
        <f t="shared" si="1"/>
        <v>1</v>
      </c>
      <c r="AH5" s="717">
        <f t="shared" si="1"/>
        <v>2</v>
      </c>
      <c r="AI5" s="717">
        <f t="shared" si="1"/>
        <v>3</v>
      </c>
      <c r="AJ5" s="717">
        <f t="shared" si="1"/>
        <v>4</v>
      </c>
      <c r="AK5" s="717">
        <f t="shared" si="1"/>
        <v>5</v>
      </c>
      <c r="AL5" s="717">
        <f t="shared" si="1"/>
        <v>6</v>
      </c>
      <c r="AM5" s="717">
        <f t="shared" si="1"/>
        <v>7</v>
      </c>
      <c r="AN5" s="717">
        <f t="shared" si="1"/>
        <v>8</v>
      </c>
    </row>
    <row r="6" spans="1:40" s="16" customFormat="1" ht="18" x14ac:dyDescent="0.25">
      <c r="A6" s="23" t="s">
        <v>31</v>
      </c>
      <c r="B6" s="42"/>
      <c r="C6" s="4"/>
      <c r="D6" s="4"/>
      <c r="E6" s="4"/>
      <c r="F6" s="4"/>
      <c r="G6" s="4"/>
      <c r="H6" s="4"/>
      <c r="I6" s="4"/>
      <c r="J6" s="4"/>
      <c r="K6" s="4"/>
      <c r="L6" s="4"/>
      <c r="M6" s="4"/>
      <c r="N6" s="4"/>
      <c r="O6" s="4"/>
      <c r="P6" s="4"/>
      <c r="Q6" s="4"/>
      <c r="R6" s="4"/>
      <c r="S6" s="4"/>
      <c r="T6" s="4"/>
      <c r="U6" s="4"/>
      <c r="V6" s="4"/>
    </row>
    <row r="7" spans="1:40" s="52" customFormat="1" x14ac:dyDescent="0.2">
      <c r="A7" s="50" t="s">
        <v>30</v>
      </c>
      <c r="B7" s="51" t="s">
        <v>46</v>
      </c>
    </row>
    <row r="8" spans="1:40" s="47" customFormat="1" ht="25.5" x14ac:dyDescent="0.2">
      <c r="A8" s="48" t="s">
        <v>28</v>
      </c>
      <c r="B8" s="45"/>
      <c r="C8" s="46"/>
      <c r="D8" s="46"/>
      <c r="E8" s="46" t="s">
        <v>46</v>
      </c>
      <c r="F8" s="46"/>
      <c r="G8" s="46"/>
      <c r="H8" s="46"/>
      <c r="I8" s="46"/>
      <c r="J8" s="46"/>
      <c r="K8" s="36" t="s">
        <v>47</v>
      </c>
      <c r="L8" s="36" t="s">
        <v>48</v>
      </c>
      <c r="M8" s="36" t="s">
        <v>49</v>
      </c>
      <c r="N8" s="36" t="s">
        <v>50</v>
      </c>
      <c r="O8" s="36"/>
      <c r="P8" s="36"/>
      <c r="Q8" s="36"/>
      <c r="R8" s="36"/>
      <c r="S8" s="36"/>
      <c r="T8" s="36"/>
      <c r="U8" s="36"/>
      <c r="V8" s="36"/>
    </row>
    <row r="9" spans="1:40" s="701" customFormat="1" ht="12" customHeight="1" x14ac:dyDescent="0.2">
      <c r="A9" s="699" t="s">
        <v>26</v>
      </c>
      <c r="B9" s="840" t="s">
        <v>58</v>
      </c>
      <c r="C9" s="35"/>
      <c r="D9" s="35">
        <v>54900</v>
      </c>
      <c r="E9" s="35">
        <v>155709</v>
      </c>
      <c r="F9" s="35">
        <v>305709</v>
      </c>
      <c r="G9" s="35">
        <v>453709</v>
      </c>
      <c r="H9" s="35">
        <v>503709</v>
      </c>
      <c r="I9" s="35">
        <f t="shared" ref="I9:V9" si="2">H9</f>
        <v>503709</v>
      </c>
      <c r="J9" s="35">
        <f t="shared" si="2"/>
        <v>503709</v>
      </c>
      <c r="K9" s="35">
        <f t="shared" si="2"/>
        <v>503709</v>
      </c>
      <c r="L9" s="35">
        <f t="shared" si="2"/>
        <v>503709</v>
      </c>
      <c r="M9" s="35">
        <f t="shared" si="2"/>
        <v>503709</v>
      </c>
      <c r="N9" s="35">
        <f t="shared" si="2"/>
        <v>503709</v>
      </c>
      <c r="O9" s="35">
        <f t="shared" si="2"/>
        <v>503709</v>
      </c>
      <c r="P9" s="35">
        <f t="shared" si="2"/>
        <v>503709</v>
      </c>
      <c r="Q9" s="35">
        <f t="shared" si="2"/>
        <v>503709</v>
      </c>
      <c r="R9" s="35">
        <f t="shared" si="2"/>
        <v>503709</v>
      </c>
      <c r="S9" s="35">
        <f t="shared" si="2"/>
        <v>503709</v>
      </c>
      <c r="T9" s="35">
        <f t="shared" si="2"/>
        <v>503709</v>
      </c>
      <c r="U9" s="35">
        <f t="shared" si="2"/>
        <v>503709</v>
      </c>
      <c r="V9" s="35">
        <f t="shared" si="2"/>
        <v>503709</v>
      </c>
    </row>
    <row r="10" spans="1:40" s="1" customFormat="1" ht="12" customHeight="1" x14ac:dyDescent="0.2">
      <c r="A10" s="18"/>
      <c r="B10" s="39"/>
      <c r="C10" s="11"/>
      <c r="D10" s="11"/>
      <c r="E10" s="11"/>
      <c r="F10" s="11"/>
      <c r="G10" s="11"/>
      <c r="H10" s="11"/>
      <c r="I10" s="11"/>
      <c r="J10" s="11"/>
      <c r="K10" s="78" t="s">
        <v>46</v>
      </c>
      <c r="L10" s="11"/>
      <c r="M10" s="11"/>
      <c r="N10" s="11"/>
      <c r="O10" s="11"/>
      <c r="P10" s="11"/>
      <c r="Q10" s="11"/>
      <c r="R10" s="11"/>
      <c r="S10" s="11"/>
      <c r="T10" s="11"/>
      <c r="U10" s="11"/>
      <c r="V10" s="11"/>
    </row>
    <row r="11" spans="1:40" s="704" customFormat="1" ht="22.5" x14ac:dyDescent="0.2">
      <c r="A11" s="702" t="s">
        <v>27</v>
      </c>
      <c r="B11" s="700"/>
      <c r="C11" s="35"/>
      <c r="D11" s="35"/>
      <c r="E11" s="703"/>
      <c r="F11" s="35"/>
      <c r="G11" s="35"/>
      <c r="H11" s="35"/>
      <c r="I11" s="35"/>
      <c r="J11" s="35">
        <f>$D$9*Number_of_fertilized_trees_fruits_per_year*'Epidemic Assumptions'!$B$15</f>
        <v>1894049.9999999998</v>
      </c>
      <c r="K11" s="35">
        <f>$E$9*Number_of_fertilized_trees_fruits_per_year*'Endemic Assumptions'!B5</f>
        <v>5371960.5</v>
      </c>
      <c r="L11" s="35">
        <f>$F$9*Number_of_fertilized_trees_fruits_per_year*'Endemic Assumptions'!B5</f>
        <v>10546960.5</v>
      </c>
      <c r="M11" s="35">
        <f>$G$9*Number_of_fertilized_trees_fruits_per_year*'Endemic Assumptions'!B5</f>
        <v>15652960.499999998</v>
      </c>
      <c r="N11" s="35">
        <f>$G$9*Number_of_fertilized_trees_fruits_per_year*'Endemic Assumptions'!B5</f>
        <v>15652960.499999998</v>
      </c>
      <c r="O11" s="35">
        <f>H9*Number_of_fertilized_trees_fruits_per_year*'Endemic Assumptions'!$B$5</f>
        <v>17377960.5</v>
      </c>
      <c r="P11" s="35">
        <f>I9*Number_of_fertilized_trees_fruits_per_year*'Endemic Assumptions'!$B$5</f>
        <v>17377960.5</v>
      </c>
      <c r="Q11" s="35">
        <f>J9*Number_of_fertilized_trees_fruits_per_year*'Endemic Assumptions'!$B$5</f>
        <v>17377960.5</v>
      </c>
      <c r="R11" s="35">
        <f>K9*Number_of_fertilized_trees_fruits_per_year*'Endemic Assumptions'!$B$5</f>
        <v>17377960.5</v>
      </c>
      <c r="S11" s="35">
        <f>L9*Number_of_fertilized_trees_fruits_per_year*'Endemic Assumptions'!$B$5</f>
        <v>17377960.5</v>
      </c>
      <c r="T11" s="35">
        <f>M9*Number_of_fertilized_trees_fruits_per_year*'Endemic Assumptions'!$B$5</f>
        <v>17377960.5</v>
      </c>
      <c r="U11" s="35">
        <f>N9*Number_of_fertilized_trees_fruits_per_year*'Endemic Assumptions'!$B$5</f>
        <v>17377960.5</v>
      </c>
      <c r="V11" s="35">
        <f>O9*Number_of_fertilized_trees_fruits_per_year*'Endemic Assumptions'!$B$5</f>
        <v>17377960.5</v>
      </c>
    </row>
    <row r="12" spans="1:40" s="839" customFormat="1" ht="21.75" customHeight="1" x14ac:dyDescent="0.2">
      <c r="A12" s="35" t="s">
        <v>10</v>
      </c>
      <c r="B12" s="840" t="s">
        <v>330</v>
      </c>
      <c r="C12" s="35">
        <f t="shared" ref="C12:I12" si="3">((C11*Percent_yield_for_justcoconutitself)*Price_per_coconut__MTn)</f>
        <v>0</v>
      </c>
      <c r="D12" s="35">
        <f t="shared" si="3"/>
        <v>0</v>
      </c>
      <c r="E12" s="35">
        <f t="shared" si="3"/>
        <v>0</v>
      </c>
      <c r="F12" s="35">
        <f t="shared" si="3"/>
        <v>0</v>
      </c>
      <c r="G12" s="35">
        <f t="shared" si="3"/>
        <v>0</v>
      </c>
      <c r="H12" s="35">
        <f t="shared" si="3"/>
        <v>0</v>
      </c>
      <c r="I12" s="35">
        <f t="shared" si="3"/>
        <v>0</v>
      </c>
      <c r="J12" s="35">
        <f>((J11*Percent_yield_for_justcoconutitself)*Price_per_coconut__MTn)</f>
        <v>3409289.9999999995</v>
      </c>
      <c r="K12" s="35">
        <f t="shared" ref="K12:V12" si="4">((K11*Percent_yield_for_justcoconutitself)*Price_per_coconut__MTn)</f>
        <v>9669528.9000000004</v>
      </c>
      <c r="L12" s="35">
        <f t="shared" si="4"/>
        <v>18984528.900000002</v>
      </c>
      <c r="M12" s="35">
        <f t="shared" si="4"/>
        <v>28175328.899999999</v>
      </c>
      <c r="N12" s="35">
        <f t="shared" si="4"/>
        <v>28175328.899999999</v>
      </c>
      <c r="O12" s="35">
        <f t="shared" si="4"/>
        <v>31280328.900000002</v>
      </c>
      <c r="P12" s="35">
        <f t="shared" si="4"/>
        <v>31280328.900000002</v>
      </c>
      <c r="Q12" s="35">
        <f t="shared" si="4"/>
        <v>31280328.900000002</v>
      </c>
      <c r="R12" s="35">
        <f t="shared" si="4"/>
        <v>31280328.900000002</v>
      </c>
      <c r="S12" s="35">
        <f t="shared" si="4"/>
        <v>31280328.900000002</v>
      </c>
      <c r="T12" s="35">
        <f t="shared" si="4"/>
        <v>31280328.900000002</v>
      </c>
      <c r="U12" s="35">
        <f t="shared" si="4"/>
        <v>31280328.900000002</v>
      </c>
      <c r="V12" s="35">
        <f t="shared" si="4"/>
        <v>31280328.900000002</v>
      </c>
    </row>
    <row r="13" spans="1:40" s="148" customFormat="1" x14ac:dyDescent="0.2">
      <c r="A13" s="35" t="s">
        <v>12</v>
      </c>
      <c r="B13" s="840" t="s">
        <v>330</v>
      </c>
      <c r="C13" s="35">
        <f t="shared" ref="C13:I13" si="5">(((C11*Percent_yield_for_Copra)/No_fruits_for_1_kg_copra)*Price_green_copra_per_kg__MTn)</f>
        <v>0</v>
      </c>
      <c r="D13" s="35">
        <f t="shared" si="5"/>
        <v>0</v>
      </c>
      <c r="E13" s="35">
        <f t="shared" si="5"/>
        <v>0</v>
      </c>
      <c r="F13" s="35">
        <f t="shared" si="5"/>
        <v>0</v>
      </c>
      <c r="G13" s="35">
        <f t="shared" si="5"/>
        <v>0</v>
      </c>
      <c r="H13" s="35">
        <f t="shared" si="5"/>
        <v>0</v>
      </c>
      <c r="I13" s="35">
        <f t="shared" si="5"/>
        <v>0</v>
      </c>
      <c r="J13" s="35">
        <f>(((J11*Percent_yield_for_Copra)/No_fruits_for_1_kg_copra)*Price_green_copra_per_kg__MTn)</f>
        <v>676446.42857142852</v>
      </c>
      <c r="K13" s="35">
        <f t="shared" ref="K13:V13" si="6">(((K11*Percent_yield_for_Copra)/No_fruits_for_1_kg_copra)*Price_green_copra_per_kg__MTn)</f>
        <v>1918557.3214285714</v>
      </c>
      <c r="L13" s="35">
        <f t="shared" si="6"/>
        <v>3766771.6071428573</v>
      </c>
      <c r="M13" s="35">
        <f t="shared" si="6"/>
        <v>5590343.0357142854</v>
      </c>
      <c r="N13" s="35">
        <f t="shared" si="6"/>
        <v>5590343.0357142854</v>
      </c>
      <c r="O13" s="35">
        <f t="shared" si="6"/>
        <v>6206414.4642857146</v>
      </c>
      <c r="P13" s="35">
        <f t="shared" si="6"/>
        <v>6206414.4642857146</v>
      </c>
      <c r="Q13" s="35">
        <f t="shared" si="6"/>
        <v>6206414.4642857146</v>
      </c>
      <c r="R13" s="35">
        <f t="shared" si="6"/>
        <v>6206414.4642857146</v>
      </c>
      <c r="S13" s="35">
        <f t="shared" si="6"/>
        <v>6206414.4642857146</v>
      </c>
      <c r="T13" s="35">
        <f t="shared" si="6"/>
        <v>6206414.4642857146</v>
      </c>
      <c r="U13" s="35">
        <f t="shared" si="6"/>
        <v>6206414.4642857146</v>
      </c>
      <c r="V13" s="35">
        <f t="shared" si="6"/>
        <v>6206414.4642857146</v>
      </c>
    </row>
    <row r="14" spans="1:40" x14ac:dyDescent="0.2">
      <c r="A14" s="10"/>
      <c r="B14" s="43"/>
      <c r="C14" s="13"/>
      <c r="D14" s="13"/>
      <c r="E14" s="13"/>
      <c r="F14" s="13"/>
      <c r="G14" s="13"/>
      <c r="H14" s="13"/>
      <c r="I14" s="13"/>
      <c r="J14" s="13"/>
      <c r="K14" s="13"/>
      <c r="L14" s="13"/>
      <c r="M14" s="13"/>
      <c r="N14" s="13"/>
      <c r="O14" s="13"/>
      <c r="P14" s="13"/>
      <c r="Q14" s="13"/>
      <c r="R14" s="13"/>
      <c r="S14" s="13"/>
      <c r="T14" s="13"/>
      <c r="U14" s="13"/>
      <c r="V14" s="13"/>
    </row>
    <row r="15" spans="1:40" s="52" customFormat="1" x14ac:dyDescent="0.2">
      <c r="A15" s="50" t="s">
        <v>11</v>
      </c>
      <c r="B15" s="51"/>
    </row>
    <row r="16" spans="1:40" s="35" customFormat="1" x14ac:dyDescent="0.2">
      <c r="A16" s="843" t="s">
        <v>51</v>
      </c>
      <c r="B16" s="840" t="s">
        <v>330</v>
      </c>
      <c r="C16" s="35">
        <f>(C9)*((leaves_dropped_by_tree_per_yr/leaves_needed_per_mat)*Price_per_mat_MTn)</f>
        <v>0</v>
      </c>
      <c r="D16" s="35">
        <f t="shared" ref="D16:L16" si="7">0*((leaves_dropped_by_tree_per_yr/leaves_needed_per_mat)*Price_per_mat_MTn)</f>
        <v>0</v>
      </c>
      <c r="E16" s="35">
        <f t="shared" si="7"/>
        <v>0</v>
      </c>
      <c r="F16" s="35">
        <f t="shared" si="7"/>
        <v>0</v>
      </c>
      <c r="G16" s="35">
        <f t="shared" si="7"/>
        <v>0</v>
      </c>
      <c r="H16" s="35">
        <f t="shared" si="7"/>
        <v>0</v>
      </c>
      <c r="I16" s="35">
        <f t="shared" si="7"/>
        <v>0</v>
      </c>
      <c r="J16" s="35">
        <f t="shared" si="7"/>
        <v>0</v>
      </c>
      <c r="K16" s="35">
        <f t="shared" si="7"/>
        <v>0</v>
      </c>
      <c r="L16" s="35">
        <f t="shared" si="7"/>
        <v>0</v>
      </c>
      <c r="M16" s="35">
        <f>(F9)*((leaves_dropped_by_tree_per_yr/leaves_needed_per_mat)*Price_per_mat_MTn)*'Endemic Assumptions'!$B$5</f>
        <v>5484419.46</v>
      </c>
      <c r="N16" s="35">
        <f>(N9)*((leaves_dropped_by_tree_per_yr/leaves_needed_per_mat)*Price_per_mat_MTn)*'Endemic Assumptions'!$B$5</f>
        <v>9036539.459999999</v>
      </c>
      <c r="O16" s="35">
        <f>(O9)*((leaves_dropped_by_tree_per_yr/leaves_needed_per_mat)*Price_per_mat_MTn)*'Endemic Assumptions'!$B$5</f>
        <v>9036539.459999999</v>
      </c>
      <c r="P16" s="35">
        <f>(P9)*((leaves_dropped_by_tree_per_yr/leaves_needed_per_mat)*Price_per_mat_MTn)*'Endemic Assumptions'!$B$5</f>
        <v>9036539.459999999</v>
      </c>
      <c r="Q16" s="35">
        <f>(Q9)*((leaves_dropped_by_tree_per_yr/leaves_needed_per_mat)*Price_per_mat_MTn)*'Endemic Assumptions'!$B$5</f>
        <v>9036539.459999999</v>
      </c>
      <c r="R16" s="35">
        <f>(R9)*((leaves_dropped_by_tree_per_yr/leaves_needed_per_mat)*Price_per_mat_MTn)*'Endemic Assumptions'!$B$5</f>
        <v>9036539.459999999</v>
      </c>
      <c r="S16" s="35">
        <f>(S9)*((leaves_dropped_by_tree_per_yr/leaves_needed_per_mat)*Price_per_mat_MTn)*'Endemic Assumptions'!$B$5</f>
        <v>9036539.459999999</v>
      </c>
      <c r="T16" s="35">
        <f>(T9)*((leaves_dropped_by_tree_per_yr/leaves_needed_per_mat)*Price_per_mat_MTn)*'Endemic Assumptions'!$B$5</f>
        <v>9036539.459999999</v>
      </c>
      <c r="U16" s="35">
        <f>(U9)*((leaves_dropped_by_tree_per_yr/leaves_needed_per_mat)*Price_per_mat_MTn)*'Endemic Assumptions'!$B$5</f>
        <v>9036539.459999999</v>
      </c>
      <c r="V16" s="35">
        <f>(V9)*((leaves_dropped_by_tree_per_yr/leaves_needed_per_mat)*Price_per_mat_MTn)*'Endemic Assumptions'!$B$5</f>
        <v>9036539.459999999</v>
      </c>
    </row>
    <row r="17" spans="1:25" s="56" customFormat="1" x14ac:dyDescent="0.2">
      <c r="A17" s="53" t="s">
        <v>13</v>
      </c>
      <c r="B17" s="54"/>
      <c r="C17" s="55"/>
      <c r="D17" s="55"/>
      <c r="E17" s="55"/>
      <c r="F17" s="55"/>
      <c r="G17" s="55"/>
      <c r="H17" s="55"/>
      <c r="I17" s="55"/>
      <c r="J17" s="55"/>
      <c r="K17" s="55"/>
      <c r="L17" s="55"/>
      <c r="M17" s="55"/>
      <c r="N17" s="55"/>
      <c r="O17" s="55"/>
      <c r="P17" s="55"/>
      <c r="Q17" s="55"/>
      <c r="R17" s="55"/>
      <c r="S17" s="55"/>
      <c r="T17" s="55"/>
      <c r="U17" s="55"/>
      <c r="V17" s="55"/>
    </row>
    <row r="18" spans="1:25" s="56" customFormat="1" x14ac:dyDescent="0.2">
      <c r="A18" s="57"/>
      <c r="B18" s="855"/>
      <c r="C18" s="58"/>
      <c r="D18" s="58"/>
      <c r="E18" s="58"/>
      <c r="F18" s="58"/>
      <c r="G18" s="58"/>
      <c r="H18" s="58"/>
      <c r="I18" s="58"/>
      <c r="J18" s="58"/>
      <c r="K18" s="58"/>
      <c r="L18" s="58"/>
      <c r="M18" s="58"/>
      <c r="N18" s="58"/>
      <c r="O18" s="58"/>
      <c r="P18" s="58"/>
      <c r="Q18" s="58"/>
      <c r="R18" s="58"/>
      <c r="S18" s="58"/>
      <c r="T18" s="58"/>
      <c r="U18" s="58"/>
      <c r="V18" s="58"/>
    </row>
    <row r="19" spans="1:25" s="838" customFormat="1" ht="12" customHeight="1" x14ac:dyDescent="0.2">
      <c r="A19" s="844" t="s">
        <v>21</v>
      </c>
      <c r="B19" s="842" t="s">
        <v>330</v>
      </c>
      <c r="C19" s="838">
        <f>Number_ha_intercropped_yrs_1_to_5*Percent_ha_as_Groundnut*'Endemic Benefits'!C18*Net_income_ha_Groundnut</f>
        <v>0</v>
      </c>
      <c r="D19" s="838">
        <v>0</v>
      </c>
      <c r="E19" s="838">
        <v>0</v>
      </c>
      <c r="F19" s="838">
        <f>'Endemic Assumptions'!$B$30*'Endemic Assumptions'!$B$32*'Endemic Assumptions'!$B$40*Net_income_ha_Groundnut</f>
        <v>585698.02138281823</v>
      </c>
      <c r="G19" s="838">
        <f>'Endemic Assumptions'!C30*'Endemic Assumptions'!C32*'Endemic Assumptions'!B40*Net_income_ha_Groundnut</f>
        <v>1405379.0702712883</v>
      </c>
      <c r="H19" s="838">
        <f>'Endemic Assumptions'!$D$30*'Endemic Assumptions'!D32*'Endemic Assumptions'!B40*Net_income_ha_Groundnut</f>
        <v>1974540.3165033907</v>
      </c>
      <c r="I19" s="845">
        <f>'Endemic Assumptions'!$D$30*'Endemic Assumptions'!$E$32*'Endemic Assumptions'!$B$40*Net_income_ha_Groundnut</f>
        <v>1974540.3165033907</v>
      </c>
      <c r="J19" s="845">
        <f>'Endemic Assumptions'!$D$30*'Endemic Assumptions'!$E$32*'Endemic Assumptions'!$B$40*Net_income_ha_Groundnut</f>
        <v>1974540.3165033907</v>
      </c>
      <c r="K19" s="845">
        <f>'Endemic Assumptions'!$D$30*'Endemic Assumptions'!$E$32*'Endemic Assumptions'!$B$40*Net_income_ha_Groundnut</f>
        <v>1974540.3165033907</v>
      </c>
      <c r="L19" s="845">
        <f>'Endemic Assumptions'!$D$30*'Endemic Assumptions'!$E$32*'Endemic Assumptions'!$B$40*Net_income_ha_Groundnut</f>
        <v>1974540.3165033907</v>
      </c>
      <c r="M19" s="845">
        <f>'Endemic Assumptions'!$D$30*'Endemic Assumptions'!$E$32*'Endemic Assumptions'!$B$40*Net_income_ha_Groundnut</f>
        <v>1974540.3165033907</v>
      </c>
      <c r="N19" s="845">
        <f>'Endemic Assumptions'!$D$30*'Endemic Assumptions'!$E$32*'Endemic Assumptions'!$B$40*Net_income_ha_Groundnut</f>
        <v>1974540.3165033907</v>
      </c>
      <c r="O19" s="845">
        <f>'Endemic Assumptions'!$D$30*'Endemic Assumptions'!$E$32*'Endemic Assumptions'!$B$40*Net_income_ha_Groundnut</f>
        <v>1974540.3165033907</v>
      </c>
      <c r="P19" s="845">
        <f>'Endemic Assumptions'!$D$30*'Endemic Assumptions'!$E$32*'Endemic Assumptions'!$B$40*Net_income_ha_Groundnut</f>
        <v>1974540.3165033907</v>
      </c>
      <c r="Q19" s="845">
        <f>'Endemic Assumptions'!$D$30*'Endemic Assumptions'!$E$32*'Endemic Assumptions'!$B$40*Net_income_ha_Groundnut</f>
        <v>1974540.3165033907</v>
      </c>
      <c r="R19" s="845">
        <f>'Endemic Assumptions'!$D$30*'Endemic Assumptions'!$E$32*'Endemic Assumptions'!$B$40*Net_income_ha_Groundnut</f>
        <v>1974540.3165033907</v>
      </c>
      <c r="S19" s="845">
        <f>'Endemic Assumptions'!$D$30*'Endemic Assumptions'!$E$32*'Endemic Assumptions'!$B$40*Net_income_ha_Groundnut</f>
        <v>1974540.3165033907</v>
      </c>
      <c r="T19" s="845">
        <f>'Endemic Assumptions'!$D$30*'Endemic Assumptions'!$E$32*'Endemic Assumptions'!$B$40*Net_income_ha_Groundnut</f>
        <v>1974540.3165033907</v>
      </c>
      <c r="U19" s="845">
        <f>'Endemic Assumptions'!$D$30*'Endemic Assumptions'!$E$32*'Endemic Assumptions'!$B$40*Net_income_ha_Groundnut</f>
        <v>1974540.3165033907</v>
      </c>
      <c r="V19" s="845">
        <f>'Endemic Assumptions'!$D$30*'Endemic Assumptions'!$E$32*'Endemic Assumptions'!$B$40*Net_income_ha_Groundnut</f>
        <v>1974540.3165033907</v>
      </c>
    </row>
    <row r="20" spans="1:25" s="838" customFormat="1" x14ac:dyDescent="0.2">
      <c r="A20" s="844" t="s">
        <v>22</v>
      </c>
      <c r="B20" s="842" t="s">
        <v>330</v>
      </c>
      <c r="C20" s="838">
        <v>0</v>
      </c>
      <c r="D20" s="838">
        <v>0</v>
      </c>
      <c r="E20" s="838">
        <v>0</v>
      </c>
      <c r="F20" s="838">
        <f>'Endemic Assumptions'!B30*'Endemic Assumptions'!B33*'Endemic Assumptions'!B40*Net_income_ha_Cowpea</f>
        <v>0</v>
      </c>
      <c r="G20" s="838">
        <f>'Endemic Assumptions'!C30*'Endemic Assumptions'!C33*'Endemic Assumptions'!B40*Net_income_ha_Cowpea</f>
        <v>0</v>
      </c>
      <c r="H20" s="838">
        <f>'Endemic Assumptions'!$D$30*'Endemic Assumptions'!D33*'Endemic Assumptions'!B40*Net_income_ha_Cowpea</f>
        <v>0</v>
      </c>
      <c r="I20" s="845">
        <f>'Endemic Assumptions'!$D$30*'Endemic Assumptions'!$E$33*'Endemic Assumptions'!$B$40*Net_income_ha_Cowpea</f>
        <v>0</v>
      </c>
      <c r="J20" s="845">
        <f>'Endemic Assumptions'!$D$30*'Endemic Assumptions'!$E$33*'Endemic Assumptions'!$B$40*Net_income_ha_Cowpea</f>
        <v>0</v>
      </c>
      <c r="K20" s="845">
        <f>'Endemic Assumptions'!$D$30*'Endemic Assumptions'!$E$33*'Endemic Assumptions'!$B$40*Net_income_ha_Cowpea</f>
        <v>0</v>
      </c>
      <c r="L20" s="845">
        <f>'Endemic Assumptions'!$D$30*'Endemic Assumptions'!$E$33*'Endemic Assumptions'!$B$40*Net_income_ha_Cowpea</f>
        <v>0</v>
      </c>
      <c r="M20" s="845">
        <f>'Endemic Assumptions'!$D$30*'Endemic Assumptions'!$E$33*'Endemic Assumptions'!$B$40*Net_income_ha_Cowpea</f>
        <v>0</v>
      </c>
      <c r="N20" s="845">
        <f>'Endemic Assumptions'!$D$30*'Endemic Assumptions'!$E$33*'Endemic Assumptions'!$B$40*Net_income_ha_Cowpea</f>
        <v>0</v>
      </c>
      <c r="O20" s="845">
        <f>'Endemic Assumptions'!$D$30*'Endemic Assumptions'!$E$33*'Endemic Assumptions'!$B$40*Net_income_ha_Cowpea</f>
        <v>0</v>
      </c>
      <c r="P20" s="845">
        <f>'Endemic Assumptions'!$D$30*'Endemic Assumptions'!$E$33*'Endemic Assumptions'!$B$40*Net_income_ha_Cowpea</f>
        <v>0</v>
      </c>
      <c r="Q20" s="845">
        <f>'Endemic Assumptions'!$D$30*'Endemic Assumptions'!$E$33*'Endemic Assumptions'!$B$40*Net_income_ha_Cowpea</f>
        <v>0</v>
      </c>
      <c r="R20" s="845">
        <f>'Endemic Assumptions'!$D$30*'Endemic Assumptions'!$E$33*'Endemic Assumptions'!$B$40*Net_income_ha_Cowpea</f>
        <v>0</v>
      </c>
      <c r="S20" s="845">
        <f>'Endemic Assumptions'!$D$30*'Endemic Assumptions'!$E$33*'Endemic Assumptions'!$B$40*Net_income_ha_Cowpea</f>
        <v>0</v>
      </c>
      <c r="T20" s="845">
        <f>'Endemic Assumptions'!$D$30*'Endemic Assumptions'!$E$33*'Endemic Assumptions'!$B$40*Net_income_ha_Cowpea</f>
        <v>0</v>
      </c>
      <c r="U20" s="845">
        <f>'Endemic Assumptions'!$D$30*'Endemic Assumptions'!$E$33*'Endemic Assumptions'!$B$40*Net_income_ha_Cowpea</f>
        <v>0</v>
      </c>
      <c r="V20" s="845">
        <f>'Endemic Assumptions'!$D$30*'Endemic Assumptions'!$E$33*'Endemic Assumptions'!$B$40*Net_income_ha_Cowpea</f>
        <v>0</v>
      </c>
    </row>
    <row r="21" spans="1:25" s="838" customFormat="1" x14ac:dyDescent="0.2">
      <c r="A21" s="841" t="s">
        <v>39</v>
      </c>
      <c r="B21" s="842" t="s">
        <v>330</v>
      </c>
      <c r="C21" s="838">
        <v>0</v>
      </c>
      <c r="D21" s="838">
        <v>0</v>
      </c>
      <c r="E21" s="838">
        <v>0</v>
      </c>
      <c r="F21" s="838">
        <f>'Endemic Assumptions'!B30*'Endemic Assumptions'!B34*'Endemic Assumptions'!B40*Net_income_ha__Pigeon_Pea</f>
        <v>521335.60145064042</v>
      </c>
      <c r="G21" s="838">
        <f>'Endemic Assumptions'!C30*'Endemic Assumptions'!C34*'Endemic Assumptions'!B40*Net_income_ha__Pigeon_Pea</f>
        <v>1250941.8098019159</v>
      </c>
      <c r="H21" s="838">
        <f>'Endemic Assumptions'!D30*'Endemic Assumptions'!D34*'Endemic Assumptions'!B40*Net_income_ha__Pigeon_Pea</f>
        <v>1757557.8641403806</v>
      </c>
      <c r="I21" s="845">
        <f>'Endemic Assumptions'!$D$30*'Endemic Assumptions'!$E$34*'Endemic Assumptions'!$B$40*Net_income_ha__Pigeon_Pea</f>
        <v>1757557.8641403806</v>
      </c>
      <c r="J21" s="845">
        <f>'Endemic Assumptions'!$D$30*'Endemic Assumptions'!$E$34*'Endemic Assumptions'!$B$40*Net_income_ha__Pigeon_Pea</f>
        <v>1757557.8641403806</v>
      </c>
      <c r="K21" s="845">
        <f>'Endemic Assumptions'!$D$30*'Endemic Assumptions'!$E$34*'Endemic Assumptions'!$B$40*Net_income_ha__Pigeon_Pea</f>
        <v>1757557.8641403806</v>
      </c>
      <c r="L21" s="845">
        <f>'Endemic Assumptions'!$D$30*'Endemic Assumptions'!$E$34*'Endemic Assumptions'!$B$40*Net_income_ha__Pigeon_Pea</f>
        <v>1757557.8641403806</v>
      </c>
      <c r="M21" s="845">
        <f>'Endemic Assumptions'!$D$30*'Endemic Assumptions'!$E$34*'Endemic Assumptions'!$B$40*Net_income_ha__Pigeon_Pea</f>
        <v>1757557.8641403806</v>
      </c>
      <c r="N21" s="845">
        <f>'Endemic Assumptions'!$D$30*'Endemic Assumptions'!$E$34*'Endemic Assumptions'!$B$40*Net_income_ha__Pigeon_Pea</f>
        <v>1757557.8641403806</v>
      </c>
      <c r="O21" s="845">
        <f>'Endemic Assumptions'!$D$30*'Endemic Assumptions'!$E$34*'Endemic Assumptions'!$B$40*Net_income_ha__Pigeon_Pea</f>
        <v>1757557.8641403806</v>
      </c>
      <c r="P21" s="845">
        <f>'Endemic Assumptions'!$D$30*'Endemic Assumptions'!$E$34*'Endemic Assumptions'!$B$40*Net_income_ha__Pigeon_Pea</f>
        <v>1757557.8641403806</v>
      </c>
      <c r="Q21" s="845">
        <f>'Endemic Assumptions'!$D$30*'Endemic Assumptions'!$E$34*'Endemic Assumptions'!$B$40*Net_income_ha__Pigeon_Pea</f>
        <v>1757557.8641403806</v>
      </c>
      <c r="R21" s="845">
        <f>'Endemic Assumptions'!$D$30*'Endemic Assumptions'!$E$34*'Endemic Assumptions'!$B$40*Net_income_ha__Pigeon_Pea</f>
        <v>1757557.8641403806</v>
      </c>
      <c r="S21" s="845">
        <f>'Endemic Assumptions'!$D$30*'Endemic Assumptions'!$E$34*'Endemic Assumptions'!$B$40*Net_income_ha__Pigeon_Pea</f>
        <v>1757557.8641403806</v>
      </c>
      <c r="T21" s="845">
        <f>'Endemic Assumptions'!$D$30*'Endemic Assumptions'!$E$34*'Endemic Assumptions'!$B$40*Net_income_ha__Pigeon_Pea</f>
        <v>1757557.8641403806</v>
      </c>
      <c r="U21" s="845">
        <f>'Endemic Assumptions'!$D$30*'Endemic Assumptions'!$E$34*'Endemic Assumptions'!$B$40*Net_income_ha__Pigeon_Pea</f>
        <v>1757557.8641403806</v>
      </c>
      <c r="V21" s="845">
        <f>'Endemic Assumptions'!$D$30*'Endemic Assumptions'!$E$34*'Endemic Assumptions'!$B$40*Net_income_ha__Pigeon_Pea</f>
        <v>1757557.8641403806</v>
      </c>
      <c r="W21" s="845" t="s">
        <v>46</v>
      </c>
    </row>
    <row r="22" spans="1:25" s="838" customFormat="1" x14ac:dyDescent="0.2">
      <c r="A22" s="841" t="s">
        <v>90</v>
      </c>
      <c r="B22" s="842" t="s">
        <v>330</v>
      </c>
      <c r="C22" s="838">
        <v>0</v>
      </c>
      <c r="D22" s="838">
        <v>0</v>
      </c>
      <c r="E22" s="838">
        <v>0</v>
      </c>
      <c r="F22" s="838">
        <f>'Endemic Assumptions'!B30*'Endemic Assumptions'!B35*'Endemic Assumptions'!B40*'Endemic Assumptions'!net_income_ha_sesame</f>
        <v>339833.57724189898</v>
      </c>
      <c r="G22" s="838">
        <f>'Endemic Assumptions'!C30*'Endemic Assumptions'!C35*'Endemic Assumptions'!B40*1*'Endemic Assumptions'!net_income_ha_sesame</f>
        <v>706704.90390784794</v>
      </c>
      <c r="H22" s="838">
        <f>'Endemic Assumptions'!D30*'Endemic Assumptions'!D35*'Endemic Assumptions'!B40*'Endemic Assumptions'!net_income_ha_sesame</f>
        <v>916533.87878135405</v>
      </c>
      <c r="I22" s="845">
        <f>'Endemic Assumptions'!$D$30*'Endemic Assumptions'!$E$35*'Endemic Assumptions'!$B$40*'Endemic Assumptions'!net_income_ha_sesame</f>
        <v>763778.23231779516</v>
      </c>
      <c r="J22" s="845">
        <f>'Endemic Assumptions'!$D$30*'Endemic Assumptions'!$E$35*'Endemic Assumptions'!$B$40*'Endemic Assumptions'!net_income_ha_sesame</f>
        <v>763778.23231779516</v>
      </c>
      <c r="K22" s="845">
        <f>'Endemic Assumptions'!$D$30*'Endemic Assumptions'!$E$35*'Endemic Assumptions'!$B$40*'Endemic Assumptions'!net_income_ha_sesame</f>
        <v>763778.23231779516</v>
      </c>
      <c r="L22" s="845">
        <f>'Endemic Assumptions'!$D$30*'Endemic Assumptions'!$E$35*'Endemic Assumptions'!$B$40*'Endemic Assumptions'!net_income_ha_sesame</f>
        <v>763778.23231779516</v>
      </c>
      <c r="M22" s="845">
        <f>'Endemic Assumptions'!$D$30*'Endemic Assumptions'!$E$35*'Endemic Assumptions'!$B$40*'Endemic Assumptions'!net_income_ha_sesame</f>
        <v>763778.23231779516</v>
      </c>
      <c r="N22" s="845">
        <f>'Endemic Assumptions'!$D$30*'Endemic Assumptions'!$E$35*'Endemic Assumptions'!$B$40*'Endemic Assumptions'!net_income_ha_sesame</f>
        <v>763778.23231779516</v>
      </c>
      <c r="O22" s="845">
        <f>'Endemic Assumptions'!$D$30*'Endemic Assumptions'!$E$35*'Endemic Assumptions'!$B$40*'Endemic Assumptions'!net_income_ha_sesame</f>
        <v>763778.23231779516</v>
      </c>
      <c r="P22" s="845">
        <f>'Endemic Assumptions'!$D$30*'Endemic Assumptions'!$E$35*'Endemic Assumptions'!$B$40*'Endemic Assumptions'!net_income_ha_sesame</f>
        <v>763778.23231779516</v>
      </c>
      <c r="Q22" s="845">
        <f>'Endemic Assumptions'!$D$30*'Endemic Assumptions'!$E$35*'Endemic Assumptions'!$B$40*'Endemic Assumptions'!net_income_ha_sesame</f>
        <v>763778.23231779516</v>
      </c>
      <c r="R22" s="845">
        <f>'Endemic Assumptions'!$D$30*'Endemic Assumptions'!$E$35*'Endemic Assumptions'!$B$40*'Endemic Assumptions'!net_income_ha_sesame</f>
        <v>763778.23231779516</v>
      </c>
      <c r="S22" s="845">
        <f>'Endemic Assumptions'!$D$30*'Endemic Assumptions'!$E$35*'Endemic Assumptions'!$B$40*'Endemic Assumptions'!net_income_ha_sesame</f>
        <v>763778.23231779516</v>
      </c>
      <c r="T22" s="845">
        <f>'Endemic Assumptions'!$D$30*'Endemic Assumptions'!$E$35*'Endemic Assumptions'!$B$40*'Endemic Assumptions'!net_income_ha_sesame</f>
        <v>763778.23231779516</v>
      </c>
      <c r="U22" s="845">
        <f>'Endemic Assumptions'!$D$30*'Endemic Assumptions'!$E$35*'Endemic Assumptions'!$B$40*'Endemic Assumptions'!net_income_ha_sesame</f>
        <v>763778.23231779516</v>
      </c>
      <c r="V22" s="845">
        <f>'Endemic Assumptions'!$D$30*'Endemic Assumptions'!$E$35*'Endemic Assumptions'!$B$40*'Endemic Assumptions'!net_income_ha_sesame</f>
        <v>763778.23231779516</v>
      </c>
    </row>
    <row r="23" spans="1:25" s="838" customFormat="1" x14ac:dyDescent="0.2">
      <c r="A23" s="841"/>
      <c r="B23" s="167"/>
      <c r="I23" s="846"/>
      <c r="Y23" s="845" t="s">
        <v>46</v>
      </c>
    </row>
    <row r="24" spans="1:25" s="849" customFormat="1" x14ac:dyDescent="0.2">
      <c r="A24" s="847" t="s">
        <v>25</v>
      </c>
      <c r="B24" s="848" t="s">
        <v>330</v>
      </c>
      <c r="C24" s="849">
        <f>SUM(C19:C21)</f>
        <v>0</v>
      </c>
      <c r="D24" s="849">
        <f t="shared" ref="D24:L24" si="8">SUM(D19:D23)</f>
        <v>0</v>
      </c>
      <c r="E24" s="849">
        <f>SUM(E19:E23)</f>
        <v>0</v>
      </c>
      <c r="F24" s="849">
        <f t="shared" si="8"/>
        <v>1446867.2000753577</v>
      </c>
      <c r="G24" s="849">
        <f t="shared" si="8"/>
        <v>3363025.7839810522</v>
      </c>
      <c r="H24" s="849">
        <f t="shared" si="8"/>
        <v>4648632.0594251249</v>
      </c>
      <c r="I24" s="850">
        <f t="shared" si="8"/>
        <v>4495876.4129615668</v>
      </c>
      <c r="J24" s="849">
        <f t="shared" si="8"/>
        <v>4495876.4129615668</v>
      </c>
      <c r="K24" s="849">
        <f t="shared" si="8"/>
        <v>4495876.4129615668</v>
      </c>
      <c r="L24" s="849">
        <f t="shared" si="8"/>
        <v>4495876.4129615668</v>
      </c>
      <c r="M24" s="849">
        <f t="shared" ref="M24:V24" si="9">SUM(M19:M22)</f>
        <v>4495876.4129615668</v>
      </c>
      <c r="N24" s="849">
        <f t="shared" si="9"/>
        <v>4495876.4129615668</v>
      </c>
      <c r="O24" s="849">
        <f t="shared" si="9"/>
        <v>4495876.4129615668</v>
      </c>
      <c r="P24" s="849">
        <f t="shared" si="9"/>
        <v>4495876.4129615668</v>
      </c>
      <c r="Q24" s="849">
        <f t="shared" si="9"/>
        <v>4495876.4129615668</v>
      </c>
      <c r="R24" s="849">
        <f t="shared" si="9"/>
        <v>4495876.4129615668</v>
      </c>
      <c r="S24" s="849">
        <f t="shared" si="9"/>
        <v>4495876.4129615668</v>
      </c>
      <c r="T24" s="849">
        <f t="shared" si="9"/>
        <v>4495876.4129615668</v>
      </c>
      <c r="U24" s="849">
        <f t="shared" si="9"/>
        <v>4495876.4129615668</v>
      </c>
      <c r="V24" s="849">
        <f t="shared" si="9"/>
        <v>4495876.4129615668</v>
      </c>
    </row>
    <row r="25" spans="1:25" s="10" customFormat="1" x14ac:dyDescent="0.2">
      <c r="B25" s="40"/>
      <c r="E25" s="12" t="s">
        <v>46</v>
      </c>
      <c r="F25" s="12" t="s">
        <v>46</v>
      </c>
      <c r="G25" s="12" t="s">
        <v>46</v>
      </c>
      <c r="H25" s="698" t="s">
        <v>46</v>
      </c>
      <c r="I25" s="697" t="s">
        <v>46</v>
      </c>
      <c r="K25" s="88" t="s">
        <v>46</v>
      </c>
    </row>
    <row r="26" spans="1:25" s="10" customFormat="1" ht="25.5" x14ac:dyDescent="0.2">
      <c r="A26" s="14" t="s">
        <v>32</v>
      </c>
      <c r="B26" s="108" t="s">
        <v>330</v>
      </c>
      <c r="C26" s="13">
        <f>C12+C13</f>
        <v>0</v>
      </c>
      <c r="D26" s="13">
        <f t="shared" ref="D26:V26" si="10">D12+D13</f>
        <v>0</v>
      </c>
      <c r="E26" s="13">
        <f t="shared" si="10"/>
        <v>0</v>
      </c>
      <c r="F26" s="13">
        <f t="shared" si="10"/>
        <v>0</v>
      </c>
      <c r="G26" s="13">
        <f t="shared" si="10"/>
        <v>0</v>
      </c>
      <c r="H26" s="13">
        <f t="shared" si="10"/>
        <v>0</v>
      </c>
      <c r="I26" s="696">
        <f t="shared" si="10"/>
        <v>0</v>
      </c>
      <c r="J26" s="13">
        <f t="shared" si="10"/>
        <v>4085736.4285714282</v>
      </c>
      <c r="K26" s="13">
        <f t="shared" si="10"/>
        <v>11588086.221428571</v>
      </c>
      <c r="L26" s="13">
        <f t="shared" si="10"/>
        <v>22751300.50714286</v>
      </c>
      <c r="M26" s="13">
        <f t="shared" si="10"/>
        <v>33765671.935714282</v>
      </c>
      <c r="N26" s="13">
        <f t="shared" si="10"/>
        <v>33765671.935714282</v>
      </c>
      <c r="O26" s="13">
        <f t="shared" si="10"/>
        <v>37486743.364285715</v>
      </c>
      <c r="P26" s="13">
        <f t="shared" si="10"/>
        <v>37486743.364285715</v>
      </c>
      <c r="Q26" s="13">
        <f t="shared" si="10"/>
        <v>37486743.364285715</v>
      </c>
      <c r="R26" s="13">
        <f t="shared" si="10"/>
        <v>37486743.364285715</v>
      </c>
      <c r="S26" s="13">
        <f t="shared" si="10"/>
        <v>37486743.364285715</v>
      </c>
      <c r="T26" s="13">
        <f t="shared" si="10"/>
        <v>37486743.364285715</v>
      </c>
      <c r="U26" s="13">
        <f t="shared" si="10"/>
        <v>37486743.364285715</v>
      </c>
      <c r="V26" s="13">
        <f t="shared" si="10"/>
        <v>37486743.364285715</v>
      </c>
    </row>
    <row r="27" spans="1:25" s="10" customFormat="1" ht="25.5" x14ac:dyDescent="0.2">
      <c r="A27" s="15" t="s">
        <v>33</v>
      </c>
      <c r="B27" s="108" t="s">
        <v>330</v>
      </c>
      <c r="C27" s="13">
        <f t="shared" ref="C27:V27" si="11">SUM(C12:C13)+C16+C24</f>
        <v>0</v>
      </c>
      <c r="D27" s="13">
        <f t="shared" si="11"/>
        <v>0</v>
      </c>
      <c r="E27" s="13">
        <f t="shared" si="11"/>
        <v>0</v>
      </c>
      <c r="F27" s="13">
        <f t="shared" si="11"/>
        <v>1446867.2000753577</v>
      </c>
      <c r="G27" s="13">
        <f t="shared" si="11"/>
        <v>3363025.7839810522</v>
      </c>
      <c r="H27" s="13">
        <f t="shared" si="11"/>
        <v>4648632.0594251249</v>
      </c>
      <c r="I27" s="696">
        <f t="shared" si="11"/>
        <v>4495876.4129615668</v>
      </c>
      <c r="J27" s="13">
        <f t="shared" si="11"/>
        <v>8581612.8415329941</v>
      </c>
      <c r="K27" s="13">
        <f t="shared" si="11"/>
        <v>16083962.634390138</v>
      </c>
      <c r="L27" s="13">
        <f t="shared" si="11"/>
        <v>27247176.920104429</v>
      </c>
      <c r="M27" s="13">
        <f t="shared" si="11"/>
        <v>43745967.808675848</v>
      </c>
      <c r="N27" s="13">
        <f t="shared" si="11"/>
        <v>47298087.808675848</v>
      </c>
      <c r="O27" s="13">
        <f t="shared" si="11"/>
        <v>51019159.237247281</v>
      </c>
      <c r="P27" s="13">
        <f t="shared" si="11"/>
        <v>51019159.237247281</v>
      </c>
      <c r="Q27" s="13">
        <f t="shared" si="11"/>
        <v>51019159.237247281</v>
      </c>
      <c r="R27" s="13">
        <f t="shared" si="11"/>
        <v>51019159.237247281</v>
      </c>
      <c r="S27" s="13">
        <f t="shared" si="11"/>
        <v>51019159.237247281</v>
      </c>
      <c r="T27" s="13">
        <f t="shared" si="11"/>
        <v>51019159.237247281</v>
      </c>
      <c r="U27" s="13">
        <f t="shared" si="11"/>
        <v>51019159.237247281</v>
      </c>
      <c r="V27" s="13">
        <f t="shared" si="11"/>
        <v>51019159.237247281</v>
      </c>
    </row>
    <row r="28" spans="1:25" s="10" customFormat="1" x14ac:dyDescent="0.2">
      <c r="A28" s="20"/>
      <c r="B28" s="44"/>
      <c r="C28" s="22"/>
      <c r="D28" s="22"/>
      <c r="E28" s="22"/>
      <c r="F28" s="22"/>
      <c r="G28" s="22"/>
      <c r="H28" s="22"/>
      <c r="I28" s="22"/>
      <c r="J28" s="22"/>
      <c r="K28" s="22"/>
      <c r="L28" s="22"/>
      <c r="M28" s="22"/>
      <c r="N28" s="22"/>
      <c r="O28" s="22"/>
      <c r="P28" s="22"/>
      <c r="Q28" s="22"/>
      <c r="R28" s="22"/>
      <c r="S28" s="22"/>
      <c r="T28" s="22"/>
      <c r="U28" s="22"/>
      <c r="V28" s="22"/>
      <c r="W28" s="16"/>
      <c r="X28" s="16"/>
    </row>
    <row r="29" spans="1:25" s="10" customFormat="1" x14ac:dyDescent="0.2">
      <c r="A29"/>
      <c r="B29" s="38"/>
      <c r="C29" s="5"/>
      <c r="D29" s="5"/>
      <c r="E29" s="5"/>
      <c r="F29" s="5"/>
      <c r="G29" s="5"/>
      <c r="H29" s="5"/>
      <c r="I29" s="5"/>
      <c r="J29" s="5"/>
      <c r="K29" s="5"/>
      <c r="L29" s="5"/>
      <c r="M29" s="5"/>
      <c r="N29" s="5"/>
      <c r="O29" s="5"/>
      <c r="P29" s="5"/>
      <c r="Q29" s="5"/>
      <c r="R29" s="5"/>
      <c r="S29" s="5"/>
      <c r="T29" s="5"/>
      <c r="U29" s="5"/>
      <c r="V29" s="5"/>
      <c r="W29" s="19"/>
      <c r="X29" s="19"/>
    </row>
    <row r="30" spans="1:25" s="35" customFormat="1" ht="30.75" x14ac:dyDescent="0.25">
      <c r="A30" s="851" t="s">
        <v>29</v>
      </c>
      <c r="B30" s="852" t="s">
        <v>330</v>
      </c>
      <c r="C30" s="853">
        <f>C27</f>
        <v>0</v>
      </c>
      <c r="D30" s="853">
        <f>D27</f>
        <v>0</v>
      </c>
      <c r="E30" s="853">
        <f>E27</f>
        <v>0</v>
      </c>
      <c r="F30" s="853">
        <f>F27</f>
        <v>1446867.2000753577</v>
      </c>
      <c r="G30" s="853">
        <f t="shared" ref="G30:V30" si="12">G27</f>
        <v>3363025.7839810522</v>
      </c>
      <c r="H30" s="853">
        <f t="shared" si="12"/>
        <v>4648632.0594251249</v>
      </c>
      <c r="I30" s="853">
        <f t="shared" si="12"/>
        <v>4495876.4129615668</v>
      </c>
      <c r="J30" s="853">
        <f t="shared" si="12"/>
        <v>8581612.8415329941</v>
      </c>
      <c r="K30" s="853">
        <f t="shared" si="12"/>
        <v>16083962.634390138</v>
      </c>
      <c r="L30" s="853">
        <f t="shared" si="12"/>
        <v>27247176.920104429</v>
      </c>
      <c r="M30" s="853">
        <f t="shared" si="12"/>
        <v>43745967.808675848</v>
      </c>
      <c r="N30" s="853">
        <f t="shared" si="12"/>
        <v>47298087.808675848</v>
      </c>
      <c r="O30" s="853">
        <f t="shared" si="12"/>
        <v>51019159.237247281</v>
      </c>
      <c r="P30" s="853">
        <f t="shared" si="12"/>
        <v>51019159.237247281</v>
      </c>
      <c r="Q30" s="853">
        <f t="shared" si="12"/>
        <v>51019159.237247281</v>
      </c>
      <c r="R30" s="853">
        <f t="shared" si="12"/>
        <v>51019159.237247281</v>
      </c>
      <c r="S30" s="853">
        <f t="shared" si="12"/>
        <v>51019159.237247281</v>
      </c>
      <c r="T30" s="853">
        <f t="shared" si="12"/>
        <v>51019159.237247281</v>
      </c>
      <c r="U30" s="853">
        <f t="shared" si="12"/>
        <v>51019159.237247281</v>
      </c>
      <c r="V30" s="853">
        <f t="shared" si="12"/>
        <v>51019159.237247281</v>
      </c>
      <c r="W30" s="854"/>
      <c r="X30" s="854"/>
    </row>
    <row r="31" spans="1:25" s="10" customFormat="1" x14ac:dyDescent="0.2">
      <c r="A31"/>
      <c r="B31" s="38"/>
      <c r="C31" s="5"/>
      <c r="D31" s="5"/>
      <c r="E31" s="5"/>
      <c r="F31" s="5"/>
      <c r="G31" s="5"/>
      <c r="H31" s="5"/>
      <c r="I31" s="5"/>
      <c r="J31" s="5"/>
      <c r="K31" s="5"/>
      <c r="L31" s="5"/>
      <c r="M31" s="5"/>
      <c r="N31" s="5"/>
      <c r="O31" s="5"/>
      <c r="P31" s="5"/>
      <c r="Q31" s="5"/>
      <c r="R31" s="5"/>
      <c r="S31" s="5"/>
      <c r="T31" s="5"/>
      <c r="U31" s="5"/>
      <c r="V31" s="5"/>
      <c r="W31" s="16"/>
      <c r="X31" s="16"/>
    </row>
    <row r="32" spans="1:25" s="16" customFormat="1" x14ac:dyDescent="0.2">
      <c r="A32"/>
      <c r="B32" s="38"/>
      <c r="C32"/>
      <c r="D32"/>
      <c r="E32"/>
      <c r="F32"/>
      <c r="G32"/>
      <c r="H32"/>
      <c r="I32"/>
      <c r="J32"/>
      <c r="K32"/>
      <c r="L32"/>
      <c r="M32"/>
      <c r="N32"/>
      <c r="O32"/>
      <c r="P32"/>
      <c r="Q32"/>
      <c r="R32"/>
      <c r="S32"/>
      <c r="T32"/>
      <c r="U32"/>
      <c r="V32"/>
      <c r="W32"/>
      <c r="X32"/>
    </row>
    <row r="33" spans="1:24" s="16" customFormat="1" ht="15.75" x14ac:dyDescent="0.25">
      <c r="A33"/>
      <c r="B33" s="38"/>
      <c r="C33"/>
      <c r="D33"/>
      <c r="E33"/>
      <c r="F33"/>
      <c r="G33"/>
      <c r="H33"/>
      <c r="I33"/>
      <c r="J33"/>
      <c r="K33"/>
      <c r="L33"/>
      <c r="M33"/>
      <c r="N33"/>
      <c r="O33"/>
      <c r="P33"/>
      <c r="Q33"/>
      <c r="R33"/>
      <c r="S33"/>
      <c r="T33"/>
      <c r="U33"/>
      <c r="V33"/>
      <c r="W33" s="25"/>
      <c r="X33" s="25"/>
    </row>
    <row r="34" spans="1:24" s="16" customFormat="1" x14ac:dyDescent="0.2">
      <c r="A34" s="17"/>
      <c r="B34" s="41"/>
      <c r="C34" s="17"/>
      <c r="D34" s="17"/>
      <c r="E34" s="17"/>
      <c r="F34" s="17"/>
      <c r="G34" s="17"/>
      <c r="H34"/>
      <c r="I34"/>
      <c r="J34"/>
      <c r="K34"/>
      <c r="L34"/>
      <c r="M34"/>
      <c r="N34"/>
      <c r="O34"/>
      <c r="P34"/>
      <c r="Q34"/>
      <c r="R34"/>
      <c r="S34"/>
      <c r="T34"/>
      <c r="U34"/>
      <c r="V34"/>
      <c r="W34"/>
      <c r="X34"/>
    </row>
    <row r="35" spans="1:24" s="16" customFormat="1" x14ac:dyDescent="0.2">
      <c r="A35" s="27"/>
      <c r="B35" s="41"/>
      <c r="C35" s="28"/>
      <c r="D35" s="28"/>
      <c r="E35" s="28"/>
      <c r="F35" s="17"/>
      <c r="G35" s="17"/>
      <c r="H35"/>
      <c r="I35"/>
      <c r="J35"/>
      <c r="K35"/>
      <c r="L35"/>
      <c r="M35"/>
      <c r="N35"/>
      <c r="O35"/>
      <c r="P35"/>
      <c r="Q35"/>
      <c r="R35"/>
      <c r="S35"/>
      <c r="T35"/>
      <c r="U35"/>
      <c r="V35"/>
      <c r="W35" s="26"/>
      <c r="X35" s="26"/>
    </row>
    <row r="36" spans="1:24" s="19" customFormat="1" x14ac:dyDescent="0.2">
      <c r="A36" s="29"/>
      <c r="B36" s="41"/>
      <c r="C36" s="17"/>
      <c r="D36" s="30"/>
      <c r="E36" s="30"/>
      <c r="F36" s="89" t="s">
        <v>46</v>
      </c>
      <c r="G36" s="17"/>
      <c r="H36"/>
      <c r="I36"/>
      <c r="J36"/>
      <c r="K36"/>
      <c r="L36"/>
      <c r="M36"/>
      <c r="N36"/>
      <c r="O36"/>
      <c r="P36"/>
      <c r="Q36"/>
      <c r="R36"/>
      <c r="S36"/>
      <c r="T36"/>
      <c r="U36"/>
      <c r="V36"/>
      <c r="W36" s="26"/>
      <c r="X36" s="26"/>
    </row>
    <row r="37" spans="1:24" s="16" customFormat="1" x14ac:dyDescent="0.2">
      <c r="A37" s="29"/>
      <c r="B37" s="41"/>
      <c r="C37" s="17"/>
      <c r="D37" s="693" t="s">
        <v>46</v>
      </c>
      <c r="E37" s="30"/>
      <c r="F37" s="17"/>
      <c r="G37" s="17"/>
      <c r="H37"/>
      <c r="I37"/>
      <c r="J37"/>
      <c r="K37"/>
      <c r="L37"/>
      <c r="M37"/>
      <c r="N37"/>
      <c r="O37"/>
      <c r="P37"/>
      <c r="Q37"/>
      <c r="R37"/>
      <c r="S37"/>
      <c r="T37"/>
      <c r="U37"/>
      <c r="V37"/>
      <c r="W37"/>
      <c r="X37"/>
    </row>
    <row r="38" spans="1:24" s="16" customFormat="1" x14ac:dyDescent="0.2">
      <c r="A38" s="29"/>
      <c r="B38" s="41"/>
      <c r="C38" s="17"/>
      <c r="D38" s="30"/>
      <c r="E38" s="30"/>
      <c r="F38" s="17"/>
      <c r="G38" s="17"/>
      <c r="H38"/>
      <c r="I38"/>
      <c r="J38"/>
      <c r="K38"/>
      <c r="L38"/>
      <c r="M38"/>
      <c r="N38"/>
      <c r="O38"/>
      <c r="P38"/>
      <c r="Q38"/>
      <c r="R38"/>
      <c r="S38"/>
      <c r="T38"/>
      <c r="U38"/>
      <c r="V38"/>
      <c r="W38"/>
      <c r="X38"/>
    </row>
    <row r="39" spans="1:24" s="16" customFormat="1" x14ac:dyDescent="0.2">
      <c r="A39" s="29"/>
      <c r="B39" s="41"/>
      <c r="C39" s="17"/>
      <c r="D39" s="30"/>
      <c r="E39" s="30"/>
      <c r="F39" s="17"/>
      <c r="G39" s="17"/>
      <c r="H39"/>
      <c r="I39"/>
      <c r="J39"/>
      <c r="K39"/>
      <c r="L39"/>
      <c r="M39"/>
      <c r="N39"/>
      <c r="O39"/>
      <c r="P39"/>
      <c r="Q39"/>
      <c r="R39"/>
      <c r="S39"/>
      <c r="T39"/>
      <c r="U39"/>
      <c r="V39"/>
      <c r="W39"/>
      <c r="X39"/>
    </row>
    <row r="40" spans="1:24" s="16" customFormat="1" x14ac:dyDescent="0.2">
      <c r="A40" s="29"/>
      <c r="B40" s="41"/>
      <c r="C40" s="30"/>
      <c r="D40" s="30"/>
      <c r="E40" s="30"/>
      <c r="F40" s="17"/>
      <c r="G40" s="17"/>
      <c r="H40"/>
      <c r="I40"/>
      <c r="J40"/>
      <c r="K40"/>
      <c r="L40"/>
      <c r="M40"/>
      <c r="N40"/>
      <c r="O40"/>
      <c r="P40"/>
      <c r="Q40"/>
      <c r="R40"/>
      <c r="S40"/>
      <c r="T40"/>
      <c r="U40"/>
      <c r="V40"/>
      <c r="W40"/>
      <c r="X40"/>
    </row>
    <row r="41" spans="1:24" s="16" customFormat="1" x14ac:dyDescent="0.2">
      <c r="A41" s="29"/>
      <c r="B41" s="41"/>
      <c r="C41" s="30"/>
      <c r="D41" s="30"/>
      <c r="E41" s="30"/>
      <c r="F41" s="17"/>
      <c r="G41" s="17"/>
      <c r="H41"/>
      <c r="I41"/>
      <c r="J41"/>
      <c r="K41"/>
      <c r="L41"/>
      <c r="M41"/>
      <c r="N41"/>
      <c r="O41"/>
      <c r="P41"/>
      <c r="Q41"/>
      <c r="R41"/>
      <c r="S41"/>
      <c r="T41"/>
      <c r="U41"/>
      <c r="V41"/>
      <c r="W41"/>
      <c r="X41"/>
    </row>
    <row r="42" spans="1:24" s="16" customFormat="1" x14ac:dyDescent="0.2">
      <c r="A42" s="27"/>
      <c r="B42" s="41"/>
      <c r="C42" s="30"/>
      <c r="D42" s="30"/>
      <c r="E42" s="30"/>
      <c r="F42" s="17"/>
      <c r="G42" s="17"/>
      <c r="H42"/>
      <c r="I42"/>
      <c r="J42"/>
      <c r="K42"/>
      <c r="L42"/>
      <c r="M42"/>
      <c r="N42"/>
      <c r="O42"/>
      <c r="P42"/>
      <c r="Q42"/>
      <c r="R42"/>
      <c r="S42"/>
      <c r="T42"/>
      <c r="U42"/>
      <c r="V42"/>
      <c r="W42"/>
      <c r="X42"/>
    </row>
    <row r="43" spans="1:24" x14ac:dyDescent="0.2">
      <c r="A43" s="17"/>
      <c r="B43" s="41"/>
      <c r="C43" s="17"/>
      <c r="D43" s="17"/>
      <c r="E43" s="17"/>
      <c r="F43" s="17"/>
      <c r="G43" s="17"/>
    </row>
    <row r="45" spans="1:24" s="24" customFormat="1" x14ac:dyDescent="0.2">
      <c r="A45"/>
      <c r="B45" s="38"/>
      <c r="C45"/>
      <c r="D45"/>
      <c r="E45"/>
      <c r="F45"/>
      <c r="G45"/>
      <c r="H45"/>
      <c r="I45"/>
      <c r="J45"/>
      <c r="K45"/>
      <c r="L45"/>
      <c r="M45"/>
      <c r="N45"/>
      <c r="O45"/>
      <c r="P45"/>
      <c r="Q45"/>
      <c r="R45"/>
      <c r="S45"/>
      <c r="T45"/>
      <c r="U45"/>
      <c r="V45"/>
      <c r="W45"/>
      <c r="X45"/>
    </row>
    <row r="46" spans="1:24" s="1" customFormat="1" x14ac:dyDescent="0.2">
      <c r="A46"/>
      <c r="B46" s="38"/>
      <c r="C46"/>
      <c r="D46"/>
      <c r="E46"/>
      <c r="F46"/>
      <c r="G46"/>
      <c r="H46"/>
      <c r="I46"/>
      <c r="J46"/>
      <c r="K46"/>
      <c r="L46"/>
      <c r="M46"/>
      <c r="N46"/>
      <c r="O46"/>
      <c r="P46"/>
      <c r="Q46"/>
      <c r="R46"/>
      <c r="S46"/>
      <c r="T46"/>
      <c r="U46"/>
      <c r="V46"/>
      <c r="W46"/>
      <c r="X46"/>
    </row>
    <row r="47" spans="1:24" s="21" customFormat="1" x14ac:dyDescent="0.2">
      <c r="A47"/>
      <c r="B47" s="38"/>
      <c r="C47"/>
      <c r="D47"/>
      <c r="E47"/>
      <c r="F47"/>
      <c r="G47"/>
      <c r="H47"/>
      <c r="I47"/>
      <c r="J47"/>
      <c r="K47"/>
      <c r="L47"/>
      <c r="M47"/>
      <c r="N47"/>
      <c r="O47"/>
      <c r="P47"/>
      <c r="Q47"/>
      <c r="R47"/>
      <c r="S47"/>
      <c r="T47"/>
      <c r="U47"/>
      <c r="V47"/>
      <c r="W47"/>
      <c r="X47"/>
    </row>
    <row r="50" spans="1:24" s="25" customFormat="1" ht="34.5" customHeight="1" x14ac:dyDescent="0.25">
      <c r="A50"/>
      <c r="B50" s="38"/>
      <c r="C50"/>
      <c r="D50"/>
      <c r="E50"/>
      <c r="F50"/>
      <c r="G50"/>
      <c r="H50"/>
      <c r="I50"/>
      <c r="J50"/>
      <c r="K50"/>
      <c r="L50"/>
      <c r="M50"/>
      <c r="N50"/>
      <c r="O50"/>
      <c r="P50"/>
      <c r="Q50"/>
      <c r="R50"/>
      <c r="S50"/>
      <c r="T50"/>
      <c r="U50"/>
      <c r="V50"/>
      <c r="W50"/>
      <c r="X50"/>
    </row>
    <row r="52" spans="1:24" s="26" customFormat="1" x14ac:dyDescent="0.2">
      <c r="A52"/>
      <c r="B52" s="38"/>
      <c r="C52"/>
      <c r="D52"/>
      <c r="E52"/>
      <c r="F52"/>
      <c r="G52"/>
      <c r="H52"/>
      <c r="I52"/>
      <c r="J52"/>
      <c r="K52"/>
      <c r="L52"/>
      <c r="M52"/>
      <c r="N52"/>
      <c r="O52"/>
      <c r="P52"/>
      <c r="Q52"/>
      <c r="R52"/>
      <c r="S52"/>
      <c r="T52"/>
      <c r="U52"/>
      <c r="V52"/>
      <c r="W52"/>
      <c r="X52"/>
    </row>
    <row r="53" spans="1:24" s="26" customFormat="1" ht="30.75" customHeight="1" x14ac:dyDescent="0.2">
      <c r="A53"/>
      <c r="B53" s="38"/>
      <c r="C53"/>
      <c r="D53"/>
      <c r="E53"/>
      <c r="F53"/>
      <c r="G53"/>
      <c r="H53"/>
      <c r="I53"/>
      <c r="J53"/>
      <c r="K53"/>
      <c r="L53"/>
      <c r="M53"/>
      <c r="N53"/>
      <c r="O53"/>
      <c r="P53"/>
      <c r="Q53"/>
      <c r="R53"/>
      <c r="S53"/>
      <c r="T53"/>
      <c r="U53"/>
      <c r="V53"/>
      <c r="W53"/>
      <c r="X53"/>
    </row>
    <row r="54" spans="1:24" hidden="1" x14ac:dyDescent="0.2"/>
    <row r="55" spans="1:24" hidden="1" x14ac:dyDescent="0.2"/>
    <row r="56" spans="1:24" hidden="1" x14ac:dyDescent="0.2"/>
    <row r="57" spans="1:24" hidden="1" x14ac:dyDescent="0.2"/>
    <row r="58" spans="1:24" hidden="1" x14ac:dyDescent="0.2"/>
  </sheetData>
  <phoneticPr fontId="0" type="noConversion"/>
  <pageMargins left="0.75" right="0.75" top="1" bottom="1" header="0.5" footer="0.5"/>
  <pageSetup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0"/>
  <sheetViews>
    <sheetView zoomScaleNormal="100" workbookViewId="0">
      <pane xSplit="1" ySplit="6" topLeftCell="B7" activePane="bottomRight" state="frozen"/>
      <selection pane="topRight" activeCell="B1" sqref="B1"/>
      <selection pane="bottomLeft" activeCell="A6" sqref="A6"/>
      <selection pane="bottomRight"/>
    </sheetView>
  </sheetViews>
  <sheetFormatPr defaultRowHeight="12.75" x14ac:dyDescent="0.2"/>
  <cols>
    <col min="1" max="1" width="51.5703125" bestFit="1" customWidth="1"/>
    <col min="2" max="2" width="12.85546875" style="40" bestFit="1" customWidth="1"/>
    <col min="3" max="3" width="12.5703125" style="65" bestFit="1" customWidth="1"/>
    <col min="4" max="4" width="12.85546875" bestFit="1" customWidth="1"/>
    <col min="6" max="6" width="11.7109375" customWidth="1"/>
  </cols>
  <sheetData>
    <row r="1" spans="1:24" x14ac:dyDescent="0.2">
      <c r="H1" s="1035" t="s">
        <v>370</v>
      </c>
    </row>
    <row r="2" spans="1:24" ht="21" thickBot="1" x14ac:dyDescent="0.35">
      <c r="A2" s="1124" t="s">
        <v>312</v>
      </c>
      <c r="B2" s="62" t="s">
        <v>0</v>
      </c>
      <c r="C2" s="63" t="s">
        <v>53</v>
      </c>
      <c r="E2" s="31"/>
      <c r="G2" s="31"/>
    </row>
    <row r="3" spans="1:24" ht="13.5" hidden="1" thickTop="1" x14ac:dyDescent="0.2">
      <c r="A3" t="s">
        <v>54</v>
      </c>
      <c r="B3" s="64" t="s">
        <v>0</v>
      </c>
    </row>
    <row r="4" spans="1:24" ht="13.5" hidden="1" thickTop="1" x14ac:dyDescent="0.2">
      <c r="A4" t="s">
        <v>55</v>
      </c>
      <c r="B4" s="40">
        <v>90</v>
      </c>
    </row>
    <row r="5" spans="1:24" ht="13.5" hidden="1" thickTop="1" x14ac:dyDescent="0.2">
      <c r="A5" t="s">
        <v>56</v>
      </c>
    </row>
    <row r="6" spans="1:24" ht="13.5" hidden="1" thickTop="1" x14ac:dyDescent="0.2">
      <c r="A6" t="s">
        <v>57</v>
      </c>
      <c r="B6" s="40">
        <v>7</v>
      </c>
      <c r="C6" s="66"/>
      <c r="D6" s="33"/>
      <c r="E6" s="33"/>
    </row>
    <row r="7" spans="1:24" ht="13.5" thickTop="1" x14ac:dyDescent="0.2">
      <c r="C7" s="66"/>
      <c r="D7" s="33"/>
      <c r="E7" s="33"/>
    </row>
    <row r="8" spans="1:24" x14ac:dyDescent="0.2">
      <c r="A8" s="31" t="s">
        <v>59</v>
      </c>
      <c r="B8" s="64">
        <v>50</v>
      </c>
      <c r="C8" s="67" t="s">
        <v>58</v>
      </c>
    </row>
    <row r="9" spans="1:24" s="69" customFormat="1" x14ac:dyDescent="0.2">
      <c r="A9"/>
      <c r="B9" s="49" t="s">
        <v>46</v>
      </c>
      <c r="C9" s="65"/>
      <c r="D9" t="s">
        <v>46</v>
      </c>
      <c r="E9" t="s">
        <v>46</v>
      </c>
      <c r="F9" t="s">
        <v>46</v>
      </c>
      <c r="G9"/>
      <c r="H9"/>
      <c r="I9"/>
      <c r="J9"/>
      <c r="K9"/>
      <c r="L9"/>
      <c r="M9"/>
      <c r="N9"/>
      <c r="O9"/>
      <c r="P9"/>
      <c r="Q9"/>
      <c r="R9"/>
      <c r="S9"/>
      <c r="T9"/>
      <c r="U9"/>
      <c r="V9"/>
      <c r="W9"/>
      <c r="X9"/>
    </row>
    <row r="10" spans="1:24" s="69" customFormat="1" x14ac:dyDescent="0.2">
      <c r="A10" s="31" t="s">
        <v>60</v>
      </c>
      <c r="B10" s="40">
        <v>0</v>
      </c>
      <c r="C10" s="67" t="s">
        <v>58</v>
      </c>
      <c r="D10" s="31"/>
      <c r="E10" s="31"/>
      <c r="F10" s="31"/>
      <c r="G10" s="31"/>
      <c r="H10" s="31"/>
      <c r="I10" s="31"/>
      <c r="J10" s="31"/>
      <c r="K10" s="31"/>
      <c r="L10"/>
      <c r="M10"/>
      <c r="N10"/>
      <c r="O10"/>
      <c r="P10"/>
      <c r="Q10"/>
      <c r="R10"/>
      <c r="S10"/>
      <c r="T10"/>
      <c r="U10"/>
      <c r="V10"/>
      <c r="W10"/>
      <c r="X10"/>
    </row>
    <row r="11" spans="1:24" s="69" customFormat="1" x14ac:dyDescent="0.2">
      <c r="A11" t="s">
        <v>61</v>
      </c>
      <c r="B11" s="40">
        <v>0</v>
      </c>
      <c r="C11" s="67" t="s">
        <v>58</v>
      </c>
      <c r="D11"/>
      <c r="E11" s="31" t="s">
        <v>92</v>
      </c>
      <c r="F11"/>
      <c r="G11"/>
      <c r="H11"/>
      <c r="I11"/>
      <c r="J11"/>
      <c r="K11"/>
      <c r="L11"/>
      <c r="M11"/>
      <c r="N11"/>
      <c r="O11"/>
      <c r="P11"/>
      <c r="Q11"/>
      <c r="R11"/>
      <c r="S11"/>
      <c r="T11"/>
      <c r="U11"/>
      <c r="V11"/>
      <c r="W11"/>
      <c r="X11"/>
    </row>
    <row r="12" spans="1:24" s="69" customFormat="1" x14ac:dyDescent="0.2">
      <c r="A12" t="s">
        <v>62</v>
      </c>
      <c r="B12" s="150">
        <v>172000</v>
      </c>
      <c r="C12" s="67" t="s">
        <v>58</v>
      </c>
      <c r="D12"/>
      <c r="E12">
        <f>(G12+H12)</f>
        <v>172000</v>
      </c>
      <c r="F12" s="31" t="s">
        <v>94</v>
      </c>
      <c r="G12">
        <v>52000</v>
      </c>
      <c r="H12">
        <v>120000</v>
      </c>
      <c r="I12"/>
      <c r="J12"/>
      <c r="K12"/>
      <c r="L12"/>
      <c r="M12"/>
      <c r="N12"/>
      <c r="O12"/>
      <c r="P12"/>
      <c r="Q12"/>
      <c r="R12"/>
      <c r="S12"/>
      <c r="T12"/>
      <c r="U12"/>
      <c r="V12"/>
      <c r="W12"/>
      <c r="X12"/>
    </row>
    <row r="13" spans="1:24" s="69" customFormat="1" x14ac:dyDescent="0.2">
      <c r="A13" t="s">
        <v>63</v>
      </c>
      <c r="B13" s="151">
        <v>106900</v>
      </c>
      <c r="C13" s="70" t="s">
        <v>58</v>
      </c>
      <c r="D13">
        <v>98000</v>
      </c>
      <c r="E13" s="107">
        <v>106900</v>
      </c>
      <c r="F13" s="31" t="s">
        <v>46</v>
      </c>
      <c r="G13"/>
      <c r="H13"/>
      <c r="I13"/>
      <c r="J13"/>
      <c r="K13"/>
      <c r="L13"/>
      <c r="M13"/>
      <c r="N13"/>
      <c r="O13"/>
      <c r="P13"/>
      <c r="Q13"/>
      <c r="R13"/>
      <c r="S13"/>
      <c r="T13"/>
      <c r="U13"/>
      <c r="V13"/>
      <c r="W13"/>
      <c r="X13"/>
    </row>
    <row r="14" spans="1:24" s="69" customFormat="1" x14ac:dyDescent="0.2">
      <c r="A14"/>
      <c r="B14" s="40"/>
      <c r="C14" s="65"/>
      <c r="D14"/>
      <c r="E14">
        <f>E13+E12</f>
        <v>278900</v>
      </c>
      <c r="F14" s="122">
        <f>E14/F15</f>
        <v>34862.5</v>
      </c>
      <c r="G14" s="123" t="s">
        <v>96</v>
      </c>
      <c r="H14" s="124"/>
      <c r="I14"/>
      <c r="J14"/>
      <c r="K14"/>
      <c r="L14"/>
      <c r="M14"/>
      <c r="N14"/>
      <c r="O14"/>
      <c r="P14"/>
      <c r="Q14"/>
      <c r="R14"/>
      <c r="S14"/>
      <c r="T14"/>
      <c r="U14"/>
      <c r="V14"/>
      <c r="W14"/>
      <c r="X14"/>
    </row>
    <row r="15" spans="1:24" s="800" customFormat="1" x14ac:dyDescent="0.2">
      <c r="A15" s="98" t="s">
        <v>64</v>
      </c>
      <c r="B15" s="804">
        <f>'Crystal Ball Sensitivity'!C4</f>
        <v>0.69</v>
      </c>
      <c r="C15" s="810" t="s">
        <v>65</v>
      </c>
      <c r="D15" s="98"/>
      <c r="E15" s="98"/>
      <c r="F15" s="803">
        <v>8</v>
      </c>
      <c r="G15" s="802" t="s">
        <v>97</v>
      </c>
      <c r="H15" s="801"/>
      <c r="I15" s="98"/>
      <c r="J15" s="98"/>
      <c r="K15" s="98"/>
      <c r="L15" s="98"/>
      <c r="M15" s="98"/>
      <c r="N15" s="98"/>
      <c r="O15" s="98"/>
      <c r="P15" s="98"/>
      <c r="Q15" s="98"/>
      <c r="R15" s="98"/>
      <c r="S15" s="98"/>
      <c r="T15" s="98"/>
      <c r="U15" s="98"/>
      <c r="V15" s="98"/>
      <c r="W15" s="98"/>
      <c r="X15" s="98"/>
    </row>
    <row r="16" spans="1:24" s="69" customFormat="1" x14ac:dyDescent="0.2">
      <c r="A16" s="31"/>
      <c r="B16" s="71"/>
      <c r="C16" s="67"/>
      <c r="D16"/>
      <c r="E16"/>
      <c r="F16" t="s">
        <v>46</v>
      </c>
      <c r="G16"/>
      <c r="H16"/>
      <c r="I16"/>
      <c r="J16"/>
      <c r="K16"/>
      <c r="L16"/>
      <c r="M16"/>
      <c r="N16"/>
      <c r="O16"/>
      <c r="P16"/>
      <c r="Q16"/>
      <c r="R16"/>
      <c r="S16"/>
      <c r="T16"/>
      <c r="U16"/>
      <c r="V16"/>
      <c r="W16"/>
      <c r="X16"/>
    </row>
    <row r="17" spans="1:24" s="98" customFormat="1" ht="15" x14ac:dyDescent="0.25">
      <c r="A17" s="98" t="s">
        <v>5</v>
      </c>
      <c r="B17" s="809">
        <f>'Crystal Ball Sensitivity'!C5</f>
        <v>4</v>
      </c>
      <c r="C17" s="810" t="s">
        <v>66</v>
      </c>
    </row>
    <row r="18" spans="1:24" s="31" customFormat="1" x14ac:dyDescent="0.2">
      <c r="A18" s="1" t="s">
        <v>2</v>
      </c>
      <c r="B18" s="49">
        <v>7</v>
      </c>
      <c r="C18" s="67" t="s">
        <v>58</v>
      </c>
      <c r="D18" s="31" t="s">
        <v>46</v>
      </c>
      <c r="E18" s="31" t="s">
        <v>46</v>
      </c>
    </row>
    <row r="19" spans="1:24" s="98" customFormat="1" x14ac:dyDescent="0.2">
      <c r="A19" s="98" t="s">
        <v>3</v>
      </c>
      <c r="B19" s="808">
        <f>'Crystal Ball Sensitivity'!C6</f>
        <v>5</v>
      </c>
      <c r="C19" s="810" t="s">
        <v>66</v>
      </c>
    </row>
    <row r="20" spans="1:24" s="31" customFormat="1" x14ac:dyDescent="0.2">
      <c r="B20" s="49"/>
      <c r="C20" s="67"/>
    </row>
    <row r="21" spans="1:24" s="31" customFormat="1" x14ac:dyDescent="0.2">
      <c r="A21" s="31" t="s">
        <v>18</v>
      </c>
      <c r="B21" s="49">
        <v>13</v>
      </c>
      <c r="C21" s="67" t="s">
        <v>58</v>
      </c>
    </row>
    <row r="22" spans="1:24" s="31" customFormat="1" x14ac:dyDescent="0.2">
      <c r="A22" s="31" t="s">
        <v>19</v>
      </c>
      <c r="B22" s="49">
        <v>1</v>
      </c>
      <c r="C22" s="67" t="s">
        <v>58</v>
      </c>
    </row>
    <row r="23" spans="1:24" s="31" customFormat="1" x14ac:dyDescent="0.2">
      <c r="A23" s="1" t="s">
        <v>20</v>
      </c>
      <c r="B23" s="49">
        <v>2</v>
      </c>
      <c r="C23" s="67" t="s">
        <v>66</v>
      </c>
    </row>
    <row r="24" spans="1:24" s="100" customFormat="1" x14ac:dyDescent="0.2">
      <c r="B24" s="101"/>
      <c r="C24" s="99"/>
    </row>
    <row r="25" spans="1:24" s="100" customFormat="1" hidden="1" x14ac:dyDescent="0.2">
      <c r="A25" s="100" t="s">
        <v>67</v>
      </c>
      <c r="B25" s="101" t="e">
        <f>(#REF!-Number_of_smallholder_trees)</f>
        <v>#REF!</v>
      </c>
      <c r="C25" s="99"/>
    </row>
    <row r="26" spans="1:24" s="100" customFormat="1" x14ac:dyDescent="0.2">
      <c r="B26" s="101"/>
      <c r="C26" s="99"/>
    </row>
    <row r="27" spans="1:24" s="31" customFormat="1" x14ac:dyDescent="0.2">
      <c r="A27" s="1" t="s">
        <v>7</v>
      </c>
      <c r="B27" s="49"/>
      <c r="C27" s="67"/>
    </row>
    <row r="28" spans="1:24" s="31" customFormat="1" x14ac:dyDescent="0.2">
      <c r="A28" s="3" t="s">
        <v>6</v>
      </c>
      <c r="B28" s="138">
        <v>0.5</v>
      </c>
      <c r="C28" s="67" t="s">
        <v>65</v>
      </c>
    </row>
    <row r="29" spans="1:24" s="31" customFormat="1" hidden="1" x14ac:dyDescent="0.2">
      <c r="A29" s="3" t="s">
        <v>68</v>
      </c>
      <c r="B29" s="138">
        <v>0.05</v>
      </c>
      <c r="C29" s="67"/>
    </row>
    <row r="30" spans="1:24" s="31" customFormat="1" x14ac:dyDescent="0.2">
      <c r="A30" s="3" t="s">
        <v>8</v>
      </c>
      <c r="B30" s="138">
        <v>0.45</v>
      </c>
      <c r="C30" s="67" t="s">
        <v>65</v>
      </c>
    </row>
    <row r="31" spans="1:24" x14ac:dyDescent="0.2">
      <c r="A31" s="1"/>
      <c r="B31" s="68"/>
      <c r="C31" s="67"/>
      <c r="D31" s="31"/>
      <c r="E31" s="31"/>
      <c r="F31" s="31"/>
      <c r="G31" s="31"/>
      <c r="H31" s="31"/>
      <c r="I31" s="31"/>
      <c r="J31" s="31"/>
      <c r="K31" s="31"/>
      <c r="L31" s="31"/>
      <c r="M31" s="31"/>
      <c r="N31" s="31"/>
      <c r="O31" s="31"/>
      <c r="P31" s="31"/>
      <c r="Q31" s="31"/>
      <c r="R31" s="31"/>
      <c r="S31" s="31"/>
      <c r="T31" s="31"/>
      <c r="U31" s="31"/>
      <c r="V31" s="31"/>
      <c r="W31" s="31"/>
      <c r="X31" s="31"/>
    </row>
    <row r="32" spans="1:24" x14ac:dyDescent="0.2">
      <c r="A32" s="31" t="s">
        <v>318</v>
      </c>
      <c r="B32" s="72">
        <v>3.7499999999999999E-2</v>
      </c>
      <c r="C32" s="67" t="s">
        <v>65</v>
      </c>
    </row>
    <row r="33" spans="1:24" s="98" customFormat="1" x14ac:dyDescent="0.2">
      <c r="A33" s="98" t="s">
        <v>319</v>
      </c>
      <c r="B33" s="811">
        <f>'Crystal Ball Sensitivity'!C12</f>
        <v>3.7499999999999999E-2</v>
      </c>
      <c r="C33" s="810" t="s">
        <v>65</v>
      </c>
    </row>
    <row r="34" spans="1:24" x14ac:dyDescent="0.2">
      <c r="A34" s="31"/>
      <c r="B34" s="72"/>
      <c r="C34" s="67"/>
    </row>
    <row r="36" spans="1:24" x14ac:dyDescent="0.2">
      <c r="A36" t="s">
        <v>124</v>
      </c>
      <c r="B36" s="167">
        <f>' Epidemic Benefits'!C43</f>
        <v>4547226.184615328</v>
      </c>
    </row>
    <row r="37" spans="1:24" s="31" customFormat="1" x14ac:dyDescent="0.2">
      <c r="A37" s="3" t="s">
        <v>125</v>
      </c>
      <c r="B37" s="166">
        <v>3.3000000000000002E-2</v>
      </c>
      <c r="C37" s="67"/>
    </row>
    <row r="38" spans="1:24" s="31" customFormat="1" hidden="1" x14ac:dyDescent="0.2">
      <c r="A38" s="3"/>
      <c r="B38" s="138"/>
      <c r="C38" s="67"/>
    </row>
    <row r="39" spans="1:24" s="31" customFormat="1" x14ac:dyDescent="0.2">
      <c r="A39" s="3"/>
      <c r="B39" s="138" t="s">
        <v>46</v>
      </c>
      <c r="C39" s="67"/>
    </row>
    <row r="40" spans="1:24" x14ac:dyDescent="0.2">
      <c r="A40" s="1"/>
      <c r="B40" s="68"/>
      <c r="C40" s="67"/>
      <c r="D40" s="31"/>
      <c r="E40" s="31"/>
      <c r="F40" s="31"/>
      <c r="G40" s="31"/>
      <c r="H40" s="31"/>
      <c r="I40" s="31"/>
      <c r="J40" s="31"/>
      <c r="K40" s="31"/>
      <c r="L40" s="31"/>
      <c r="M40" s="31"/>
      <c r="N40" s="31"/>
      <c r="O40" s="31"/>
      <c r="P40" s="31"/>
      <c r="Q40" s="31"/>
      <c r="R40" s="31"/>
      <c r="S40" s="31"/>
      <c r="T40" s="31"/>
      <c r="U40" s="31"/>
      <c r="V40" s="31"/>
      <c r="W40" s="31"/>
      <c r="X40" s="31"/>
    </row>
  </sheetData>
  <dataValidations count="5">
    <dataValidation type="list" allowBlank="1" showInputMessage="1" showErrorMessage="1" sqref="B20">
      <formula1>#REF!</formula1>
    </dataValidation>
    <dataValidation type="list" allowBlank="1" showInputMessage="1" showErrorMessage="1" sqref="B6:B7">
      <formula1>$C$6:$E$6</formula1>
    </dataValidation>
    <dataValidation type="list" allowBlank="1" showInputMessage="1" showErrorMessage="1" sqref="B4">
      <formula1>$C$4:$F$4</formula1>
    </dataValidation>
    <dataValidation type="list" allowBlank="1" showInputMessage="1" showErrorMessage="1" sqref="B3">
      <formula1>$C$3:$E$3</formula1>
    </dataValidation>
    <dataValidation type="list" allowBlank="1" showInputMessage="1" showErrorMessage="1" sqref="B13">
      <formula1>$D$13:$E$13</formula1>
    </dataValidation>
  </dataValidations>
  <pageMargins left="0.75" right="0.75" top="1" bottom="1" header="0.5" footer="0.5"/>
  <pageSetup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1d789192-d440-4471-a989-5a7dd6ad192c">AE76RC3QMNTX-49-1224</_dlc_DocId>
    <_dlc_DocIdUrl xmlns="1d789192-d440-4471-a989-5a7dd6ad192c">
      <Url>http://intranet.mcc.gov/countries/easa/Mozambique/_layouts/DocIdRedir.aspx?ID=AE76RC3QMNTX-49-1224</Url>
      <Description>AE76RC3QMNTX-49-1224</Description>
    </_dlc_DocIdUrl>
    <Previously_x0020_Reviewed_x0020_and_x0020_Approved_x0020_By xmlns="e2407df2-5f0b-4deb-ad02-627d103c6338">
      <UserInfo>
        <DisplayName/>
        <AccountId xsi:nil="true"/>
        <AccountType/>
      </UserInfo>
    </Previously_x0020_Reviewed_x0020_and_x0020_Approved_x0020_By>
    <Required_x0020_to_x0020_Clear xmlns="e2407df2-5f0b-4deb-ad02-627d103c6338">
      <UserInfo>
        <DisplayName/>
        <AccountId xsi:nil="true"/>
        <AccountType/>
      </UserInfo>
    </Required_x0020_to_x0020_Clear>
    <Project_x0020_Name xmlns="fff65502-55a0-4826-9cd7-4f8676fca0ec">2</Project_x0020_Name>
    <Due_x0020_Date xmlns="e2407df2-5f0b-4deb-ad02-627d103c6338">2014-09-25T04:00:00+00:00</Due_x0020_Date>
    <Notes0 xmlns="fff65502-55a0-4826-9cd7-4f8676fca0e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FAB96936EF0AA4AB2F59F51761C0FDD" ma:contentTypeVersion="6" ma:contentTypeDescription="Create a new document." ma:contentTypeScope="" ma:versionID="ad7f3aeac736c121f896b6e728777bb1">
  <xsd:schema xmlns:xsd="http://www.w3.org/2001/XMLSchema" xmlns:xs="http://www.w3.org/2001/XMLSchema" xmlns:p="http://schemas.microsoft.com/office/2006/metadata/properties" xmlns:ns2="e2407df2-5f0b-4deb-ad02-627d103c6338" xmlns:ns3="fff65502-55a0-4826-9cd7-4f8676fca0ec" xmlns:ns4="1d789192-d440-4471-a989-5a7dd6ad192c" targetNamespace="http://schemas.microsoft.com/office/2006/metadata/properties" ma:root="true" ma:fieldsID="2361bb10385078239247e0e9613eeb51" ns2:_="" ns3:_="" ns4:_="">
    <xsd:import namespace="e2407df2-5f0b-4deb-ad02-627d103c6338"/>
    <xsd:import namespace="fff65502-55a0-4826-9cd7-4f8676fca0ec"/>
    <xsd:import namespace="1d789192-d440-4471-a989-5a7dd6ad192c"/>
    <xsd:element name="properties">
      <xsd:complexType>
        <xsd:sequence>
          <xsd:element name="documentManagement">
            <xsd:complexType>
              <xsd:all>
                <xsd:element ref="ns2:Required_x0020_to_x0020_Clear" minOccurs="0"/>
                <xsd:element ref="ns2:Due_x0020_Date"/>
                <xsd:element ref="ns2:Previously_x0020_Reviewed_x0020_and_x0020_Approved_x0020_By" minOccurs="0"/>
                <xsd:element ref="ns3:Notes0" minOccurs="0"/>
                <xsd:element ref="ns3:Project_x0020_Name"/>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07df2-5f0b-4deb-ad02-627d103c6338" elementFormDefault="qualified">
    <xsd:import namespace="http://schemas.microsoft.com/office/2006/documentManagement/types"/>
    <xsd:import namespace="http://schemas.microsoft.com/office/infopath/2007/PartnerControls"/>
    <xsd:element name="Required_x0020_to_x0020_Clear" ma:index="8" nillable="true" ma:displayName="Outstanding Clearances" ma:list="UserInfo" ma:SharePointGroup="0" ma:internalName="Required_x0020_to_x0020_Clea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ue_x0020_Date" ma:index="9" ma:displayName="Due Date" ma:format="DateOnly" ma:indexed="true" ma:internalName="Due_x0020_Date">
      <xsd:simpleType>
        <xsd:restriction base="dms:DateTime"/>
      </xsd:simpleType>
    </xsd:element>
    <xsd:element name="Previously_x0020_Reviewed_x0020_and_x0020_Approved_x0020_By" ma:index="10" nillable="true" ma:displayName="Cleared By" ma:list="UserInfo" ma:SharePointGroup="0" ma:internalName="Previously_x0020_Reviewed_x0020_and_x0020_Approved_x0020_By"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ff65502-55a0-4826-9cd7-4f8676fca0ec" elementFormDefault="qualified">
    <xsd:import namespace="http://schemas.microsoft.com/office/2006/documentManagement/types"/>
    <xsd:import namespace="http://schemas.microsoft.com/office/infopath/2007/PartnerControls"/>
    <xsd:element name="Notes0" ma:index="11" nillable="true" ma:displayName="Notes" ma:internalName="Notes0">
      <xsd:simpleType>
        <xsd:restriction base="dms:Note">
          <xsd:maxLength value="255"/>
        </xsd:restriction>
      </xsd:simpleType>
    </xsd:element>
    <xsd:element name="Project_x0020_Name" ma:index="12" ma:displayName="Project Name" ma:indexed="true" ma:list="ea9d2e7b-f358-497f-a9a7-5b1fd6872dc8" ma:internalName="Project_x0020_Name"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1d789192-d440-4471-a989-5a7dd6ad192c" elementFormDefault="qualified">
    <xsd:import namespace="http://schemas.microsoft.com/office/2006/documentManagement/types"/>
    <xsd:import namespace="http://schemas.microsoft.com/office/infopath/2007/PartnerControls"/>
    <xsd:element name="_dlc_DocId" ma:index="13" nillable="true" ma:displayName="Document ID Value" ma:description="The value of the document ID assigned to this item." ma:internalName="_dlc_DocId" ma:readOnly="true">
      <xsd:simpleType>
        <xsd:restriction base="dms:Text"/>
      </xsd:simpleType>
    </xsd:element>
    <xsd:element name="_dlc_DocIdUrl" ma:index="1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5"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83E334-9FC4-4297-9E06-4A3792FFE5C7}">
  <ds:schemaRefs>
    <ds:schemaRef ds:uri="http://schemas.microsoft.com/sharepoint/events"/>
  </ds:schemaRefs>
</ds:datastoreItem>
</file>

<file path=customXml/itemProps2.xml><?xml version="1.0" encoding="utf-8"?>
<ds:datastoreItem xmlns:ds="http://schemas.openxmlformats.org/officeDocument/2006/customXml" ds:itemID="{EE458D91-9753-443F-903B-1695F92CA7ED}">
  <ds:schemaRefs>
    <ds:schemaRef ds:uri="http://purl.org/dc/terms/"/>
    <ds:schemaRef ds:uri="http://schemas.microsoft.com/office/infopath/2007/PartnerControls"/>
    <ds:schemaRef ds:uri="http://www.w3.org/XML/1998/namespace"/>
    <ds:schemaRef ds:uri="http://schemas.microsoft.com/office/2006/documentManagement/types"/>
    <ds:schemaRef ds:uri="e2407df2-5f0b-4deb-ad02-627d103c6338"/>
    <ds:schemaRef ds:uri="http://schemas.microsoft.com/office/2006/metadata/properties"/>
    <ds:schemaRef ds:uri="fff65502-55a0-4826-9cd7-4f8676fca0ec"/>
    <ds:schemaRef ds:uri="http://purl.org/dc/elements/1.1/"/>
    <ds:schemaRef ds:uri="http://schemas.openxmlformats.org/package/2006/metadata/core-properties"/>
    <ds:schemaRef ds:uri="1d789192-d440-4471-a989-5a7dd6ad192c"/>
    <ds:schemaRef ds:uri="http://purl.org/dc/dcmitype/"/>
  </ds:schemaRefs>
</ds:datastoreItem>
</file>

<file path=customXml/itemProps3.xml><?xml version="1.0" encoding="utf-8"?>
<ds:datastoreItem xmlns:ds="http://schemas.openxmlformats.org/officeDocument/2006/customXml" ds:itemID="{524BAE5D-E2A3-4B3C-B7AE-96999EA88C92}">
  <ds:schemaRefs>
    <ds:schemaRef ds:uri="http://schemas.microsoft.com/sharepoint/v3/contenttype/forms"/>
  </ds:schemaRefs>
</ds:datastoreItem>
</file>

<file path=customXml/itemProps4.xml><?xml version="1.0" encoding="utf-8"?>
<ds:datastoreItem xmlns:ds="http://schemas.openxmlformats.org/officeDocument/2006/customXml" ds:itemID="{59648895-6866-4980-9935-5F195AA345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407df2-5f0b-4deb-ad02-627d103c6338"/>
    <ds:schemaRef ds:uri="fff65502-55a0-4826-9cd7-4f8676fca0ec"/>
    <ds:schemaRef ds:uri="1d789192-d440-4471-a989-5a7dd6ad19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38</vt:i4>
      </vt:variant>
    </vt:vector>
  </HeadingPairs>
  <TitlesOfParts>
    <vt:vector size="52" baseType="lpstr">
      <vt:lpstr>User's Guide</vt:lpstr>
      <vt:lpstr>Activity Description</vt:lpstr>
      <vt:lpstr>ERR &amp; Sensitivity Analysis</vt:lpstr>
      <vt:lpstr>Cost-Benefit Summary</vt:lpstr>
      <vt:lpstr>Dollar Conversion</vt:lpstr>
      <vt:lpstr>Endemic Assumptions</vt:lpstr>
      <vt:lpstr>Endemic Benefits</vt:lpstr>
      <vt:lpstr>Epidemic Assumptions</vt:lpstr>
      <vt:lpstr> Epidemic Benefits</vt:lpstr>
      <vt:lpstr>Geral FISP</vt:lpstr>
      <vt:lpstr>MCC Costs</vt:lpstr>
      <vt:lpstr>Crystal Ball Sensitivity</vt:lpstr>
      <vt:lpstr>Charts</vt:lpstr>
      <vt:lpstr>Poverty Scorecard</vt:lpstr>
      <vt:lpstr>'Epidemic Assumptions'!leaves_dropped_by_tree_per_yr</vt:lpstr>
      <vt:lpstr>leaves_dropped_by_tree_per_yr</vt:lpstr>
      <vt:lpstr>leaves_needed_per_mat</vt:lpstr>
      <vt:lpstr>Net_income_ha__Pigeon_Pea</vt:lpstr>
      <vt:lpstr>Net_income_ha_Cowpea</vt:lpstr>
      <vt:lpstr>Net_income_ha_Groundnut</vt:lpstr>
      <vt:lpstr>Net_income_ha_Pinapple</vt:lpstr>
      <vt:lpstr>'Endemic Assumptions'!net_income_ha_sesame</vt:lpstr>
      <vt:lpstr>Net_income_ha_Sesame</vt:lpstr>
      <vt:lpstr>'Epidemic Assumptions'!No_fruits_for_1_kg_copra</vt:lpstr>
      <vt:lpstr>No_fruits_for_1_kg_copra</vt:lpstr>
      <vt:lpstr>'Epidemic Assumptions'!No_trees_per_ha</vt:lpstr>
      <vt:lpstr>Number_ha_intercropped_yrs_1_to_5</vt:lpstr>
      <vt:lpstr>Number_ha_intercropped_yrs_2_to_5</vt:lpstr>
      <vt:lpstr>'Epidemic Assumptions'!Number_of_estates_trees</vt:lpstr>
      <vt:lpstr>'Epidemic Assumptions'!Number_of_fertilized_trees_fruits_per_year</vt:lpstr>
      <vt:lpstr>Number_of_fertilized_trees_fruits_per_year</vt:lpstr>
      <vt:lpstr>'Epidemic Assumptions'!Number_seedlings_replaced_yr_2</vt:lpstr>
      <vt:lpstr>'Epidemic Assumptions'!Number_seedlings_replaced_yr_3</vt:lpstr>
      <vt:lpstr>'Epidemic Assumptions'!Number_seedlings_replaced_yr_4</vt:lpstr>
      <vt:lpstr>'Epidemic Assumptions'!Number_seedlings_replaced_yr_5</vt:lpstr>
      <vt:lpstr>Percent_ha_as_Chickpea</vt:lpstr>
      <vt:lpstr>Percent_ha_as_Cowpea</vt:lpstr>
      <vt:lpstr>Percent_ha_as_Groundnut</vt:lpstr>
      <vt:lpstr>Percent_ha_as_Pineapple</vt:lpstr>
      <vt:lpstr>'Epidemic Assumptions'!Percent_yield_for_Copra</vt:lpstr>
      <vt:lpstr>Percent_yield_for_Copra</vt:lpstr>
      <vt:lpstr>'Epidemic Assumptions'!Percent_yield_for_justcoconutitself</vt:lpstr>
      <vt:lpstr>Percent_yield_for_justcoconutitself</vt:lpstr>
      <vt:lpstr>'Epidemic Assumptions'!Percent_yield_for_milk</vt:lpstr>
      <vt:lpstr>'Epidemic Assumptions'!Price_dry_copra_per_kg__MTn</vt:lpstr>
      <vt:lpstr>'Epidemic Assumptions'!Price_green_copra_per_kg__MTn</vt:lpstr>
      <vt:lpstr>Price_green_copra_per_kg__MTn</vt:lpstr>
      <vt:lpstr>'Epidemic Assumptions'!Price_per_coconut__MTn</vt:lpstr>
      <vt:lpstr>Price_per_coconut__MTn</vt:lpstr>
      <vt:lpstr>'Epidemic Assumptions'!Price_per_mat_MTn</vt:lpstr>
      <vt:lpstr>Price_per_mat_MTn</vt:lpstr>
      <vt:lpstr>'Epidemic Assumptions'!trees_per_ha</vt:lpstr>
    </vt:vector>
  </TitlesOfParts>
  <Company>MCC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FISP ERRs</dc:title>
  <dc:creator>Millennium Challenge Corporation</dc:creator>
  <cp:lastModifiedBy>mcc</cp:lastModifiedBy>
  <cp:lastPrinted>2010-10-27T08:25:39Z</cp:lastPrinted>
  <dcterms:created xsi:type="dcterms:W3CDTF">2007-04-10T21:12:28Z</dcterms:created>
  <dcterms:modified xsi:type="dcterms:W3CDTF">2014-10-21T19:15:46Z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397d7e49-981d-4239-8743-27854c1c7c12</vt:lpwstr>
  </property>
  <property fmtid="{D5CDD505-2E9C-101B-9397-08002B2CF9AE}" pid="3" name="ContentTypeId">
    <vt:lpwstr>0x010100EFAB96936EF0AA4AB2F59F51761C0FDD</vt:lpwstr>
  </property>
</Properties>
</file>