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_divisions\Economic Analysis\Country Work\Morocco\ERR\Web Version Work\14 Oct\"/>
    </mc:Choice>
  </mc:AlternateContent>
  <bookViews>
    <workbookView xWindow="-195" yWindow="-15" windowWidth="15195" windowHeight="7905" tabRatio="803" firstSheet="4" activeTab="4"/>
  </bookViews>
  <sheets>
    <sheet name="User's Guide" sheetId="17" r:id="rId1"/>
    <sheet name="Project Description" sheetId="14" r:id="rId2"/>
    <sheet name="ERR &amp; Sensitivity Analysis" sheetId="15" r:id="rId3"/>
    <sheet name="Cost Benefit Summary" sheetId="18" r:id="rId4"/>
    <sheet name="ERR Summary" sheetId="7" r:id="rId5"/>
    <sheet name="ooc2 DFP" sheetId="16" r:id="rId6"/>
    <sheet name="Hypotheses - Assumptions" sheetId="6" r:id="rId7"/>
    <sheet name="Fundamentals" sheetId="1" r:id="rId8"/>
    <sheet name="Value Chain" sheetId="5" r:id="rId9"/>
    <sheet name="MG Unit Model 2" sheetId="9" r:id="rId10"/>
    <sheet name="Cash Flow" sheetId="11" r:id="rId11"/>
    <sheet name="Disaggregated ERR" sheetId="12"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Tab1" localSheetId="0">#REF!</definedName>
    <definedName name="_Tab1">#REF!</definedName>
    <definedName name="_Tab2" localSheetId="0">#REF!</definedName>
    <definedName name="_Tab2">#REF!</definedName>
    <definedName name="_Tab3">#REF!</definedName>
    <definedName name="_Tab4">#REF!</definedName>
    <definedName name="Adopter_Expansion" localSheetId="0">'[1]Cost and Benefit Summary'!$D$76</definedName>
    <definedName name="Adopter_Expansion">'[2]Cost and Benefit Summary'!$D$76</definedName>
    <definedName name="adoption_rate">#REF!</definedName>
    <definedName name="AF">[3]AGENT!#REF!</definedName>
    <definedName name="affec">'[4].'!$A$38:$A$79</definedName>
    <definedName name="ALIAS">#REF!</definedName>
    <definedName name="as">#REF!</definedName>
    <definedName name="AUG">'[5].'!$A$38:$A$79</definedName>
    <definedName name="BaseReturn">#REF!</definedName>
    <definedName name="Basic_Assumptions_and_Info" localSheetId="0">'[6]Assumptions and Basic Info'!$B$2</definedName>
    <definedName name="Basic_Assumptions_and_Info">'[7]Assumptions and Basic Info'!$B$2</definedName>
    <definedName name="CBWorkbookPriority" localSheetId="0" hidden="1">-2100938669</definedName>
    <definedName name="CBWorkbookPriority" hidden="1">-1623304922</definedName>
    <definedName name="Charges_et_recettes">#REF!</definedName>
    <definedName name="Class1_wo_expt">#REF!</definedName>
    <definedName name="Class2_wo_expt">#REF!</definedName>
    <definedName name="Class3_wo_expt">#REF!</definedName>
    <definedName name="CR_10_ans">#REF!</definedName>
    <definedName name="dd">#REF!</definedName>
    <definedName name="death_rate_stage_III_T" localSheetId="0">'[8]Diabetes Costs &amp; Benefits'!$C$26</definedName>
    <definedName name="death_rate_stage_III_T">'[9]Diabetes Costs &amp; Benefits'!$C$26</definedName>
    <definedName name="death_rate_stage_III_UT" localSheetId="0">'[8]Diabetes Costs &amp; Benefits'!$C$25</definedName>
    <definedName name="death_rate_stage_III_UT">'[9]Diabetes Costs &amp; Benefits'!$C$25</definedName>
    <definedName name="death_rate_stage_IV_T" localSheetId="0">'[8]Hypertension Costs &amp; Benefits'!$C$28</definedName>
    <definedName name="death_rate_stage_IV_T">'[9]Hypertension Costs &amp; Benefits'!$C$28</definedName>
    <definedName name="death_rate_stage_IV_UT" localSheetId="0">'[8]Hypertension Costs &amp; Benefits'!$C$27</definedName>
    <definedName name="death_rate_stage_IV_UT">'[9]Hypertension Costs &amp; Benefits'!$C$27</definedName>
    <definedName name="DESAGRAFFEUSE">#REF!</definedName>
    <definedName name="df">#REF!</definedName>
    <definedName name="Discount_Rate">#REF!</definedName>
    <definedName name="drip_adoption_rate">#REF!</definedName>
    <definedName name="equity">#REF!</definedName>
    <definedName name="exrate">#REF!</definedName>
    <definedName name="farmIrrha">#REF!</definedName>
    <definedName name="farmsbenefiting">#REF!</definedName>
    <definedName name="FEUTRE">#REF!</definedName>
    <definedName name="gage_adoption_rate">#REF!</definedName>
    <definedName name="hva_only_rate">#REF!</definedName>
    <definedName name="HVATrainCost">#REF!</definedName>
    <definedName name="I_to_II_T_W" localSheetId="0">'[8]Hypertension Costs &amp; Benefits'!$J$82</definedName>
    <definedName name="I_to_II_T_W">'[9]Hypertension Costs &amp; Benefits'!$J$82</definedName>
    <definedName name="I_to_II_T_WO" localSheetId="0">'[8]Hypertension Costs &amp; Benefits'!$J$32</definedName>
    <definedName name="I_to_II_T_WO">'[9]Hypertension Costs &amp; Benefits'!$J$32</definedName>
    <definedName name="I_to_II_UT" localSheetId="0">'[8]Hypertension Costs &amp; Benefits'!$E$32</definedName>
    <definedName name="I_to_II_UT">'[9]Hypertension Costs &amp; Benefits'!$E$32</definedName>
    <definedName name="II_t0_III_T_WO" localSheetId="0">'[8]Hypertension Costs &amp; Benefits'!$J$33</definedName>
    <definedName name="II_t0_III_T_WO">'[9]Hypertension Costs &amp; Benefits'!$J$33</definedName>
    <definedName name="II_t0_III_UT" localSheetId="0">'[8]Hypertension Costs &amp; Benefits'!$E$33</definedName>
    <definedName name="II_t0_III_UT">'[9]Hypertension Costs &amp; Benefits'!$E$33</definedName>
    <definedName name="II_to_III_T_W" localSheetId="0">'[8]Hypertension Costs &amp; Benefits'!$J$83</definedName>
    <definedName name="II_to_III_T_W">'[9]Hypertension Costs &amp; Benefits'!$J$83</definedName>
    <definedName name="II_to_III_UT" localSheetId="0">'[8]Diabetes Costs &amp; Benefits'!$E$31</definedName>
    <definedName name="II_to_III_UT">'[9]Diabetes Costs &amp; Benefits'!$E$31</definedName>
    <definedName name="III_to_IV_T_W" localSheetId="0">'[8]Hypertension Costs &amp; Benefits'!$J$84</definedName>
    <definedName name="III_to_IV_T_W">'[9]Hypertension Costs &amp; Benefits'!$J$84</definedName>
    <definedName name="III_to_IV_T_WO" localSheetId="0">'[8]Hypertension Costs &amp; Benefits'!$J$34</definedName>
    <definedName name="III_to_IV_T_WO">'[9]Hypertension Costs &amp; Benefits'!$J$34</definedName>
    <definedName name="III_to_IV_UT" localSheetId="0">'[8]Hypertension Costs &amp; Benefits'!$E$34</definedName>
    <definedName name="III_to_IV_UT">'[9]Hypertension Costs &amp; Benefits'!$E$34</definedName>
    <definedName name="IMPRESSION">#REF!</definedName>
    <definedName name="income_p" localSheetId="0">'[8]Hypertension Costs &amp; Benefits'!$E$6</definedName>
    <definedName name="income_p">'[9]Hypertension Costs &amp; Benefits'!$E$6</definedName>
    <definedName name="inte">#REF!</definedName>
    <definedName name="invest_drip">#REF!</definedName>
    <definedName name="invest_dripHVA">#REF!</definedName>
    <definedName name="invest_gage">#REF!</definedName>
    <definedName name="invest_gageHVA">#REF!</definedName>
    <definedName name="invest_HVA">#REF!</definedName>
    <definedName name="invest_monitor">#REF!</definedName>
    <definedName name="invest_monitorHVA">#REF!</definedName>
    <definedName name="InvestBase">#REF!</definedName>
    <definedName name="irrigation_and_HVA_rate">#REF!</definedName>
    <definedName name="irrigation_only_rate">#REF!</definedName>
    <definedName name="IrrTrainCost">#REF!</definedName>
    <definedName name="Land_Holding_Adj" localSheetId="0">'[1]Cost and Benefit Summary'!$D$78</definedName>
    <definedName name="Land_Holding_Adj">'[2]Cost and Benefit Summary'!$D$78</definedName>
    <definedName name="lett">#REF!</definedName>
    <definedName name="MarketingMaturity">#REF!</definedName>
    <definedName name="MarketingReturn">#REF!</definedName>
    <definedName name="MLE">[3]AGENT!#REF!</definedName>
    <definedName name="monitor_adoption_rate">#REF!</definedName>
    <definedName name="nbre">#REF!</definedName>
    <definedName name="NEZHA">[10]AGENT!#REF!</definedName>
    <definedName name="ns">#REF!</definedName>
    <definedName name="OCC" localSheetId="0">[1]Zone1!$F$6</definedName>
    <definedName name="OCC">[2]Zone1!$F$6</definedName>
    <definedName name="op_drip">#REF!</definedName>
    <definedName name="op_dripHVA">#REF!</definedName>
    <definedName name="op_gage">#REF!</definedName>
    <definedName name="op_gageHVA">#REF!</definedName>
    <definedName name="op_HVA">#REF!</definedName>
    <definedName name="op_monitor">#REF!</definedName>
    <definedName name="op_monitorHVA">#REF!</definedName>
    <definedName name="PAPIER_FORT">#REF!</definedName>
    <definedName name="photoA3">#REF!</definedName>
    <definedName name="photocopie">#REF!</definedName>
    <definedName name="pop_growth" localSheetId="0">'[8]Hypertension Costs &amp; Benefits'!$C$5</definedName>
    <definedName name="pop_growth">'[9]Hypertension Costs &amp; Benefits'!$C$5</definedName>
    <definedName name="POUBELLE">#REF!</definedName>
    <definedName name="_xlnm.Print_Area" localSheetId="7">Fundamentals!$A$1:$T$83</definedName>
    <definedName name="ProcessingMaturity" localSheetId="0">#REF!</definedName>
    <definedName name="ProcessingMaturity">#REF!</definedName>
    <definedName name="projadmin" localSheetId="0">#REF!</definedName>
    <definedName name="projadmin">#REF!</definedName>
    <definedName name="REPERTOIRE" localSheetId="0">#REF!</definedName>
    <definedName name="REPERTOIRE">#REF!</definedName>
    <definedName name="Résultat">#REF!</definedName>
    <definedName name="Résultats">#REF!</definedName>
    <definedName name="rev_drip">#REF!</definedName>
    <definedName name="rev_dripHVA">#REF!</definedName>
    <definedName name="rev_gage">#REF!</definedName>
    <definedName name="rev_gageHVA">#REF!</definedName>
    <definedName name="rev_HVA">#REF!</definedName>
    <definedName name="rev_monitor">#REF!</definedName>
    <definedName name="rev_monitorHVA">#REF!</definedName>
    <definedName name="Sup1.1">#REF!</definedName>
    <definedName name="Sup1.2">#REF!</definedName>
    <definedName name="Sup1.3">#REF!</definedName>
    <definedName name="Sup1.4">#REF!</definedName>
    <definedName name="Sup1.5">#REF!</definedName>
    <definedName name="Sup1.6">#REF!</definedName>
    <definedName name="Sup1.7">#REF!</definedName>
    <definedName name="Sup1.8">#REF!</definedName>
    <definedName name="Tab_1" localSheetId="0">'[11]Scheme 01'!$B$2</definedName>
    <definedName name="Tab_1">'[12]Scheme 01'!$B$2</definedName>
    <definedName name="Tab1a" localSheetId="0">#REF!</definedName>
    <definedName name="Tab1a">#REF!</definedName>
    <definedName name="Tab2a" localSheetId="0">#REF!</definedName>
    <definedName name="Tab2a">#REF!</definedName>
    <definedName name="Tab3a" localSheetId="0">#REF!</definedName>
    <definedName name="Tab3a">#REF!</definedName>
    <definedName name="Tab4a">#REF!</definedName>
    <definedName name="TabA1" localSheetId="0">'[6]Irrigation Summary'!$B$2</definedName>
    <definedName name="TabA1">'[7]Irrigation Summary'!$B$2</definedName>
    <definedName name="TabA2" localSheetId="0">'[6]Irrigation Summary'!$B$488</definedName>
    <definedName name="TabA2">'[7]Irrigation Summary'!$B$488</definedName>
    <definedName name="TRANS_PHOTOC" localSheetId="0">#REF!</definedName>
    <definedName name="TRANS_PHOTOC">#REF!</definedName>
    <definedName name="wrn.EXPANSION." localSheetId="10" hidden="1">{#N/A,#N/A,FALSE,"INVEST-SUP";#N/A,#N/A,FALSE,"GRILLEC";#N/A,#N/A,FALSE,"HYPER"}</definedName>
    <definedName name="wrn.EXPANSION." localSheetId="0" hidden="1">{#N/A,#N/A,FALSE,"INVEST-SUP";#N/A,#N/A,FALSE,"GRILLEC";#N/A,#N/A,FALSE,"HYPER"}</definedName>
    <definedName name="wrn.EXPANSION." hidden="1">{#N/A,#N/A,FALSE,"INVEST-SUP";#N/A,#N/A,FALSE,"GRILLEC";#N/A,#N/A,FALSE,"HYPER"}</definedName>
  </definedNames>
  <calcPr calcId="152511"/>
</workbook>
</file>

<file path=xl/calcChain.xml><?xml version="1.0" encoding="utf-8"?>
<calcChain xmlns="http://schemas.openxmlformats.org/spreadsheetml/2006/main">
  <c r="AA149" i="16" l="1"/>
  <c r="G149" i="16"/>
  <c r="AC149" i="16"/>
  <c r="AC555" i="16"/>
  <c r="AC556" i="16" s="1"/>
  <c r="C13" i="18" l="1"/>
  <c r="B1" i="18"/>
  <c r="B9" i="9" l="1"/>
  <c r="AF149" i="16"/>
  <c r="C41" i="7" s="1"/>
  <c r="H41" i="7" l="1"/>
  <c r="H42" i="7" s="1"/>
  <c r="D41" i="7"/>
  <c r="D42" i="7" s="1"/>
  <c r="E41" i="7"/>
  <c r="E42" i="7" s="1"/>
  <c r="F41" i="7"/>
  <c r="F42" i="7" s="1"/>
  <c r="G41" i="7"/>
  <c r="G42" i="7" s="1"/>
  <c r="D40" i="7"/>
  <c r="D4" i="7" s="1"/>
  <c r="E39" i="7"/>
  <c r="E40" i="7" s="1"/>
  <c r="E4" i="7" s="1"/>
  <c r="F39" i="7"/>
  <c r="F40" i="7" s="1"/>
  <c r="G39" i="7"/>
  <c r="G40" i="7" s="1"/>
  <c r="H39" i="7"/>
  <c r="H40" i="7" s="1"/>
  <c r="H4" i="7" s="1"/>
  <c r="D39" i="7"/>
  <c r="F4" i="7" l="1"/>
  <c r="D105" i="9"/>
  <c r="G105" i="9"/>
  <c r="H13" i="18"/>
  <c r="B44" i="7"/>
  <c r="C105" i="9"/>
  <c r="C104" i="9" s="1"/>
  <c r="G4" i="7"/>
  <c r="E105" i="9"/>
  <c r="F13" i="18"/>
  <c r="AC554" i="16"/>
  <c r="AF430" i="16" s="1"/>
  <c r="G554" i="16"/>
  <c r="F554" i="16"/>
  <c r="C554" i="16"/>
  <c r="G552" i="16"/>
  <c r="F552" i="16"/>
  <c r="E552" i="16"/>
  <c r="D552" i="16"/>
  <c r="C552" i="16"/>
  <c r="G551" i="16"/>
  <c r="F551" i="16"/>
  <c r="E551" i="16"/>
  <c r="D551" i="16"/>
  <c r="C551" i="16"/>
  <c r="G550" i="16"/>
  <c r="F550" i="16"/>
  <c r="E550" i="16"/>
  <c r="D550" i="16"/>
  <c r="C550" i="16"/>
  <c r="G549" i="16"/>
  <c r="F549" i="16"/>
  <c r="E549" i="16"/>
  <c r="D549" i="16"/>
  <c r="C549" i="16"/>
  <c r="G548" i="16"/>
  <c r="F548" i="16"/>
  <c r="E548" i="16"/>
  <c r="D548" i="16"/>
  <c r="C548" i="16"/>
  <c r="G547" i="16"/>
  <c r="F547" i="16"/>
  <c r="E547" i="16"/>
  <c r="D547" i="16"/>
  <c r="C547" i="16"/>
  <c r="G546" i="16"/>
  <c r="F546" i="16"/>
  <c r="E546" i="16"/>
  <c r="D546" i="16"/>
  <c r="C546" i="16"/>
  <c r="G545" i="16"/>
  <c r="F545" i="16"/>
  <c r="E545" i="16"/>
  <c r="D545" i="16"/>
  <c r="C545" i="16"/>
  <c r="G544" i="16"/>
  <c r="F544" i="16"/>
  <c r="E544" i="16"/>
  <c r="D544" i="16"/>
  <c r="C544" i="16"/>
  <c r="G543" i="16"/>
  <c r="F543" i="16"/>
  <c r="E543" i="16"/>
  <c r="D543" i="16"/>
  <c r="C543" i="16"/>
  <c r="G542" i="16"/>
  <c r="F542" i="16"/>
  <c r="E542" i="16"/>
  <c r="D542" i="16"/>
  <c r="C542" i="16"/>
  <c r="G541" i="16"/>
  <c r="F541" i="16"/>
  <c r="E541" i="16"/>
  <c r="D541" i="16"/>
  <c r="C541" i="16"/>
  <c r="G540" i="16"/>
  <c r="F540" i="16"/>
  <c r="E540" i="16"/>
  <c r="D540" i="16"/>
  <c r="C540" i="16"/>
  <c r="G539" i="16"/>
  <c r="F539" i="16"/>
  <c r="E539" i="16"/>
  <c r="D539" i="16"/>
  <c r="C539" i="16"/>
  <c r="G538" i="16"/>
  <c r="F538" i="16"/>
  <c r="E538" i="16"/>
  <c r="D538" i="16"/>
  <c r="C538" i="16"/>
  <c r="G537" i="16"/>
  <c r="F537" i="16"/>
  <c r="E537" i="16"/>
  <c r="D537" i="16"/>
  <c r="C537" i="16"/>
  <c r="G536" i="16"/>
  <c r="F536" i="16"/>
  <c r="E536" i="16"/>
  <c r="D536" i="16"/>
  <c r="C536" i="16"/>
  <c r="G535" i="16"/>
  <c r="F535" i="16"/>
  <c r="E535" i="16"/>
  <c r="D535" i="16"/>
  <c r="C535" i="16"/>
  <c r="G534" i="16"/>
  <c r="F534" i="16"/>
  <c r="E534" i="16"/>
  <c r="D534" i="16"/>
  <c r="C534" i="16"/>
  <c r="G533" i="16"/>
  <c r="F533" i="16"/>
  <c r="E533" i="16"/>
  <c r="D533" i="16"/>
  <c r="C533" i="16"/>
  <c r="G532" i="16"/>
  <c r="F532" i="16"/>
  <c r="E532" i="16"/>
  <c r="D532" i="16"/>
  <c r="C532" i="16"/>
  <c r="G531" i="16"/>
  <c r="F531" i="16"/>
  <c r="E531" i="16"/>
  <c r="D531" i="16"/>
  <c r="C531" i="16"/>
  <c r="G530" i="16"/>
  <c r="F530" i="16"/>
  <c r="E530" i="16"/>
  <c r="D530" i="16"/>
  <c r="C530" i="16"/>
  <c r="G529" i="16"/>
  <c r="F529" i="16"/>
  <c r="E529" i="16"/>
  <c r="D529" i="16"/>
  <c r="C529" i="16"/>
  <c r="G528" i="16"/>
  <c r="F528" i="16"/>
  <c r="E528" i="16"/>
  <c r="D528" i="16"/>
  <c r="C528" i="16"/>
  <c r="G527" i="16"/>
  <c r="F527" i="16"/>
  <c r="E527" i="16"/>
  <c r="D527" i="16"/>
  <c r="C527" i="16"/>
  <c r="G526" i="16"/>
  <c r="F526" i="16"/>
  <c r="E526" i="16"/>
  <c r="D526" i="16"/>
  <c r="C526" i="16"/>
  <c r="G525" i="16"/>
  <c r="F525" i="16"/>
  <c r="E525" i="16"/>
  <c r="D525" i="16"/>
  <c r="C525" i="16"/>
  <c r="G524" i="16"/>
  <c r="F524" i="16"/>
  <c r="E524" i="16"/>
  <c r="D524" i="16"/>
  <c r="C524" i="16"/>
  <c r="G523" i="16"/>
  <c r="F523" i="16"/>
  <c r="E523" i="16"/>
  <c r="D523" i="16"/>
  <c r="C523" i="16"/>
  <c r="G522" i="16"/>
  <c r="F522" i="16"/>
  <c r="E522" i="16"/>
  <c r="D522" i="16"/>
  <c r="C522" i="16"/>
  <c r="G521" i="16"/>
  <c r="F521" i="16"/>
  <c r="E521" i="16"/>
  <c r="D521" i="16"/>
  <c r="C521" i="16"/>
  <c r="G520" i="16"/>
  <c r="F520" i="16"/>
  <c r="E520" i="16"/>
  <c r="D520" i="16"/>
  <c r="C520" i="16"/>
  <c r="G519" i="16"/>
  <c r="F519" i="16"/>
  <c r="E519" i="16"/>
  <c r="D519" i="16"/>
  <c r="C519" i="16"/>
  <c r="G518" i="16"/>
  <c r="F518" i="16"/>
  <c r="E518" i="16"/>
  <c r="D518" i="16"/>
  <c r="C518" i="16"/>
  <c r="G517" i="16"/>
  <c r="F517" i="16"/>
  <c r="E517" i="16"/>
  <c r="D517" i="16"/>
  <c r="C517" i="16"/>
  <c r="G516" i="16"/>
  <c r="F516" i="16"/>
  <c r="E516" i="16"/>
  <c r="D516" i="16"/>
  <c r="C516" i="16"/>
  <c r="G515" i="16"/>
  <c r="F515" i="16"/>
  <c r="E515" i="16"/>
  <c r="D515" i="16"/>
  <c r="C515" i="16"/>
  <c r="G514" i="16"/>
  <c r="F514" i="16"/>
  <c r="E514" i="16"/>
  <c r="D514" i="16"/>
  <c r="C514" i="16"/>
  <c r="G513" i="16"/>
  <c r="F513" i="16"/>
  <c r="E513" i="16"/>
  <c r="D513" i="16"/>
  <c r="C513" i="16"/>
  <c r="G512" i="16"/>
  <c r="F512" i="16"/>
  <c r="E512" i="16"/>
  <c r="D512" i="16"/>
  <c r="C512" i="16"/>
  <c r="G511" i="16"/>
  <c r="F511" i="16"/>
  <c r="E511" i="16"/>
  <c r="D511" i="16"/>
  <c r="C511" i="16"/>
  <c r="G510" i="16"/>
  <c r="F510" i="16"/>
  <c r="E510" i="16"/>
  <c r="D510" i="16"/>
  <c r="C510" i="16"/>
  <c r="G509" i="16"/>
  <c r="F509" i="16"/>
  <c r="E509" i="16"/>
  <c r="D509" i="16"/>
  <c r="C509" i="16"/>
  <c r="G508" i="16"/>
  <c r="F508" i="16"/>
  <c r="E508" i="16"/>
  <c r="D508" i="16"/>
  <c r="C508" i="16"/>
  <c r="G507" i="16"/>
  <c r="F507" i="16"/>
  <c r="E507" i="16"/>
  <c r="D507" i="16"/>
  <c r="C507" i="16"/>
  <c r="G506" i="16"/>
  <c r="F506" i="16"/>
  <c r="E506" i="16"/>
  <c r="D506" i="16"/>
  <c r="C506" i="16"/>
  <c r="G505" i="16"/>
  <c r="F505" i="16"/>
  <c r="E505" i="16"/>
  <c r="D505" i="16"/>
  <c r="C505" i="16"/>
  <c r="G504" i="16"/>
  <c r="F504" i="16"/>
  <c r="E504" i="16"/>
  <c r="D504" i="16"/>
  <c r="C504" i="16"/>
  <c r="G503" i="16"/>
  <c r="F503" i="16"/>
  <c r="E503" i="16"/>
  <c r="D503" i="16"/>
  <c r="C503" i="16"/>
  <c r="G502" i="16"/>
  <c r="F502" i="16"/>
  <c r="E502" i="16"/>
  <c r="D502" i="16"/>
  <c r="C502" i="16"/>
  <c r="G501" i="16"/>
  <c r="F501" i="16"/>
  <c r="E501" i="16"/>
  <c r="D501" i="16"/>
  <c r="C501" i="16"/>
  <c r="G500" i="16"/>
  <c r="F500" i="16"/>
  <c r="E500" i="16"/>
  <c r="D500" i="16"/>
  <c r="C500" i="16"/>
  <c r="G499" i="16"/>
  <c r="F499" i="16"/>
  <c r="E499" i="16"/>
  <c r="D499" i="16"/>
  <c r="C499" i="16"/>
  <c r="G498" i="16"/>
  <c r="F498" i="16"/>
  <c r="E498" i="16"/>
  <c r="D498" i="16"/>
  <c r="C498" i="16"/>
  <c r="G497" i="16"/>
  <c r="F497" i="16"/>
  <c r="E497" i="16"/>
  <c r="D497" i="16"/>
  <c r="C497" i="16"/>
  <c r="G496" i="16"/>
  <c r="F496" i="16"/>
  <c r="E496" i="16"/>
  <c r="D496" i="16"/>
  <c r="C496" i="16"/>
  <c r="G495" i="16"/>
  <c r="F495" i="16"/>
  <c r="E495" i="16"/>
  <c r="D495" i="16"/>
  <c r="C495" i="16"/>
  <c r="G494" i="16"/>
  <c r="F494" i="16"/>
  <c r="E494" i="16"/>
  <c r="D494" i="16"/>
  <c r="C494" i="16"/>
  <c r="G493" i="16"/>
  <c r="F493" i="16"/>
  <c r="E493" i="16"/>
  <c r="D493" i="16"/>
  <c r="C493" i="16"/>
  <c r="G492" i="16"/>
  <c r="F492" i="16"/>
  <c r="E492" i="16"/>
  <c r="D492" i="16"/>
  <c r="C492" i="16"/>
  <c r="G491" i="16"/>
  <c r="F491" i="16"/>
  <c r="E491" i="16"/>
  <c r="D491" i="16"/>
  <c r="C491" i="16"/>
  <c r="G490" i="16"/>
  <c r="F490" i="16"/>
  <c r="E490" i="16"/>
  <c r="D490" i="16"/>
  <c r="C490" i="16"/>
  <c r="G489" i="16"/>
  <c r="F489" i="16"/>
  <c r="E489" i="16"/>
  <c r="D489" i="16"/>
  <c r="C489" i="16"/>
  <c r="G488" i="16"/>
  <c r="F488" i="16"/>
  <c r="E488" i="16"/>
  <c r="D488" i="16"/>
  <c r="C488" i="16"/>
  <c r="G487" i="16"/>
  <c r="F487" i="16"/>
  <c r="E487" i="16"/>
  <c r="D487" i="16"/>
  <c r="C487" i="16"/>
  <c r="G486" i="16"/>
  <c r="F486" i="16"/>
  <c r="E486" i="16"/>
  <c r="D486" i="16"/>
  <c r="C486" i="16"/>
  <c r="G485" i="16"/>
  <c r="F485" i="16"/>
  <c r="E485" i="16"/>
  <c r="D485" i="16"/>
  <c r="C485" i="16"/>
  <c r="G484" i="16"/>
  <c r="F484" i="16"/>
  <c r="E484" i="16"/>
  <c r="D484" i="16"/>
  <c r="C484" i="16"/>
  <c r="G483" i="16"/>
  <c r="F483" i="16"/>
  <c r="E483" i="16"/>
  <c r="D483" i="16"/>
  <c r="C483" i="16"/>
  <c r="G482" i="16"/>
  <c r="F482" i="16"/>
  <c r="E482" i="16"/>
  <c r="D482" i="16"/>
  <c r="C482" i="16"/>
  <c r="G481" i="16"/>
  <c r="F481" i="16"/>
  <c r="E481" i="16"/>
  <c r="D481" i="16"/>
  <c r="C481" i="16"/>
  <c r="G480" i="16"/>
  <c r="F480" i="16"/>
  <c r="E480" i="16"/>
  <c r="D480" i="16"/>
  <c r="C480" i="16"/>
  <c r="G479" i="16"/>
  <c r="F479" i="16"/>
  <c r="E479" i="16"/>
  <c r="D479" i="16"/>
  <c r="C479" i="16"/>
  <c r="G478" i="16"/>
  <c r="F478" i="16"/>
  <c r="E478" i="16"/>
  <c r="D478" i="16"/>
  <c r="C478" i="16"/>
  <c r="G477" i="16"/>
  <c r="F477" i="16"/>
  <c r="E477" i="16"/>
  <c r="D477" i="16"/>
  <c r="C477" i="16"/>
  <c r="G476" i="16"/>
  <c r="F476" i="16"/>
  <c r="E476" i="16"/>
  <c r="D476" i="16"/>
  <c r="C476" i="16"/>
  <c r="G475" i="16"/>
  <c r="F475" i="16"/>
  <c r="E475" i="16"/>
  <c r="D475" i="16"/>
  <c r="C475" i="16"/>
  <c r="G474" i="16"/>
  <c r="F474" i="16"/>
  <c r="E474" i="16"/>
  <c r="D474" i="16"/>
  <c r="C474" i="16"/>
  <c r="G473" i="16"/>
  <c r="F473" i="16"/>
  <c r="E473" i="16"/>
  <c r="D473" i="16"/>
  <c r="C473" i="16"/>
  <c r="G472" i="16"/>
  <c r="F472" i="16"/>
  <c r="E472" i="16"/>
  <c r="D472" i="16"/>
  <c r="C472" i="16"/>
  <c r="G471" i="16"/>
  <c r="F471" i="16"/>
  <c r="E471" i="16"/>
  <c r="D471" i="16"/>
  <c r="C471" i="16"/>
  <c r="G470" i="16"/>
  <c r="F470" i="16"/>
  <c r="E470" i="16"/>
  <c r="D470" i="16"/>
  <c r="C470" i="16"/>
  <c r="G469" i="16"/>
  <c r="F469" i="16"/>
  <c r="E469" i="16"/>
  <c r="D469" i="16"/>
  <c r="C469" i="16"/>
  <c r="G468" i="16"/>
  <c r="F468" i="16"/>
  <c r="E468" i="16"/>
  <c r="D468" i="16"/>
  <c r="C468" i="16"/>
  <c r="G467" i="16"/>
  <c r="F467" i="16"/>
  <c r="E467" i="16"/>
  <c r="D467" i="16"/>
  <c r="C467" i="16"/>
  <c r="G466" i="16"/>
  <c r="F466" i="16"/>
  <c r="E466" i="16"/>
  <c r="D466" i="16"/>
  <c r="C466" i="16"/>
  <c r="G465" i="16"/>
  <c r="F465" i="16"/>
  <c r="E465" i="16"/>
  <c r="D465" i="16"/>
  <c r="C465" i="16"/>
  <c r="G464" i="16"/>
  <c r="F464" i="16"/>
  <c r="E464" i="16"/>
  <c r="D464" i="16"/>
  <c r="C464" i="16"/>
  <c r="G463" i="16"/>
  <c r="F463" i="16"/>
  <c r="E463" i="16"/>
  <c r="D463" i="16"/>
  <c r="C463" i="16"/>
  <c r="G462" i="16"/>
  <c r="F462" i="16"/>
  <c r="E462" i="16"/>
  <c r="D462" i="16"/>
  <c r="C462" i="16"/>
  <c r="G461" i="16"/>
  <c r="F461" i="16"/>
  <c r="E461" i="16"/>
  <c r="D461" i="16"/>
  <c r="C461" i="16"/>
  <c r="G460" i="16"/>
  <c r="F460" i="16"/>
  <c r="E460" i="16"/>
  <c r="D460" i="16"/>
  <c r="C460" i="16"/>
  <c r="G459" i="16"/>
  <c r="F459" i="16"/>
  <c r="E459" i="16"/>
  <c r="D459" i="16"/>
  <c r="C459" i="16"/>
  <c r="G458" i="16"/>
  <c r="F458" i="16"/>
  <c r="E458" i="16"/>
  <c r="D458" i="16"/>
  <c r="C458" i="16"/>
  <c r="G457" i="16"/>
  <c r="F457" i="16"/>
  <c r="E457" i="16"/>
  <c r="D457" i="16"/>
  <c r="C457" i="16"/>
  <c r="G456" i="16"/>
  <c r="F456" i="16"/>
  <c r="E456" i="16"/>
  <c r="D456" i="16"/>
  <c r="C456" i="16"/>
  <c r="G455" i="16"/>
  <c r="F455" i="16"/>
  <c r="E455" i="16"/>
  <c r="D455" i="16"/>
  <c r="C455" i="16"/>
  <c r="G454" i="16"/>
  <c r="F454" i="16"/>
  <c r="E454" i="16"/>
  <c r="D454" i="16"/>
  <c r="C454" i="16"/>
  <c r="G453" i="16"/>
  <c r="F453" i="16"/>
  <c r="E453" i="16"/>
  <c r="D453" i="16"/>
  <c r="C453" i="16"/>
  <c r="G452" i="16"/>
  <c r="F452" i="16"/>
  <c r="E452" i="16"/>
  <c r="D452" i="16"/>
  <c r="C452" i="16"/>
  <c r="G451" i="16"/>
  <c r="F451" i="16"/>
  <c r="E451" i="16"/>
  <c r="D451" i="16"/>
  <c r="C451" i="16"/>
  <c r="G450" i="16"/>
  <c r="F450" i="16"/>
  <c r="E450" i="16"/>
  <c r="D450" i="16"/>
  <c r="C450" i="16"/>
  <c r="G449" i="16"/>
  <c r="F449" i="16"/>
  <c r="E449" i="16"/>
  <c r="D449" i="16"/>
  <c r="C449" i="16"/>
  <c r="G448" i="16"/>
  <c r="F448" i="16"/>
  <c r="E448" i="16"/>
  <c r="D448" i="16"/>
  <c r="C448" i="16"/>
  <c r="G447" i="16"/>
  <c r="F447" i="16"/>
  <c r="E447" i="16"/>
  <c r="D447" i="16"/>
  <c r="C447" i="16"/>
  <c r="G446" i="16"/>
  <c r="F446" i="16"/>
  <c r="E446" i="16"/>
  <c r="D446" i="16"/>
  <c r="C446" i="16"/>
  <c r="G445" i="16"/>
  <c r="F445" i="16"/>
  <c r="E445" i="16"/>
  <c r="D445" i="16"/>
  <c r="C445" i="16"/>
  <c r="G444" i="16"/>
  <c r="F444" i="16"/>
  <c r="E444" i="16"/>
  <c r="D444" i="16"/>
  <c r="C444" i="16"/>
  <c r="G443" i="16"/>
  <c r="F443" i="16"/>
  <c r="E443" i="16"/>
  <c r="D443" i="16"/>
  <c r="C443" i="16"/>
  <c r="G442" i="16"/>
  <c r="F442" i="16"/>
  <c r="E442" i="16"/>
  <c r="D442" i="16"/>
  <c r="C442" i="16"/>
  <c r="G441" i="16"/>
  <c r="F441" i="16"/>
  <c r="E441" i="16"/>
  <c r="D441" i="16"/>
  <c r="C441" i="16"/>
  <c r="AF440" i="16"/>
  <c r="G440" i="16"/>
  <c r="F440" i="16"/>
  <c r="E440" i="16"/>
  <c r="D440" i="16"/>
  <c r="C440" i="16"/>
  <c r="G439" i="16"/>
  <c r="F439" i="16"/>
  <c r="E439" i="16"/>
  <c r="D439" i="16"/>
  <c r="C439" i="16"/>
  <c r="AF438" i="16"/>
  <c r="G438" i="16"/>
  <c r="F438" i="16"/>
  <c r="E438" i="16"/>
  <c r="D438" i="16"/>
  <c r="C438" i="16"/>
  <c r="G437" i="16"/>
  <c r="F437" i="16"/>
  <c r="E437" i="16"/>
  <c r="D437" i="16"/>
  <c r="C437" i="16"/>
  <c r="G436" i="16"/>
  <c r="F436" i="16"/>
  <c r="E436" i="16"/>
  <c r="D436" i="16"/>
  <c r="C436" i="16"/>
  <c r="G435" i="16"/>
  <c r="F435" i="16"/>
  <c r="E435" i="16"/>
  <c r="D435" i="16"/>
  <c r="C435" i="16"/>
  <c r="G434" i="16"/>
  <c r="F434" i="16"/>
  <c r="E434" i="16"/>
  <c r="D434" i="16"/>
  <c r="C434" i="16"/>
  <c r="G433" i="16"/>
  <c r="F433" i="16"/>
  <c r="E433" i="16"/>
  <c r="D433" i="16"/>
  <c r="C433" i="16"/>
  <c r="G432" i="16"/>
  <c r="F432" i="16"/>
  <c r="E432" i="16"/>
  <c r="D432" i="16"/>
  <c r="C432" i="16"/>
  <c r="G431" i="16"/>
  <c r="F431" i="16"/>
  <c r="E431" i="16"/>
  <c r="D431" i="16"/>
  <c r="C431" i="16"/>
  <c r="G430" i="16"/>
  <c r="F430" i="16"/>
  <c r="E430" i="16"/>
  <c r="D430" i="16"/>
  <c r="C430" i="16"/>
  <c r="G429" i="16"/>
  <c r="F429" i="16"/>
  <c r="E429" i="16"/>
  <c r="D429" i="16"/>
  <c r="C429" i="16"/>
  <c r="G428" i="16"/>
  <c r="F428" i="16"/>
  <c r="E428" i="16"/>
  <c r="D428" i="16"/>
  <c r="C428" i="16"/>
  <c r="G427" i="16"/>
  <c r="F427" i="16"/>
  <c r="E427" i="16"/>
  <c r="D427" i="16"/>
  <c r="C427" i="16"/>
  <c r="G426" i="16"/>
  <c r="F426" i="16"/>
  <c r="E426" i="16"/>
  <c r="D426" i="16"/>
  <c r="C426" i="16"/>
  <c r="G425" i="16"/>
  <c r="F425" i="16"/>
  <c r="E425" i="16"/>
  <c r="D425" i="16"/>
  <c r="C425" i="16"/>
  <c r="AF424" i="16"/>
  <c r="G424" i="16"/>
  <c r="F424" i="16"/>
  <c r="E424" i="16"/>
  <c r="D424" i="16"/>
  <c r="C424" i="16"/>
  <c r="G423" i="16"/>
  <c r="F423" i="16"/>
  <c r="E423" i="16"/>
  <c r="D423" i="16"/>
  <c r="C423" i="16"/>
  <c r="AF422" i="16"/>
  <c r="G422" i="16"/>
  <c r="F422" i="16"/>
  <c r="E422" i="16"/>
  <c r="D422" i="16"/>
  <c r="C422" i="16"/>
  <c r="G421" i="16"/>
  <c r="F421" i="16"/>
  <c r="E421" i="16"/>
  <c r="D421" i="16"/>
  <c r="C421" i="16"/>
  <c r="G420" i="16"/>
  <c r="F420" i="16"/>
  <c r="E420" i="16"/>
  <c r="D420" i="16"/>
  <c r="C420" i="16"/>
  <c r="G419" i="16"/>
  <c r="F419" i="16"/>
  <c r="E419" i="16"/>
  <c r="D419" i="16"/>
  <c r="C419" i="16"/>
  <c r="G418" i="16"/>
  <c r="F418" i="16"/>
  <c r="E418" i="16"/>
  <c r="D418" i="16"/>
  <c r="C418" i="16"/>
  <c r="G417" i="16"/>
  <c r="F417" i="16"/>
  <c r="E417" i="16"/>
  <c r="D417" i="16"/>
  <c r="C417" i="16"/>
  <c r="G416" i="16"/>
  <c r="F416" i="16"/>
  <c r="E416" i="16"/>
  <c r="D416" i="16"/>
  <c r="C416" i="16"/>
  <c r="G415" i="16"/>
  <c r="F415" i="16"/>
  <c r="E415" i="16"/>
  <c r="D415" i="16"/>
  <c r="C415" i="16"/>
  <c r="G414" i="16"/>
  <c r="F414" i="16"/>
  <c r="E414" i="16"/>
  <c r="D414" i="16"/>
  <c r="C414" i="16"/>
  <c r="G413" i="16"/>
  <c r="F413" i="16"/>
  <c r="E413" i="16"/>
  <c r="D413" i="16"/>
  <c r="C413" i="16"/>
  <c r="G412" i="16"/>
  <c r="F412" i="16"/>
  <c r="E412" i="16"/>
  <c r="D412" i="16"/>
  <c r="C412" i="16"/>
  <c r="G411" i="16"/>
  <c r="F411" i="16"/>
  <c r="E411" i="16"/>
  <c r="D411" i="16"/>
  <c r="C411" i="16"/>
  <c r="G410" i="16"/>
  <c r="F410" i="16"/>
  <c r="E410" i="16"/>
  <c r="D410" i="16"/>
  <c r="C410" i="16"/>
  <c r="G409" i="16"/>
  <c r="F409" i="16"/>
  <c r="E409" i="16"/>
  <c r="D409" i="16"/>
  <c r="C409" i="16"/>
  <c r="AF408" i="16"/>
  <c r="G408" i="16"/>
  <c r="F408" i="16"/>
  <c r="E408" i="16"/>
  <c r="D408" i="16"/>
  <c r="C408" i="16"/>
  <c r="G407" i="16"/>
  <c r="F407" i="16"/>
  <c r="E407" i="16"/>
  <c r="D407" i="16"/>
  <c r="C407" i="16"/>
  <c r="AF406" i="16"/>
  <c r="G406" i="16"/>
  <c r="F406" i="16"/>
  <c r="E406" i="16"/>
  <c r="D406" i="16"/>
  <c r="C406" i="16"/>
  <c r="G405" i="16"/>
  <c r="F405" i="16"/>
  <c r="E405" i="16"/>
  <c r="D405" i="16"/>
  <c r="C405" i="16"/>
  <c r="G404" i="16"/>
  <c r="F404" i="16"/>
  <c r="E404" i="16"/>
  <c r="D404" i="16"/>
  <c r="C404" i="16"/>
  <c r="G403" i="16"/>
  <c r="F403" i="16"/>
  <c r="E403" i="16"/>
  <c r="D403" i="16"/>
  <c r="C403" i="16"/>
  <c r="G402" i="16"/>
  <c r="F402" i="16"/>
  <c r="E402" i="16"/>
  <c r="D402" i="16"/>
  <c r="C402" i="16"/>
  <c r="G401" i="16"/>
  <c r="F401" i="16"/>
  <c r="E401" i="16"/>
  <c r="D401" i="16"/>
  <c r="C401" i="16"/>
  <c r="G400" i="16"/>
  <c r="F400" i="16"/>
  <c r="E400" i="16"/>
  <c r="D400" i="16"/>
  <c r="C400" i="16"/>
  <c r="G399" i="16"/>
  <c r="F399" i="16"/>
  <c r="E399" i="16"/>
  <c r="D399" i="16"/>
  <c r="C399" i="16"/>
  <c r="G398" i="16"/>
  <c r="F398" i="16"/>
  <c r="E398" i="16"/>
  <c r="D398" i="16"/>
  <c r="C398" i="16"/>
  <c r="G397" i="16"/>
  <c r="F397" i="16"/>
  <c r="E397" i="16"/>
  <c r="D397" i="16"/>
  <c r="C397" i="16"/>
  <c r="G396" i="16"/>
  <c r="F396" i="16"/>
  <c r="E396" i="16"/>
  <c r="D396" i="16"/>
  <c r="C396" i="16"/>
  <c r="G395" i="16"/>
  <c r="F395" i="16"/>
  <c r="E395" i="16"/>
  <c r="D395" i="16"/>
  <c r="C395" i="16"/>
  <c r="G394" i="16"/>
  <c r="F394" i="16"/>
  <c r="E394" i="16"/>
  <c r="D394" i="16"/>
  <c r="C394" i="16"/>
  <c r="G393" i="16"/>
  <c r="F393" i="16"/>
  <c r="E393" i="16"/>
  <c r="D393" i="16"/>
  <c r="C393" i="16"/>
  <c r="AF392" i="16"/>
  <c r="G392" i="16"/>
  <c r="F392" i="16"/>
  <c r="E392" i="16"/>
  <c r="D392" i="16"/>
  <c r="C392" i="16"/>
  <c r="G391" i="16"/>
  <c r="F391" i="16"/>
  <c r="E391" i="16"/>
  <c r="D391" i="16"/>
  <c r="C391" i="16"/>
  <c r="AF390" i="16"/>
  <c r="G390" i="16"/>
  <c r="F390" i="16"/>
  <c r="E390" i="16"/>
  <c r="D390" i="16"/>
  <c r="C390" i="16"/>
  <c r="G389" i="16"/>
  <c r="F389" i="16"/>
  <c r="E389" i="16"/>
  <c r="D389" i="16"/>
  <c r="C389" i="16"/>
  <c r="G388" i="16"/>
  <c r="F388" i="16"/>
  <c r="E388" i="16"/>
  <c r="D388" i="16"/>
  <c r="C388" i="16"/>
  <c r="G387" i="16"/>
  <c r="F387" i="16"/>
  <c r="E387" i="16"/>
  <c r="D387" i="16"/>
  <c r="C387" i="16"/>
  <c r="G386" i="16"/>
  <c r="F386" i="16"/>
  <c r="E386" i="16"/>
  <c r="D386" i="16"/>
  <c r="C386" i="16"/>
  <c r="G385" i="16"/>
  <c r="F385" i="16"/>
  <c r="E385" i="16"/>
  <c r="D385" i="16"/>
  <c r="C385" i="16"/>
  <c r="G384" i="16"/>
  <c r="F384" i="16"/>
  <c r="E384" i="16"/>
  <c r="D384" i="16"/>
  <c r="C384" i="16"/>
  <c r="G383" i="16"/>
  <c r="F383" i="16"/>
  <c r="E383" i="16"/>
  <c r="D383" i="16"/>
  <c r="C383" i="16"/>
  <c r="G382" i="16"/>
  <c r="F382" i="16"/>
  <c r="E382" i="16"/>
  <c r="D382" i="16"/>
  <c r="C382" i="16"/>
  <c r="G381" i="16"/>
  <c r="F381" i="16"/>
  <c r="E381" i="16"/>
  <c r="D381" i="16"/>
  <c r="C381" i="16"/>
  <c r="G380" i="16"/>
  <c r="F380" i="16"/>
  <c r="E380" i="16"/>
  <c r="D380" i="16"/>
  <c r="C380" i="16"/>
  <c r="G379" i="16"/>
  <c r="F379" i="16"/>
  <c r="E379" i="16"/>
  <c r="D379" i="16"/>
  <c r="C379" i="16"/>
  <c r="G378" i="16"/>
  <c r="F378" i="16"/>
  <c r="E378" i="16"/>
  <c r="D378" i="16"/>
  <c r="C378" i="16"/>
  <c r="G377" i="16"/>
  <c r="F377" i="16"/>
  <c r="E377" i="16"/>
  <c r="D377" i="16"/>
  <c r="C377" i="16"/>
  <c r="AF376" i="16"/>
  <c r="G376" i="16"/>
  <c r="F376" i="16"/>
  <c r="E376" i="16"/>
  <c r="D376" i="16"/>
  <c r="C376" i="16"/>
  <c r="G375" i="16"/>
  <c r="F375" i="16"/>
  <c r="E375" i="16"/>
  <c r="D375" i="16"/>
  <c r="C375" i="16"/>
  <c r="AF374" i="16"/>
  <c r="G374" i="16"/>
  <c r="F374" i="16"/>
  <c r="E374" i="16"/>
  <c r="D374" i="16"/>
  <c r="C374" i="16"/>
  <c r="G373" i="16"/>
  <c r="F373" i="16"/>
  <c r="E373" i="16"/>
  <c r="D373" i="16"/>
  <c r="C373" i="16"/>
  <c r="G372" i="16"/>
  <c r="F372" i="16"/>
  <c r="E372" i="16"/>
  <c r="D372" i="16"/>
  <c r="C372" i="16"/>
  <c r="G371" i="16"/>
  <c r="F371" i="16"/>
  <c r="E371" i="16"/>
  <c r="D371" i="16"/>
  <c r="C371" i="16"/>
  <c r="G370" i="16"/>
  <c r="F370" i="16"/>
  <c r="E370" i="16"/>
  <c r="D370" i="16"/>
  <c r="C370" i="16"/>
  <c r="G369" i="16"/>
  <c r="F369" i="16"/>
  <c r="E369" i="16"/>
  <c r="D369" i="16"/>
  <c r="C369" i="16"/>
  <c r="G368" i="16"/>
  <c r="F368" i="16"/>
  <c r="E368" i="16"/>
  <c r="D368" i="16"/>
  <c r="C368" i="16"/>
  <c r="G367" i="16"/>
  <c r="F367" i="16"/>
  <c r="E367" i="16"/>
  <c r="D367" i="16"/>
  <c r="C367" i="16"/>
  <c r="G366" i="16"/>
  <c r="F366" i="16"/>
  <c r="E366" i="16"/>
  <c r="D366" i="16"/>
  <c r="C366" i="16"/>
  <c r="G365" i="16"/>
  <c r="F365" i="16"/>
  <c r="E365" i="16"/>
  <c r="D365" i="16"/>
  <c r="C365" i="16"/>
  <c r="G364" i="16"/>
  <c r="F364" i="16"/>
  <c r="E364" i="16"/>
  <c r="D364" i="16"/>
  <c r="C364" i="16"/>
  <c r="G363" i="16"/>
  <c r="F363" i="16"/>
  <c r="E363" i="16"/>
  <c r="D363" i="16"/>
  <c r="C363" i="16"/>
  <c r="G362" i="16"/>
  <c r="F362" i="16"/>
  <c r="E362" i="16"/>
  <c r="D362" i="16"/>
  <c r="C362" i="16"/>
  <c r="G361" i="16"/>
  <c r="F361" i="16"/>
  <c r="E361" i="16"/>
  <c r="D361" i="16"/>
  <c r="C361" i="16"/>
  <c r="AF360" i="16"/>
  <c r="G360" i="16"/>
  <c r="F360" i="16"/>
  <c r="E360" i="16"/>
  <c r="D360" i="16"/>
  <c r="C360" i="16"/>
  <c r="G359" i="16"/>
  <c r="F359" i="16"/>
  <c r="E359" i="16"/>
  <c r="D359" i="16"/>
  <c r="C359" i="16"/>
  <c r="AF358" i="16"/>
  <c r="G358" i="16"/>
  <c r="F358" i="16"/>
  <c r="E358" i="16"/>
  <c r="D358" i="16"/>
  <c r="C358" i="16"/>
  <c r="G357" i="16"/>
  <c r="F357" i="16"/>
  <c r="E357" i="16"/>
  <c r="D357" i="16"/>
  <c r="C357" i="16"/>
  <c r="G356" i="16"/>
  <c r="F356" i="16"/>
  <c r="E356" i="16"/>
  <c r="D356" i="16"/>
  <c r="C356" i="16"/>
  <c r="G355" i="16"/>
  <c r="F355" i="16"/>
  <c r="E355" i="16"/>
  <c r="D355" i="16"/>
  <c r="C355" i="16"/>
  <c r="G354" i="16"/>
  <c r="F354" i="16"/>
  <c r="E354" i="16"/>
  <c r="D354" i="16"/>
  <c r="C354" i="16"/>
  <c r="G353" i="16"/>
  <c r="F353" i="16"/>
  <c r="E353" i="16"/>
  <c r="D353" i="16"/>
  <c r="C353" i="16"/>
  <c r="G352" i="16"/>
  <c r="F352" i="16"/>
  <c r="E352" i="16"/>
  <c r="D352" i="16"/>
  <c r="C352" i="16"/>
  <c r="G351" i="16"/>
  <c r="F351" i="16"/>
  <c r="E351" i="16"/>
  <c r="D351" i="16"/>
  <c r="C351" i="16"/>
  <c r="G350" i="16"/>
  <c r="F350" i="16"/>
  <c r="E350" i="16"/>
  <c r="D350" i="16"/>
  <c r="C350" i="16"/>
  <c r="G349" i="16"/>
  <c r="F349" i="16"/>
  <c r="E349" i="16"/>
  <c r="D349" i="16"/>
  <c r="C349" i="16"/>
  <c r="G348" i="16"/>
  <c r="F348" i="16"/>
  <c r="E348" i="16"/>
  <c r="D348" i="16"/>
  <c r="C348" i="16"/>
  <c r="G347" i="16"/>
  <c r="F347" i="16"/>
  <c r="E347" i="16"/>
  <c r="D347" i="16"/>
  <c r="C347" i="16"/>
  <c r="G346" i="16"/>
  <c r="F346" i="16"/>
  <c r="E346" i="16"/>
  <c r="D346" i="16"/>
  <c r="C346" i="16"/>
  <c r="G345" i="16"/>
  <c r="F345" i="16"/>
  <c r="E345" i="16"/>
  <c r="D345" i="16"/>
  <c r="C345" i="16"/>
  <c r="AF344" i="16"/>
  <c r="G344" i="16"/>
  <c r="F344" i="16"/>
  <c r="E344" i="16"/>
  <c r="D344" i="16"/>
  <c r="C344" i="16"/>
  <c r="G343" i="16"/>
  <c r="F343" i="16"/>
  <c r="E343" i="16"/>
  <c r="D343" i="16"/>
  <c r="C343" i="16"/>
  <c r="AF342" i="16"/>
  <c r="G342" i="16"/>
  <c r="F342" i="16"/>
  <c r="E342" i="16"/>
  <c r="D342" i="16"/>
  <c r="C342" i="16"/>
  <c r="G341" i="16"/>
  <c r="F341" i="16"/>
  <c r="E341" i="16"/>
  <c r="D341" i="16"/>
  <c r="C341" i="16"/>
  <c r="G340" i="16"/>
  <c r="F340" i="16"/>
  <c r="E340" i="16"/>
  <c r="D340" i="16"/>
  <c r="C340" i="16"/>
  <c r="G339" i="16"/>
  <c r="F339" i="16"/>
  <c r="E339" i="16"/>
  <c r="D339" i="16"/>
  <c r="C339" i="16"/>
  <c r="G338" i="16"/>
  <c r="F338" i="16"/>
  <c r="E338" i="16"/>
  <c r="D338" i="16"/>
  <c r="C338" i="16"/>
  <c r="G337" i="16"/>
  <c r="F337" i="16"/>
  <c r="E337" i="16"/>
  <c r="D337" i="16"/>
  <c r="C337" i="16"/>
  <c r="G336" i="16"/>
  <c r="F336" i="16"/>
  <c r="E336" i="16"/>
  <c r="D336" i="16"/>
  <c r="C336" i="16"/>
  <c r="G335" i="16"/>
  <c r="F335" i="16"/>
  <c r="E335" i="16"/>
  <c r="D335" i="16"/>
  <c r="C335" i="16"/>
  <c r="G334" i="16"/>
  <c r="F334" i="16"/>
  <c r="E334" i="16"/>
  <c r="D334" i="16"/>
  <c r="C334" i="16"/>
  <c r="G333" i="16"/>
  <c r="F333" i="16"/>
  <c r="E333" i="16"/>
  <c r="D333" i="16"/>
  <c r="C333" i="16"/>
  <c r="G332" i="16"/>
  <c r="F332" i="16"/>
  <c r="E332" i="16"/>
  <c r="D332" i="16"/>
  <c r="C332" i="16"/>
  <c r="G331" i="16"/>
  <c r="F331" i="16"/>
  <c r="E331" i="16"/>
  <c r="D331" i="16"/>
  <c r="C331" i="16"/>
  <c r="G330" i="16"/>
  <c r="F330" i="16"/>
  <c r="E330" i="16"/>
  <c r="D330" i="16"/>
  <c r="C330" i="16"/>
  <c r="G329" i="16"/>
  <c r="F329" i="16"/>
  <c r="E329" i="16"/>
  <c r="D329" i="16"/>
  <c r="C329" i="16"/>
  <c r="AF328" i="16"/>
  <c r="G328" i="16"/>
  <c r="F328" i="16"/>
  <c r="E328" i="16"/>
  <c r="D328" i="16"/>
  <c r="C328" i="16"/>
  <c r="G327" i="16"/>
  <c r="F327" i="16"/>
  <c r="E327" i="16"/>
  <c r="D327" i="16"/>
  <c r="C327" i="16"/>
  <c r="AF326" i="16"/>
  <c r="G326" i="16"/>
  <c r="F326" i="16"/>
  <c r="E326" i="16"/>
  <c r="D326" i="16"/>
  <c r="C326" i="16"/>
  <c r="G325" i="16"/>
  <c r="F325" i="16"/>
  <c r="E325" i="16"/>
  <c r="D325" i="16"/>
  <c r="C325" i="16"/>
  <c r="G324" i="16"/>
  <c r="F324" i="16"/>
  <c r="E324" i="16"/>
  <c r="D324" i="16"/>
  <c r="C324" i="16"/>
  <c r="G323" i="16"/>
  <c r="F323" i="16"/>
  <c r="E323" i="16"/>
  <c r="D323" i="16"/>
  <c r="C323" i="16"/>
  <c r="G322" i="16"/>
  <c r="F322" i="16"/>
  <c r="E322" i="16"/>
  <c r="D322" i="16"/>
  <c r="C322" i="16"/>
  <c r="G321" i="16"/>
  <c r="F321" i="16"/>
  <c r="E321" i="16"/>
  <c r="D321" i="16"/>
  <c r="C321" i="16"/>
  <c r="G320" i="16"/>
  <c r="F320" i="16"/>
  <c r="E320" i="16"/>
  <c r="D320" i="16"/>
  <c r="C320" i="16"/>
  <c r="G319" i="16"/>
  <c r="F319" i="16"/>
  <c r="E319" i="16"/>
  <c r="D319" i="16"/>
  <c r="C319" i="16"/>
  <c r="G318" i="16"/>
  <c r="F318" i="16"/>
  <c r="E318" i="16"/>
  <c r="D318" i="16"/>
  <c r="C318" i="16"/>
  <c r="G317" i="16"/>
  <c r="F317" i="16"/>
  <c r="E317" i="16"/>
  <c r="D317" i="16"/>
  <c r="C317" i="16"/>
  <c r="G316" i="16"/>
  <c r="F316" i="16"/>
  <c r="E316" i="16"/>
  <c r="D316" i="16"/>
  <c r="C316" i="16"/>
  <c r="G315" i="16"/>
  <c r="F315" i="16"/>
  <c r="E315" i="16"/>
  <c r="D315" i="16"/>
  <c r="C315" i="16"/>
  <c r="G314" i="16"/>
  <c r="F314" i="16"/>
  <c r="E314" i="16"/>
  <c r="D314" i="16"/>
  <c r="C314" i="16"/>
  <c r="G313" i="16"/>
  <c r="F313" i="16"/>
  <c r="E313" i="16"/>
  <c r="D313" i="16"/>
  <c r="C313" i="16"/>
  <c r="AF312" i="16"/>
  <c r="G312" i="16"/>
  <c r="F312" i="16"/>
  <c r="E312" i="16"/>
  <c r="D312" i="16"/>
  <c r="C312" i="16"/>
  <c r="G311" i="16"/>
  <c r="F311" i="16"/>
  <c r="E311" i="16"/>
  <c r="D311" i="16"/>
  <c r="C311" i="16"/>
  <c r="AF310" i="16"/>
  <c r="G310" i="16"/>
  <c r="F310" i="16"/>
  <c r="E310" i="16"/>
  <c r="D310" i="16"/>
  <c r="C310" i="16"/>
  <c r="G309" i="16"/>
  <c r="F309" i="16"/>
  <c r="E309" i="16"/>
  <c r="D309" i="16"/>
  <c r="C309" i="16"/>
  <c r="G308" i="16"/>
  <c r="F308" i="16"/>
  <c r="E308" i="16"/>
  <c r="D308" i="16"/>
  <c r="C308" i="16"/>
  <c r="G307" i="16"/>
  <c r="F307" i="16"/>
  <c r="E307" i="16"/>
  <c r="D307" i="16"/>
  <c r="C307" i="16"/>
  <c r="G306" i="16"/>
  <c r="F306" i="16"/>
  <c r="E306" i="16"/>
  <c r="D306" i="16"/>
  <c r="C306" i="16"/>
  <c r="G305" i="16"/>
  <c r="F305" i="16"/>
  <c r="E305" i="16"/>
  <c r="D305" i="16"/>
  <c r="C305" i="16"/>
  <c r="G304" i="16"/>
  <c r="F304" i="16"/>
  <c r="E304" i="16"/>
  <c r="D304" i="16"/>
  <c r="C304" i="16"/>
  <c r="G303" i="16"/>
  <c r="F303" i="16"/>
  <c r="E303" i="16"/>
  <c r="D303" i="16"/>
  <c r="C303" i="16"/>
  <c r="G302" i="16"/>
  <c r="F302" i="16"/>
  <c r="E302" i="16"/>
  <c r="D302" i="16"/>
  <c r="C302" i="16"/>
  <c r="G301" i="16"/>
  <c r="F301" i="16"/>
  <c r="E301" i="16"/>
  <c r="D301" i="16"/>
  <c r="C301" i="16"/>
  <c r="G300" i="16"/>
  <c r="F300" i="16"/>
  <c r="E300" i="16"/>
  <c r="D300" i="16"/>
  <c r="C300" i="16"/>
  <c r="G299" i="16"/>
  <c r="F299" i="16"/>
  <c r="E299" i="16"/>
  <c r="D299" i="16"/>
  <c r="C299" i="16"/>
  <c r="G298" i="16"/>
  <c r="F298" i="16"/>
  <c r="E298" i="16"/>
  <c r="D298" i="16"/>
  <c r="C298" i="16"/>
  <c r="G297" i="16"/>
  <c r="F297" i="16"/>
  <c r="E297" i="16"/>
  <c r="D297" i="16"/>
  <c r="C297" i="16"/>
  <c r="AF296" i="16"/>
  <c r="G296" i="16"/>
  <c r="F296" i="16"/>
  <c r="E296" i="16"/>
  <c r="D296" i="16"/>
  <c r="C296" i="16"/>
  <c r="G295" i="16"/>
  <c r="F295" i="16"/>
  <c r="E295" i="16"/>
  <c r="D295" i="16"/>
  <c r="C295" i="16"/>
  <c r="AF294" i="16"/>
  <c r="G294" i="16"/>
  <c r="F294" i="16"/>
  <c r="E294" i="16"/>
  <c r="D294" i="16"/>
  <c r="C294" i="16"/>
  <c r="G293" i="16"/>
  <c r="F293" i="16"/>
  <c r="E293" i="16"/>
  <c r="D293" i="16"/>
  <c r="C293" i="16"/>
  <c r="G292" i="16"/>
  <c r="F292" i="16"/>
  <c r="E292" i="16"/>
  <c r="D292" i="16"/>
  <c r="C292" i="16"/>
  <c r="G291" i="16"/>
  <c r="F291" i="16"/>
  <c r="E291" i="16"/>
  <c r="D291" i="16"/>
  <c r="C291" i="16"/>
  <c r="G290" i="16"/>
  <c r="F290" i="16"/>
  <c r="E290" i="16"/>
  <c r="D290" i="16"/>
  <c r="C290" i="16"/>
  <c r="G289" i="16"/>
  <c r="F289" i="16"/>
  <c r="E289" i="16"/>
  <c r="D289" i="16"/>
  <c r="C289" i="16"/>
  <c r="G288" i="16"/>
  <c r="F288" i="16"/>
  <c r="E288" i="16"/>
  <c r="D288" i="16"/>
  <c r="C288" i="16"/>
  <c r="G287" i="16"/>
  <c r="F287" i="16"/>
  <c r="E287" i="16"/>
  <c r="D287" i="16"/>
  <c r="C287" i="16"/>
  <c r="G286" i="16"/>
  <c r="F286" i="16"/>
  <c r="E286" i="16"/>
  <c r="D286" i="16"/>
  <c r="C286" i="16"/>
  <c r="G285" i="16"/>
  <c r="F285" i="16"/>
  <c r="E285" i="16"/>
  <c r="D285" i="16"/>
  <c r="C285" i="16"/>
  <c r="G284" i="16"/>
  <c r="F284" i="16"/>
  <c r="E284" i="16"/>
  <c r="D284" i="16"/>
  <c r="C284" i="16"/>
  <c r="G283" i="16"/>
  <c r="F283" i="16"/>
  <c r="E283" i="16"/>
  <c r="D283" i="16"/>
  <c r="C283" i="16"/>
  <c r="G282" i="16"/>
  <c r="F282" i="16"/>
  <c r="E282" i="16"/>
  <c r="D282" i="16"/>
  <c r="C282" i="16"/>
  <c r="G281" i="16"/>
  <c r="F281" i="16"/>
  <c r="E281" i="16"/>
  <c r="D281" i="16"/>
  <c r="C281" i="16"/>
  <c r="AF280" i="16"/>
  <c r="G280" i="16"/>
  <c r="F280" i="16"/>
  <c r="E280" i="16"/>
  <c r="D280" i="16"/>
  <c r="C280" i="16"/>
  <c r="G279" i="16"/>
  <c r="F279" i="16"/>
  <c r="E279" i="16"/>
  <c r="D279" i="16"/>
  <c r="C279" i="16"/>
  <c r="AF278" i="16"/>
  <c r="G278" i="16"/>
  <c r="F278" i="16"/>
  <c r="E278" i="16"/>
  <c r="D278" i="16"/>
  <c r="C278" i="16"/>
  <c r="G277" i="16"/>
  <c r="F277" i="16"/>
  <c r="E277" i="16"/>
  <c r="D277" i="16"/>
  <c r="C277" i="16"/>
  <c r="G276" i="16"/>
  <c r="F276" i="16"/>
  <c r="E276" i="16"/>
  <c r="D276" i="16"/>
  <c r="C276" i="16"/>
  <c r="G275" i="16"/>
  <c r="F275" i="16"/>
  <c r="E275" i="16"/>
  <c r="D275" i="16"/>
  <c r="C275" i="16"/>
  <c r="G274" i="16"/>
  <c r="F274" i="16"/>
  <c r="E274" i="16"/>
  <c r="D274" i="16"/>
  <c r="C274" i="16"/>
  <c r="G273" i="16"/>
  <c r="F273" i="16"/>
  <c r="E273" i="16"/>
  <c r="D273" i="16"/>
  <c r="C273" i="16"/>
  <c r="G272" i="16"/>
  <c r="F272" i="16"/>
  <c r="E272" i="16"/>
  <c r="D272" i="16"/>
  <c r="C272" i="16"/>
  <c r="G271" i="16"/>
  <c r="F271" i="16"/>
  <c r="E271" i="16"/>
  <c r="D271" i="16"/>
  <c r="C271" i="16"/>
  <c r="G270" i="16"/>
  <c r="F270" i="16"/>
  <c r="E270" i="16"/>
  <c r="D270" i="16"/>
  <c r="C270" i="16"/>
  <c r="G269" i="16"/>
  <c r="F269" i="16"/>
  <c r="E269" i="16"/>
  <c r="D269" i="16"/>
  <c r="C269" i="16"/>
  <c r="AF268" i="16"/>
  <c r="G268" i="16"/>
  <c r="F268" i="16"/>
  <c r="E268" i="16"/>
  <c r="D268" i="16"/>
  <c r="C268" i="16"/>
  <c r="G267" i="16"/>
  <c r="F267" i="16"/>
  <c r="E267" i="16"/>
  <c r="D267" i="16"/>
  <c r="C267" i="16"/>
  <c r="AF266" i="16"/>
  <c r="G266" i="16"/>
  <c r="F266" i="16"/>
  <c r="E266" i="16"/>
  <c r="D266" i="16"/>
  <c r="C266" i="16"/>
  <c r="G265" i="16"/>
  <c r="F265" i="16"/>
  <c r="E265" i="16"/>
  <c r="D265" i="16"/>
  <c r="C265" i="16"/>
  <c r="G264" i="16"/>
  <c r="F264" i="16"/>
  <c r="E264" i="16"/>
  <c r="D264" i="16"/>
  <c r="C264" i="16"/>
  <c r="G263" i="16"/>
  <c r="F263" i="16"/>
  <c r="E263" i="16"/>
  <c r="D263" i="16"/>
  <c r="C263" i="16"/>
  <c r="G262" i="16"/>
  <c r="F262" i="16"/>
  <c r="E262" i="16"/>
  <c r="D262" i="16"/>
  <c r="C262" i="16"/>
  <c r="G261" i="16"/>
  <c r="F261" i="16"/>
  <c r="E261" i="16"/>
  <c r="D261" i="16"/>
  <c r="C261" i="16"/>
  <c r="AF260" i="16"/>
  <c r="G260" i="16"/>
  <c r="F260" i="16"/>
  <c r="E260" i="16"/>
  <c r="D260" i="16"/>
  <c r="C260" i="16"/>
  <c r="G259" i="16"/>
  <c r="F259" i="16"/>
  <c r="E259" i="16"/>
  <c r="D259" i="16"/>
  <c r="C259" i="16"/>
  <c r="AF258" i="16"/>
  <c r="G258" i="16"/>
  <c r="F258" i="16"/>
  <c r="E258" i="16"/>
  <c r="D258" i="16"/>
  <c r="C258" i="16"/>
  <c r="G257" i="16"/>
  <c r="F257" i="16"/>
  <c r="E257" i="16"/>
  <c r="D257" i="16"/>
  <c r="C257" i="16"/>
  <c r="G256" i="16"/>
  <c r="F256" i="16"/>
  <c r="E256" i="16"/>
  <c r="D256" i="16"/>
  <c r="C256" i="16"/>
  <c r="G255" i="16"/>
  <c r="F255" i="16"/>
  <c r="E255" i="16"/>
  <c r="D255" i="16"/>
  <c r="C255" i="16"/>
  <c r="G254" i="16"/>
  <c r="F254" i="16"/>
  <c r="E254" i="16"/>
  <c r="D254" i="16"/>
  <c r="C254" i="16"/>
  <c r="G253" i="16"/>
  <c r="F253" i="16"/>
  <c r="E253" i="16"/>
  <c r="D253" i="16"/>
  <c r="C253" i="16"/>
  <c r="AF252" i="16"/>
  <c r="G252" i="16"/>
  <c r="F252" i="16"/>
  <c r="E252" i="16"/>
  <c r="D252" i="16"/>
  <c r="C252" i="16"/>
  <c r="G251" i="16"/>
  <c r="F251" i="16"/>
  <c r="E251" i="16"/>
  <c r="D251" i="16"/>
  <c r="C251" i="16"/>
  <c r="AF250" i="16"/>
  <c r="G250" i="16"/>
  <c r="F250" i="16"/>
  <c r="E250" i="16"/>
  <c r="D250" i="16"/>
  <c r="C250" i="16"/>
  <c r="G249" i="16"/>
  <c r="F249" i="16"/>
  <c r="E249" i="16"/>
  <c r="D249" i="16"/>
  <c r="C249" i="16"/>
  <c r="G248" i="16"/>
  <c r="F248" i="16"/>
  <c r="E248" i="16"/>
  <c r="D248" i="16"/>
  <c r="C248" i="16"/>
  <c r="G247" i="16"/>
  <c r="F247" i="16"/>
  <c r="E247" i="16"/>
  <c r="D247" i="16"/>
  <c r="C247" i="16"/>
  <c r="G246" i="16"/>
  <c r="F246" i="16"/>
  <c r="E246" i="16"/>
  <c r="D246" i="16"/>
  <c r="C246" i="16"/>
  <c r="G245" i="16"/>
  <c r="F245" i="16"/>
  <c r="E245" i="16"/>
  <c r="D245" i="16"/>
  <c r="C245" i="16"/>
  <c r="AF244" i="16"/>
  <c r="G244" i="16"/>
  <c r="F244" i="16"/>
  <c r="E244" i="16"/>
  <c r="D244" i="16"/>
  <c r="C244" i="16"/>
  <c r="G243" i="16"/>
  <c r="F243" i="16"/>
  <c r="E243" i="16"/>
  <c r="D243" i="16"/>
  <c r="C243" i="16"/>
  <c r="AF242" i="16"/>
  <c r="G242" i="16"/>
  <c r="F242" i="16"/>
  <c r="E242" i="16"/>
  <c r="D242" i="16"/>
  <c r="C242" i="16"/>
  <c r="G241" i="16"/>
  <c r="F241" i="16"/>
  <c r="E241" i="16"/>
  <c r="D241" i="16"/>
  <c r="C241" i="16"/>
  <c r="G240" i="16"/>
  <c r="F240" i="16"/>
  <c r="E240" i="16"/>
  <c r="D240" i="16"/>
  <c r="C240" i="16"/>
  <c r="G239" i="16"/>
  <c r="F239" i="16"/>
  <c r="E239" i="16"/>
  <c r="D239" i="16"/>
  <c r="C239" i="16"/>
  <c r="G238" i="16"/>
  <c r="F238" i="16"/>
  <c r="E238" i="16"/>
  <c r="D238" i="16"/>
  <c r="C238" i="16"/>
  <c r="G237" i="16"/>
  <c r="F237" i="16"/>
  <c r="E237" i="16"/>
  <c r="D237" i="16"/>
  <c r="C237" i="16"/>
  <c r="AF236" i="16"/>
  <c r="G236" i="16"/>
  <c r="F236" i="16"/>
  <c r="E236" i="16"/>
  <c r="D236" i="16"/>
  <c r="C236" i="16"/>
  <c r="G235" i="16"/>
  <c r="F235" i="16"/>
  <c r="E235" i="16"/>
  <c r="D235" i="16"/>
  <c r="C235" i="16"/>
  <c r="AF234" i="16"/>
  <c r="G234" i="16"/>
  <c r="F234" i="16"/>
  <c r="E234" i="16"/>
  <c r="D234" i="16"/>
  <c r="C234" i="16"/>
  <c r="G233" i="16"/>
  <c r="F233" i="16"/>
  <c r="E233" i="16"/>
  <c r="D233" i="16"/>
  <c r="C233" i="16"/>
  <c r="G232" i="16"/>
  <c r="F232" i="16"/>
  <c r="E232" i="16"/>
  <c r="D232" i="16"/>
  <c r="C232" i="16"/>
  <c r="G231" i="16"/>
  <c r="F231" i="16"/>
  <c r="E231" i="16"/>
  <c r="D231" i="16"/>
  <c r="C231" i="16"/>
  <c r="G230" i="16"/>
  <c r="F230" i="16"/>
  <c r="E230" i="16"/>
  <c r="D230" i="16"/>
  <c r="C230" i="16"/>
  <c r="G229" i="16"/>
  <c r="F229" i="16"/>
  <c r="E229" i="16"/>
  <c r="D229" i="16"/>
  <c r="C229" i="16"/>
  <c r="AF228" i="16"/>
  <c r="G228" i="16"/>
  <c r="F228" i="16"/>
  <c r="E228" i="16"/>
  <c r="D228" i="16"/>
  <c r="C228" i="16"/>
  <c r="G227" i="16"/>
  <c r="F227" i="16"/>
  <c r="E227" i="16"/>
  <c r="D227" i="16"/>
  <c r="C227" i="16"/>
  <c r="AF226" i="16"/>
  <c r="G226" i="16"/>
  <c r="F226" i="16"/>
  <c r="E226" i="16"/>
  <c r="D226" i="16"/>
  <c r="C226" i="16"/>
  <c r="G225" i="16"/>
  <c r="F225" i="16"/>
  <c r="E225" i="16"/>
  <c r="D225" i="16"/>
  <c r="C225" i="16"/>
  <c r="G224" i="16"/>
  <c r="F224" i="16"/>
  <c r="E224" i="16"/>
  <c r="D224" i="16"/>
  <c r="C224" i="16"/>
  <c r="G223" i="16"/>
  <c r="F223" i="16"/>
  <c r="E223" i="16"/>
  <c r="D223" i="16"/>
  <c r="C223" i="16"/>
  <c r="G222" i="16"/>
  <c r="F222" i="16"/>
  <c r="E222" i="16"/>
  <c r="D222" i="16"/>
  <c r="C222" i="16"/>
  <c r="G221" i="16"/>
  <c r="F221" i="16"/>
  <c r="E221" i="16"/>
  <c r="D221" i="16"/>
  <c r="C221" i="16"/>
  <c r="AF220" i="16"/>
  <c r="G220" i="16"/>
  <c r="F220" i="16"/>
  <c r="E220" i="16"/>
  <c r="D220" i="16"/>
  <c r="C220" i="16"/>
  <c r="G219" i="16"/>
  <c r="F219" i="16"/>
  <c r="E219" i="16"/>
  <c r="D219" i="16"/>
  <c r="C219" i="16"/>
  <c r="AF218" i="16"/>
  <c r="G218" i="16"/>
  <c r="F218" i="16"/>
  <c r="E218" i="16"/>
  <c r="D218" i="16"/>
  <c r="C218" i="16"/>
  <c r="G217" i="16"/>
  <c r="F217" i="16"/>
  <c r="E217" i="16"/>
  <c r="D217" i="16"/>
  <c r="C217" i="16"/>
  <c r="G216" i="16"/>
  <c r="F216" i="16"/>
  <c r="E216" i="16"/>
  <c r="D216" i="16"/>
  <c r="C216" i="16"/>
  <c r="G215" i="16"/>
  <c r="F215" i="16"/>
  <c r="E215" i="16"/>
  <c r="D215" i="16"/>
  <c r="C215" i="16"/>
  <c r="G214" i="16"/>
  <c r="F214" i="16"/>
  <c r="E214" i="16"/>
  <c r="D214" i="16"/>
  <c r="C214" i="16"/>
  <c r="G213" i="16"/>
  <c r="F213" i="16"/>
  <c r="E213" i="16"/>
  <c r="D213" i="16"/>
  <c r="C213" i="16"/>
  <c r="AF212" i="16"/>
  <c r="G212" i="16"/>
  <c r="F212" i="16"/>
  <c r="E212" i="16"/>
  <c r="D212" i="16"/>
  <c r="C212" i="16"/>
  <c r="G211" i="16"/>
  <c r="F211" i="16"/>
  <c r="E211" i="16"/>
  <c r="D211" i="16"/>
  <c r="C211" i="16"/>
  <c r="AF210" i="16"/>
  <c r="G210" i="16"/>
  <c r="F210" i="16"/>
  <c r="E210" i="16"/>
  <c r="D210" i="16"/>
  <c r="C210" i="16"/>
  <c r="G209" i="16"/>
  <c r="F209" i="16"/>
  <c r="E209" i="16"/>
  <c r="D209" i="16"/>
  <c r="C209" i="16"/>
  <c r="G208" i="16"/>
  <c r="F208" i="16"/>
  <c r="E208" i="16"/>
  <c r="D208" i="16"/>
  <c r="C208" i="16"/>
  <c r="G207" i="16"/>
  <c r="F207" i="16"/>
  <c r="E207" i="16"/>
  <c r="D207" i="16"/>
  <c r="C207" i="16"/>
  <c r="G206" i="16"/>
  <c r="F206" i="16"/>
  <c r="E206" i="16"/>
  <c r="D206" i="16"/>
  <c r="C206" i="16"/>
  <c r="G205" i="16"/>
  <c r="F205" i="16"/>
  <c r="E205" i="16"/>
  <c r="D205" i="16"/>
  <c r="C205" i="16"/>
  <c r="AF204" i="16"/>
  <c r="G204" i="16"/>
  <c r="F204" i="16"/>
  <c r="E204" i="16"/>
  <c r="D204" i="16"/>
  <c r="C204" i="16"/>
  <c r="G203" i="16"/>
  <c r="F203" i="16"/>
  <c r="E203" i="16"/>
  <c r="D203" i="16"/>
  <c r="C203" i="16"/>
  <c r="AF202" i="16"/>
  <c r="G202" i="16"/>
  <c r="F202" i="16"/>
  <c r="E202" i="16"/>
  <c r="D202" i="16"/>
  <c r="C202" i="16"/>
  <c r="G201" i="16"/>
  <c r="F201" i="16"/>
  <c r="E201" i="16"/>
  <c r="D201" i="16"/>
  <c r="C201" i="16"/>
  <c r="G200" i="16"/>
  <c r="F200" i="16"/>
  <c r="E200" i="16"/>
  <c r="D200" i="16"/>
  <c r="C200" i="16"/>
  <c r="G199" i="16"/>
  <c r="F199" i="16"/>
  <c r="E199" i="16"/>
  <c r="D199" i="16"/>
  <c r="C199" i="16"/>
  <c r="G198" i="16"/>
  <c r="F198" i="16"/>
  <c r="E198" i="16"/>
  <c r="D198" i="16"/>
  <c r="C198" i="16"/>
  <c r="G197" i="16"/>
  <c r="F197" i="16"/>
  <c r="E197" i="16"/>
  <c r="D197" i="16"/>
  <c r="C197" i="16"/>
  <c r="AF196" i="16"/>
  <c r="G196" i="16"/>
  <c r="F196" i="16"/>
  <c r="E196" i="16"/>
  <c r="D196" i="16"/>
  <c r="C196" i="16"/>
  <c r="G195" i="16"/>
  <c r="F195" i="16"/>
  <c r="E195" i="16"/>
  <c r="D195" i="16"/>
  <c r="C195" i="16"/>
  <c r="AF194" i="16"/>
  <c r="G194" i="16"/>
  <c r="F194" i="16"/>
  <c r="E194" i="16"/>
  <c r="D194" i="16"/>
  <c r="C194" i="16"/>
  <c r="G193" i="16"/>
  <c r="F193" i="16"/>
  <c r="E193" i="16"/>
  <c r="D193" i="16"/>
  <c r="C193" i="16"/>
  <c r="G192" i="16"/>
  <c r="F192" i="16"/>
  <c r="E192" i="16"/>
  <c r="D192" i="16"/>
  <c r="C192" i="16"/>
  <c r="G191" i="16"/>
  <c r="F191" i="16"/>
  <c r="E191" i="16"/>
  <c r="D191" i="16"/>
  <c r="C191" i="16"/>
  <c r="G190" i="16"/>
  <c r="F190" i="16"/>
  <c r="E190" i="16"/>
  <c r="D190" i="16"/>
  <c r="C190" i="16"/>
  <c r="G189" i="16"/>
  <c r="F189" i="16"/>
  <c r="E189" i="16"/>
  <c r="D189" i="16"/>
  <c r="C189" i="16"/>
  <c r="AF188" i="16"/>
  <c r="G188" i="16"/>
  <c r="F188" i="16"/>
  <c r="E188" i="16"/>
  <c r="D188" i="16"/>
  <c r="C188" i="16"/>
  <c r="G187" i="16"/>
  <c r="F187" i="16"/>
  <c r="E187" i="16"/>
  <c r="D187" i="16"/>
  <c r="C187" i="16"/>
  <c r="AF186" i="16"/>
  <c r="G186" i="16"/>
  <c r="F186" i="16"/>
  <c r="E186" i="16"/>
  <c r="D186" i="16"/>
  <c r="C186" i="16"/>
  <c r="G185" i="16"/>
  <c r="F185" i="16"/>
  <c r="E185" i="16"/>
  <c r="D185" i="16"/>
  <c r="C185" i="16"/>
  <c r="G184" i="16"/>
  <c r="F184" i="16"/>
  <c r="E184" i="16"/>
  <c r="D184" i="16"/>
  <c r="C184" i="16"/>
  <c r="G183" i="16"/>
  <c r="F183" i="16"/>
  <c r="E183" i="16"/>
  <c r="D183" i="16"/>
  <c r="C183" i="16"/>
  <c r="G182" i="16"/>
  <c r="F182" i="16"/>
  <c r="E182" i="16"/>
  <c r="D182" i="16"/>
  <c r="C182" i="16"/>
  <c r="G181" i="16"/>
  <c r="F181" i="16"/>
  <c r="E181" i="16"/>
  <c r="D181" i="16"/>
  <c r="C181" i="16"/>
  <c r="AF180" i="16"/>
  <c r="G180" i="16"/>
  <c r="F180" i="16"/>
  <c r="E180" i="16"/>
  <c r="D180" i="16"/>
  <c r="C180" i="16"/>
  <c r="G179" i="16"/>
  <c r="F179" i="16"/>
  <c r="E179" i="16"/>
  <c r="D179" i="16"/>
  <c r="C179" i="16"/>
  <c r="AF178" i="16"/>
  <c r="G178" i="16"/>
  <c r="F178" i="16"/>
  <c r="E178" i="16"/>
  <c r="D178" i="16"/>
  <c r="C178" i="16"/>
  <c r="G177" i="16"/>
  <c r="F177" i="16"/>
  <c r="E177" i="16"/>
  <c r="D177" i="16"/>
  <c r="C177" i="16"/>
  <c r="AF176" i="16"/>
  <c r="G176" i="16"/>
  <c r="F176" i="16"/>
  <c r="E176" i="16"/>
  <c r="D176" i="16"/>
  <c r="C176" i="16"/>
  <c r="G175" i="16"/>
  <c r="F175" i="16"/>
  <c r="E175" i="16"/>
  <c r="D175" i="16"/>
  <c r="C175" i="16"/>
  <c r="G174" i="16"/>
  <c r="F174" i="16"/>
  <c r="E174" i="16"/>
  <c r="D174" i="16"/>
  <c r="C174" i="16"/>
  <c r="G173" i="16"/>
  <c r="F173" i="16"/>
  <c r="E173" i="16"/>
  <c r="D173" i="16"/>
  <c r="C173" i="16"/>
  <c r="AF172" i="16"/>
  <c r="G172" i="16"/>
  <c r="F172" i="16"/>
  <c r="E172" i="16"/>
  <c r="D172" i="16"/>
  <c r="C172" i="16"/>
  <c r="G171" i="16"/>
  <c r="F171" i="16"/>
  <c r="E171" i="16"/>
  <c r="D171" i="16"/>
  <c r="C171" i="16"/>
  <c r="AF170" i="16"/>
  <c r="G170" i="16"/>
  <c r="F170" i="16"/>
  <c r="E170" i="16"/>
  <c r="D170" i="16"/>
  <c r="C170" i="16"/>
  <c r="G169" i="16"/>
  <c r="F169" i="16"/>
  <c r="E169" i="16"/>
  <c r="D169" i="16"/>
  <c r="C169" i="16"/>
  <c r="AF168" i="16"/>
  <c r="G168" i="16"/>
  <c r="F168" i="16"/>
  <c r="E168" i="16"/>
  <c r="D168" i="16"/>
  <c r="C168" i="16"/>
  <c r="G167" i="16"/>
  <c r="F167" i="16"/>
  <c r="E167" i="16"/>
  <c r="D167" i="16"/>
  <c r="C167" i="16"/>
  <c r="G166" i="16"/>
  <c r="F166" i="16"/>
  <c r="E166" i="16"/>
  <c r="D166" i="16"/>
  <c r="C166" i="16"/>
  <c r="G165" i="16"/>
  <c r="F165" i="16"/>
  <c r="E165" i="16"/>
  <c r="D165" i="16"/>
  <c r="C165" i="16"/>
  <c r="AF164" i="16"/>
  <c r="G164" i="16"/>
  <c r="F164" i="16"/>
  <c r="E164" i="16"/>
  <c r="D164" i="16"/>
  <c r="C164" i="16"/>
  <c r="G163" i="16"/>
  <c r="F163" i="16"/>
  <c r="E163" i="16"/>
  <c r="D163" i="16"/>
  <c r="C163" i="16"/>
  <c r="AF162" i="16"/>
  <c r="G162" i="16"/>
  <c r="F162" i="16"/>
  <c r="E162" i="16"/>
  <c r="D162" i="16"/>
  <c r="C162" i="16"/>
  <c r="G161" i="16"/>
  <c r="F161" i="16"/>
  <c r="E161" i="16"/>
  <c r="D161" i="16"/>
  <c r="C161" i="16"/>
  <c r="AF160" i="16"/>
  <c r="G160" i="16"/>
  <c r="F160" i="16"/>
  <c r="E160" i="16"/>
  <c r="D160" i="16"/>
  <c r="C160" i="16"/>
  <c r="G159" i="16"/>
  <c r="F159" i="16"/>
  <c r="E159" i="16"/>
  <c r="D159" i="16"/>
  <c r="C159" i="16"/>
  <c r="G158" i="16"/>
  <c r="F158" i="16"/>
  <c r="E158" i="16"/>
  <c r="D158" i="16"/>
  <c r="C158" i="16"/>
  <c r="G157" i="16"/>
  <c r="F157" i="16"/>
  <c r="E157" i="16"/>
  <c r="D157" i="16"/>
  <c r="C157" i="16"/>
  <c r="AF156" i="16"/>
  <c r="G156" i="16"/>
  <c r="F156" i="16"/>
  <c r="E156" i="16"/>
  <c r="D156" i="16"/>
  <c r="C156" i="16"/>
  <c r="G155" i="16"/>
  <c r="F155" i="16"/>
  <c r="E155" i="16"/>
  <c r="D155" i="16"/>
  <c r="C155" i="16"/>
  <c r="AF154" i="16"/>
  <c r="G154" i="16"/>
  <c r="F154" i="16"/>
  <c r="E154" i="16"/>
  <c r="D154" i="16"/>
  <c r="C154" i="16"/>
  <c r="G153" i="16"/>
  <c r="F153" i="16"/>
  <c r="E153" i="16"/>
  <c r="D153" i="16"/>
  <c r="C153" i="16"/>
  <c r="AF152" i="16"/>
  <c r="G152" i="16"/>
  <c r="F152" i="16"/>
  <c r="E152" i="16"/>
  <c r="D152" i="16"/>
  <c r="C152" i="16"/>
  <c r="G151" i="16"/>
  <c r="F151" i="16"/>
  <c r="E151" i="16"/>
  <c r="D151" i="16"/>
  <c r="C151" i="16"/>
  <c r="G150" i="16"/>
  <c r="F150" i="16"/>
  <c r="E150" i="16"/>
  <c r="D150" i="16"/>
  <c r="C150" i="16"/>
  <c r="F149" i="16"/>
  <c r="E149" i="16"/>
  <c r="D149" i="16"/>
  <c r="C149" i="16"/>
  <c r="AF148" i="16"/>
  <c r="G148" i="16"/>
  <c r="F148" i="16"/>
  <c r="E148" i="16"/>
  <c r="D148" i="16"/>
  <c r="C148" i="16"/>
  <c r="G147" i="16"/>
  <c r="F147" i="16"/>
  <c r="E147" i="16"/>
  <c r="D147" i="16"/>
  <c r="C147" i="16"/>
  <c r="AF146" i="16"/>
  <c r="G146" i="16"/>
  <c r="F146" i="16"/>
  <c r="E146" i="16"/>
  <c r="D146" i="16"/>
  <c r="C146" i="16"/>
  <c r="G145" i="16"/>
  <c r="F145" i="16"/>
  <c r="E145" i="16"/>
  <c r="D145" i="16"/>
  <c r="C145" i="16"/>
  <c r="AF144" i="16"/>
  <c r="G144" i="16"/>
  <c r="F144" i="16"/>
  <c r="E144" i="16"/>
  <c r="D144" i="16"/>
  <c r="C144" i="16"/>
  <c r="AF143" i="16"/>
  <c r="G143" i="16"/>
  <c r="F143" i="16"/>
  <c r="E143" i="16"/>
  <c r="D143" i="16"/>
  <c r="C143" i="16"/>
  <c r="AF142" i="16"/>
  <c r="G142" i="16"/>
  <c r="F142" i="16"/>
  <c r="E142" i="16"/>
  <c r="D142" i="16"/>
  <c r="C142" i="16"/>
  <c r="AF141" i="16"/>
  <c r="G141" i="16"/>
  <c r="F141" i="16"/>
  <c r="E141" i="16"/>
  <c r="D141" i="16"/>
  <c r="C141" i="16"/>
  <c r="AF140" i="16"/>
  <c r="G140" i="16"/>
  <c r="F140" i="16"/>
  <c r="E140" i="16"/>
  <c r="D140" i="16"/>
  <c r="C140" i="16"/>
  <c r="AF139" i="16"/>
  <c r="G139" i="16"/>
  <c r="F139" i="16"/>
  <c r="E139" i="16"/>
  <c r="D139" i="16"/>
  <c r="C139" i="16"/>
  <c r="AF138" i="16"/>
  <c r="G138" i="16"/>
  <c r="F138" i="16"/>
  <c r="E138" i="16"/>
  <c r="D138" i="16"/>
  <c r="C138" i="16"/>
  <c r="AF137" i="16"/>
  <c r="G137" i="16"/>
  <c r="F137" i="16"/>
  <c r="E137" i="16"/>
  <c r="D137" i="16"/>
  <c r="C137" i="16"/>
  <c r="AF136" i="16"/>
  <c r="G136" i="16"/>
  <c r="F136" i="16"/>
  <c r="E136" i="16"/>
  <c r="D136" i="16"/>
  <c r="C136" i="16"/>
  <c r="AF135" i="16"/>
  <c r="G135" i="16"/>
  <c r="F135" i="16"/>
  <c r="E135" i="16"/>
  <c r="D135" i="16"/>
  <c r="C135" i="16"/>
  <c r="AF134" i="16"/>
  <c r="G134" i="16"/>
  <c r="F134" i="16"/>
  <c r="E134" i="16"/>
  <c r="D134" i="16"/>
  <c r="C134" i="16"/>
  <c r="AF133" i="16"/>
  <c r="G133" i="16"/>
  <c r="F133" i="16"/>
  <c r="E133" i="16"/>
  <c r="D133" i="16"/>
  <c r="C133" i="16"/>
  <c r="AF132" i="16"/>
  <c r="G132" i="16"/>
  <c r="F132" i="16"/>
  <c r="E132" i="16"/>
  <c r="D132" i="16"/>
  <c r="C132" i="16"/>
  <c r="AF131" i="16"/>
  <c r="G131" i="16"/>
  <c r="F131" i="16"/>
  <c r="E131" i="16"/>
  <c r="D131" i="16"/>
  <c r="C131" i="16"/>
  <c r="AF130" i="16"/>
  <c r="G130" i="16"/>
  <c r="F130" i="16"/>
  <c r="E130" i="16"/>
  <c r="D130" i="16"/>
  <c r="C130" i="16"/>
  <c r="AF129" i="16"/>
  <c r="G129" i="16"/>
  <c r="F129" i="16"/>
  <c r="E129" i="16"/>
  <c r="D129" i="16"/>
  <c r="C129" i="16"/>
  <c r="AF128" i="16"/>
  <c r="G128" i="16"/>
  <c r="F128" i="16"/>
  <c r="E128" i="16"/>
  <c r="D128" i="16"/>
  <c r="C128" i="16"/>
  <c r="AF127" i="16"/>
  <c r="G127" i="16"/>
  <c r="F127" i="16"/>
  <c r="E127" i="16"/>
  <c r="D127" i="16"/>
  <c r="C127" i="16"/>
  <c r="AF126" i="16"/>
  <c r="G126" i="16"/>
  <c r="F126" i="16"/>
  <c r="E126" i="16"/>
  <c r="D126" i="16"/>
  <c r="C126" i="16"/>
  <c r="AF125" i="16"/>
  <c r="G125" i="16"/>
  <c r="F125" i="16"/>
  <c r="E125" i="16"/>
  <c r="D125" i="16"/>
  <c r="C125" i="16"/>
  <c r="AF124" i="16"/>
  <c r="G124" i="16"/>
  <c r="F124" i="16"/>
  <c r="E124" i="16"/>
  <c r="D124" i="16"/>
  <c r="C124" i="16"/>
  <c r="AF123" i="16"/>
  <c r="G123" i="16"/>
  <c r="F123" i="16"/>
  <c r="E123" i="16"/>
  <c r="D123" i="16"/>
  <c r="C123" i="16"/>
  <c r="AF122" i="16"/>
  <c r="G122" i="16"/>
  <c r="F122" i="16"/>
  <c r="E122" i="16"/>
  <c r="D122" i="16"/>
  <c r="C122" i="16"/>
  <c r="AF121" i="16"/>
  <c r="G121" i="16"/>
  <c r="F121" i="16"/>
  <c r="E121" i="16"/>
  <c r="D121" i="16"/>
  <c r="C121" i="16"/>
  <c r="AF120" i="16"/>
  <c r="G120" i="16"/>
  <c r="F120" i="16"/>
  <c r="E120" i="16"/>
  <c r="D120" i="16"/>
  <c r="C120" i="16"/>
  <c r="AF119" i="16"/>
  <c r="G119" i="16"/>
  <c r="F119" i="16"/>
  <c r="E119" i="16"/>
  <c r="D119" i="16"/>
  <c r="C119" i="16"/>
  <c r="AF118" i="16"/>
  <c r="G118" i="16"/>
  <c r="F118" i="16"/>
  <c r="E118" i="16"/>
  <c r="D118" i="16"/>
  <c r="C118" i="16"/>
  <c r="AF117" i="16"/>
  <c r="G117" i="16"/>
  <c r="F117" i="16"/>
  <c r="E117" i="16"/>
  <c r="D117" i="16"/>
  <c r="C117" i="16"/>
  <c r="AF116" i="16"/>
  <c r="G116" i="16"/>
  <c r="F116" i="16"/>
  <c r="E116" i="16"/>
  <c r="D116" i="16"/>
  <c r="C116" i="16"/>
  <c r="AF115" i="16"/>
  <c r="G115" i="16"/>
  <c r="F115" i="16"/>
  <c r="E115" i="16"/>
  <c r="D115" i="16"/>
  <c r="C115" i="16"/>
  <c r="AF114" i="16"/>
  <c r="G114" i="16"/>
  <c r="F114" i="16"/>
  <c r="E114" i="16"/>
  <c r="D114" i="16"/>
  <c r="C114" i="16"/>
  <c r="AF113" i="16"/>
  <c r="G113" i="16"/>
  <c r="F113" i="16"/>
  <c r="E113" i="16"/>
  <c r="D113" i="16"/>
  <c r="C113" i="16"/>
  <c r="AF112" i="16"/>
  <c r="G112" i="16"/>
  <c r="F112" i="16"/>
  <c r="E112" i="16"/>
  <c r="D112" i="16"/>
  <c r="C112" i="16"/>
  <c r="AF111" i="16"/>
  <c r="G111" i="16"/>
  <c r="F111" i="16"/>
  <c r="E111" i="16"/>
  <c r="D111" i="16"/>
  <c r="C111" i="16"/>
  <c r="AF110" i="16"/>
  <c r="G110" i="16"/>
  <c r="F110" i="16"/>
  <c r="E110" i="16"/>
  <c r="D110" i="16"/>
  <c r="C110" i="16"/>
  <c r="AF109" i="16"/>
  <c r="G109" i="16"/>
  <c r="F109" i="16"/>
  <c r="E109" i="16"/>
  <c r="D109" i="16"/>
  <c r="C109" i="16"/>
  <c r="AF108" i="16"/>
  <c r="G108" i="16"/>
  <c r="F108" i="16"/>
  <c r="E108" i="16"/>
  <c r="D108" i="16"/>
  <c r="C108" i="16"/>
  <c r="AF107" i="16"/>
  <c r="G107" i="16"/>
  <c r="F107" i="16"/>
  <c r="E107" i="16"/>
  <c r="D107" i="16"/>
  <c r="C107" i="16"/>
  <c r="AF106" i="16"/>
  <c r="G106" i="16"/>
  <c r="F106" i="16"/>
  <c r="E106" i="16"/>
  <c r="D106" i="16"/>
  <c r="C106" i="16"/>
  <c r="AF105" i="16"/>
  <c r="G105" i="16"/>
  <c r="F105" i="16"/>
  <c r="E105" i="16"/>
  <c r="D105" i="16"/>
  <c r="C105" i="16"/>
  <c r="AF104" i="16"/>
  <c r="G104" i="16"/>
  <c r="F104" i="16"/>
  <c r="E104" i="16"/>
  <c r="D104" i="16"/>
  <c r="C104" i="16"/>
  <c r="AF103" i="16"/>
  <c r="G103" i="16"/>
  <c r="F103" i="16"/>
  <c r="E103" i="16"/>
  <c r="D103" i="16"/>
  <c r="C103" i="16"/>
  <c r="AF102" i="16"/>
  <c r="G102" i="16"/>
  <c r="F102" i="16"/>
  <c r="E102" i="16"/>
  <c r="D102" i="16"/>
  <c r="C102" i="16"/>
  <c r="AF101" i="16"/>
  <c r="G101" i="16"/>
  <c r="F101" i="16"/>
  <c r="E101" i="16"/>
  <c r="D101" i="16"/>
  <c r="C101" i="16"/>
  <c r="AF100" i="16"/>
  <c r="G100" i="16"/>
  <c r="F100" i="16"/>
  <c r="E100" i="16"/>
  <c r="D100" i="16"/>
  <c r="C100" i="16"/>
  <c r="AF99" i="16"/>
  <c r="G99" i="16"/>
  <c r="F99" i="16"/>
  <c r="E99" i="16"/>
  <c r="D99" i="16"/>
  <c r="C99" i="16"/>
  <c r="AF98" i="16"/>
  <c r="G98" i="16"/>
  <c r="F98" i="16"/>
  <c r="E98" i="16"/>
  <c r="D98" i="16"/>
  <c r="C98" i="16"/>
  <c r="AF97" i="16"/>
  <c r="G97" i="16"/>
  <c r="F97" i="16"/>
  <c r="E97" i="16"/>
  <c r="D97" i="16"/>
  <c r="C97" i="16"/>
  <c r="AF96" i="16"/>
  <c r="G96" i="16"/>
  <c r="F96" i="16"/>
  <c r="E96" i="16"/>
  <c r="D96" i="16"/>
  <c r="C96" i="16"/>
  <c r="AF95" i="16"/>
  <c r="G95" i="16"/>
  <c r="F95" i="16"/>
  <c r="E95" i="16"/>
  <c r="D95" i="16"/>
  <c r="C95" i="16"/>
  <c r="AF94" i="16"/>
  <c r="G94" i="16"/>
  <c r="F94" i="16"/>
  <c r="E94" i="16"/>
  <c r="D94" i="16"/>
  <c r="C94" i="16"/>
  <c r="AF93" i="16"/>
  <c r="G93" i="16"/>
  <c r="F93" i="16"/>
  <c r="E93" i="16"/>
  <c r="D93" i="16"/>
  <c r="C93" i="16"/>
  <c r="AF92" i="16"/>
  <c r="G92" i="16"/>
  <c r="F92" i="16"/>
  <c r="E92" i="16"/>
  <c r="D92" i="16"/>
  <c r="C92" i="16"/>
  <c r="AF91" i="16"/>
  <c r="G91" i="16"/>
  <c r="F91" i="16"/>
  <c r="E91" i="16"/>
  <c r="D91" i="16"/>
  <c r="C91" i="16"/>
  <c r="AF90" i="16"/>
  <c r="G90" i="16"/>
  <c r="F90" i="16"/>
  <c r="E90" i="16"/>
  <c r="D90" i="16"/>
  <c r="C90" i="16"/>
  <c r="AF89" i="16"/>
  <c r="G89" i="16"/>
  <c r="F89" i="16"/>
  <c r="E89" i="16"/>
  <c r="D89" i="16"/>
  <c r="C89" i="16"/>
  <c r="AF88" i="16"/>
  <c r="G88" i="16"/>
  <c r="F88" i="16"/>
  <c r="E88" i="16"/>
  <c r="D88" i="16"/>
  <c r="C88" i="16"/>
  <c r="AF87" i="16"/>
  <c r="G87" i="16"/>
  <c r="F87" i="16"/>
  <c r="E87" i="16"/>
  <c r="D87" i="16"/>
  <c r="C87" i="16"/>
  <c r="AF86" i="16"/>
  <c r="G86" i="16"/>
  <c r="F86" i="16"/>
  <c r="E86" i="16"/>
  <c r="D86" i="16"/>
  <c r="C86" i="16"/>
  <c r="AF85" i="16"/>
  <c r="G85" i="16"/>
  <c r="F85" i="16"/>
  <c r="E85" i="16"/>
  <c r="D85" i="16"/>
  <c r="C85" i="16"/>
  <c r="AF84" i="16"/>
  <c r="G84" i="16"/>
  <c r="F84" i="16"/>
  <c r="E84" i="16"/>
  <c r="D84" i="16"/>
  <c r="C84" i="16"/>
  <c r="AF83" i="16"/>
  <c r="G83" i="16"/>
  <c r="F83" i="16"/>
  <c r="E83" i="16"/>
  <c r="D83" i="16"/>
  <c r="C83" i="16"/>
  <c r="AF82" i="16"/>
  <c r="G82" i="16"/>
  <c r="F82" i="16"/>
  <c r="E82" i="16"/>
  <c r="D82" i="16"/>
  <c r="C82" i="16"/>
  <c r="AF81" i="16"/>
  <c r="G81" i="16"/>
  <c r="F81" i="16"/>
  <c r="E81" i="16"/>
  <c r="D81" i="16"/>
  <c r="C81" i="16"/>
  <c r="AF80" i="16"/>
  <c r="G80" i="16"/>
  <c r="F80" i="16"/>
  <c r="E80" i="16"/>
  <c r="D80" i="16"/>
  <c r="C80" i="16"/>
  <c r="AF79" i="16"/>
  <c r="G79" i="16"/>
  <c r="F79" i="16"/>
  <c r="E79" i="16"/>
  <c r="D79" i="16"/>
  <c r="C79" i="16"/>
  <c r="AF78" i="16"/>
  <c r="G78" i="16"/>
  <c r="F78" i="16"/>
  <c r="E78" i="16"/>
  <c r="D78" i="16"/>
  <c r="C78" i="16"/>
  <c r="AF77" i="16"/>
  <c r="G77" i="16"/>
  <c r="F77" i="16"/>
  <c r="E77" i="16"/>
  <c r="D77" i="16"/>
  <c r="C77" i="16"/>
  <c r="AF76" i="16"/>
  <c r="G76" i="16"/>
  <c r="F76" i="16"/>
  <c r="E76" i="16"/>
  <c r="D76" i="16"/>
  <c r="C76" i="16"/>
  <c r="AF75" i="16"/>
  <c r="G75" i="16"/>
  <c r="F75" i="16"/>
  <c r="E75" i="16"/>
  <c r="D75" i="16"/>
  <c r="C75" i="16"/>
  <c r="AF74" i="16"/>
  <c r="G74" i="16"/>
  <c r="F74" i="16"/>
  <c r="E74" i="16"/>
  <c r="D74" i="16"/>
  <c r="C74" i="16"/>
  <c r="AF73" i="16"/>
  <c r="G73" i="16"/>
  <c r="F73" i="16"/>
  <c r="E73" i="16"/>
  <c r="D73" i="16"/>
  <c r="C73" i="16"/>
  <c r="AF72" i="16"/>
  <c r="G72" i="16"/>
  <c r="F72" i="16"/>
  <c r="E72" i="16"/>
  <c r="D72" i="16"/>
  <c r="C72" i="16"/>
  <c r="AF71" i="16"/>
  <c r="G71" i="16"/>
  <c r="F71" i="16"/>
  <c r="E71" i="16"/>
  <c r="D71" i="16"/>
  <c r="C71" i="16"/>
  <c r="AF70" i="16"/>
  <c r="G70" i="16"/>
  <c r="F70" i="16"/>
  <c r="E70" i="16"/>
  <c r="D70" i="16"/>
  <c r="C70" i="16"/>
  <c r="AF69" i="16"/>
  <c r="G69" i="16"/>
  <c r="F69" i="16"/>
  <c r="E69" i="16"/>
  <c r="D69" i="16"/>
  <c r="C69" i="16"/>
  <c r="AF68" i="16"/>
  <c r="G68" i="16"/>
  <c r="F68" i="16"/>
  <c r="E68" i="16"/>
  <c r="D68" i="16"/>
  <c r="C68" i="16"/>
  <c r="AF67" i="16"/>
  <c r="G67" i="16"/>
  <c r="F67" i="16"/>
  <c r="E67" i="16"/>
  <c r="D67" i="16"/>
  <c r="C67" i="16"/>
  <c r="AF66" i="16"/>
  <c r="G66" i="16"/>
  <c r="F66" i="16"/>
  <c r="E66" i="16"/>
  <c r="D66" i="16"/>
  <c r="C66" i="16"/>
  <c r="AF65" i="16"/>
  <c r="G65" i="16"/>
  <c r="F65" i="16"/>
  <c r="E65" i="16"/>
  <c r="D65" i="16"/>
  <c r="C65" i="16"/>
  <c r="AF64" i="16"/>
  <c r="G64" i="16"/>
  <c r="F64" i="16"/>
  <c r="E64" i="16"/>
  <c r="D64" i="16"/>
  <c r="C64" i="16"/>
  <c r="AF63" i="16"/>
  <c r="G63" i="16"/>
  <c r="F63" i="16"/>
  <c r="E63" i="16"/>
  <c r="D63" i="16"/>
  <c r="C63" i="16"/>
  <c r="AF62" i="16"/>
  <c r="G62" i="16"/>
  <c r="F62" i="16"/>
  <c r="E62" i="16"/>
  <c r="D62" i="16"/>
  <c r="C62" i="16"/>
  <c r="AF61" i="16"/>
  <c r="G61" i="16"/>
  <c r="F61" i="16"/>
  <c r="E61" i="16"/>
  <c r="D61" i="16"/>
  <c r="C61" i="16"/>
  <c r="AF60" i="16"/>
  <c r="G60" i="16"/>
  <c r="F60" i="16"/>
  <c r="E60" i="16"/>
  <c r="D60" i="16"/>
  <c r="C60" i="16"/>
  <c r="AF59" i="16"/>
  <c r="G59" i="16"/>
  <c r="F59" i="16"/>
  <c r="E59" i="16"/>
  <c r="D59" i="16"/>
  <c r="C59" i="16"/>
  <c r="AF58" i="16"/>
  <c r="G58" i="16"/>
  <c r="F58" i="16"/>
  <c r="E58" i="16"/>
  <c r="D58" i="16"/>
  <c r="C58" i="16"/>
  <c r="AF57" i="16"/>
  <c r="G57" i="16"/>
  <c r="F57" i="16"/>
  <c r="E57" i="16"/>
  <c r="D57" i="16"/>
  <c r="C57" i="16"/>
  <c r="AF56" i="16"/>
  <c r="G56" i="16"/>
  <c r="F56" i="16"/>
  <c r="E56" i="16"/>
  <c r="D56" i="16"/>
  <c r="C56" i="16"/>
  <c r="AF55" i="16"/>
  <c r="G55" i="16"/>
  <c r="F55" i="16"/>
  <c r="E55" i="16"/>
  <c r="D55" i="16"/>
  <c r="C55" i="16"/>
  <c r="AF54" i="16"/>
  <c r="G54" i="16"/>
  <c r="F54" i="16"/>
  <c r="E54" i="16"/>
  <c r="D54" i="16"/>
  <c r="C54" i="16"/>
  <c r="AF53" i="16"/>
  <c r="G53" i="16"/>
  <c r="F53" i="16"/>
  <c r="E53" i="16"/>
  <c r="D53" i="16"/>
  <c r="C53" i="16"/>
  <c r="AF52" i="16"/>
  <c r="G52" i="16"/>
  <c r="F52" i="16"/>
  <c r="E52" i="16"/>
  <c r="D52" i="16"/>
  <c r="C52" i="16"/>
  <c r="AF51" i="16"/>
  <c r="G51" i="16"/>
  <c r="F51" i="16"/>
  <c r="E51" i="16"/>
  <c r="D51" i="16"/>
  <c r="C51" i="16"/>
  <c r="AF50" i="16"/>
  <c r="G50" i="16"/>
  <c r="F50" i="16"/>
  <c r="E50" i="16"/>
  <c r="D50" i="16"/>
  <c r="C50" i="16"/>
  <c r="AF49" i="16"/>
  <c r="G49" i="16"/>
  <c r="F49" i="16"/>
  <c r="E49" i="16"/>
  <c r="D49" i="16"/>
  <c r="C49" i="16"/>
  <c r="AF48" i="16"/>
  <c r="G48" i="16"/>
  <c r="F48" i="16"/>
  <c r="E48" i="16"/>
  <c r="D48" i="16"/>
  <c r="C48" i="16"/>
  <c r="AF47" i="16"/>
  <c r="G47" i="16"/>
  <c r="F47" i="16"/>
  <c r="E47" i="16"/>
  <c r="D47" i="16"/>
  <c r="C47" i="16"/>
  <c r="AF46" i="16"/>
  <c r="G46" i="16"/>
  <c r="F46" i="16"/>
  <c r="E46" i="16"/>
  <c r="D46" i="16"/>
  <c r="C46" i="16"/>
  <c r="AF45" i="16"/>
  <c r="G45" i="16"/>
  <c r="F45" i="16"/>
  <c r="E45" i="16"/>
  <c r="D45" i="16"/>
  <c r="C45" i="16"/>
  <c r="AF44" i="16"/>
  <c r="G44" i="16"/>
  <c r="F44" i="16"/>
  <c r="E44" i="16"/>
  <c r="D44" i="16"/>
  <c r="C44" i="16"/>
  <c r="AF43" i="16"/>
  <c r="G43" i="16"/>
  <c r="F43" i="16"/>
  <c r="E43" i="16"/>
  <c r="D43" i="16"/>
  <c r="C43" i="16"/>
  <c r="AF42" i="16"/>
  <c r="G42" i="16"/>
  <c r="F42" i="16"/>
  <c r="E42" i="16"/>
  <c r="D42" i="16"/>
  <c r="C42" i="16"/>
  <c r="AF41" i="16"/>
  <c r="G41" i="16"/>
  <c r="F41" i="16"/>
  <c r="E41" i="16"/>
  <c r="D41" i="16"/>
  <c r="C41" i="16"/>
  <c r="AF40" i="16"/>
  <c r="G40" i="16"/>
  <c r="F40" i="16"/>
  <c r="E40" i="16"/>
  <c r="D40" i="16"/>
  <c r="C40" i="16"/>
  <c r="AF39" i="16"/>
  <c r="G39" i="16"/>
  <c r="F39" i="16"/>
  <c r="E39" i="16"/>
  <c r="D39" i="16"/>
  <c r="C39" i="16"/>
  <c r="AF38" i="16"/>
  <c r="G38" i="16"/>
  <c r="F38" i="16"/>
  <c r="E38" i="16"/>
  <c r="D38" i="16"/>
  <c r="C38" i="16"/>
  <c r="AF37" i="16"/>
  <c r="G37" i="16"/>
  <c r="F37" i="16"/>
  <c r="E37" i="16"/>
  <c r="D37" i="16"/>
  <c r="C37" i="16"/>
  <c r="AF36" i="16"/>
  <c r="G36" i="16"/>
  <c r="F36" i="16"/>
  <c r="E36" i="16"/>
  <c r="D36" i="16"/>
  <c r="C36" i="16"/>
  <c r="AF35" i="16"/>
  <c r="G35" i="16"/>
  <c r="F35" i="16"/>
  <c r="E35" i="16"/>
  <c r="D35" i="16"/>
  <c r="C35" i="16"/>
  <c r="AF34" i="16"/>
  <c r="G34" i="16"/>
  <c r="F34" i="16"/>
  <c r="E34" i="16"/>
  <c r="D34" i="16"/>
  <c r="C34" i="16"/>
  <c r="AF33" i="16"/>
  <c r="G33" i="16"/>
  <c r="F33" i="16"/>
  <c r="E33" i="16"/>
  <c r="D33" i="16"/>
  <c r="C33" i="16"/>
  <c r="AF32" i="16"/>
  <c r="G32" i="16"/>
  <c r="F32" i="16"/>
  <c r="E32" i="16"/>
  <c r="D32" i="16"/>
  <c r="C32" i="16"/>
  <c r="AF31" i="16"/>
  <c r="G31" i="16"/>
  <c r="F31" i="16"/>
  <c r="E31" i="16"/>
  <c r="D31" i="16"/>
  <c r="C31" i="16"/>
  <c r="AF30" i="16"/>
  <c r="G30" i="16"/>
  <c r="F30" i="16"/>
  <c r="E30" i="16"/>
  <c r="D30" i="16"/>
  <c r="C30" i="16"/>
  <c r="AF29" i="16"/>
  <c r="G29" i="16"/>
  <c r="F29" i="16"/>
  <c r="E29" i="16"/>
  <c r="D29" i="16"/>
  <c r="C29" i="16"/>
  <c r="AF28" i="16"/>
  <c r="G28" i="16"/>
  <c r="F28" i="16"/>
  <c r="E28" i="16"/>
  <c r="D28" i="16"/>
  <c r="C28" i="16"/>
  <c r="AF27" i="16"/>
  <c r="G27" i="16"/>
  <c r="F27" i="16"/>
  <c r="E27" i="16"/>
  <c r="D27" i="16"/>
  <c r="C27" i="16"/>
  <c r="AF26" i="16"/>
  <c r="G26" i="16"/>
  <c r="F26" i="16"/>
  <c r="E26" i="16"/>
  <c r="D26" i="16"/>
  <c r="C26" i="16"/>
  <c r="AF25" i="16"/>
  <c r="G25" i="16"/>
  <c r="F25" i="16"/>
  <c r="E25" i="16"/>
  <c r="D25" i="16"/>
  <c r="C25" i="16"/>
  <c r="AF24" i="16"/>
  <c r="G24" i="16"/>
  <c r="F24" i="16"/>
  <c r="E24" i="16"/>
  <c r="D24" i="16"/>
  <c r="C24" i="16"/>
  <c r="AF23" i="16"/>
  <c r="G23" i="16"/>
  <c r="F23" i="16"/>
  <c r="E23" i="16"/>
  <c r="D23" i="16"/>
  <c r="C23" i="16"/>
  <c r="AF22" i="16"/>
  <c r="G22" i="16"/>
  <c r="F22" i="16"/>
  <c r="E22" i="16"/>
  <c r="D22" i="16"/>
  <c r="C22" i="16"/>
  <c r="AF21" i="16"/>
  <c r="G21" i="16"/>
  <c r="F21" i="16"/>
  <c r="E21" i="16"/>
  <c r="D21" i="16"/>
  <c r="C21" i="16"/>
  <c r="AF20" i="16"/>
  <c r="G20" i="16"/>
  <c r="F20" i="16"/>
  <c r="E20" i="16"/>
  <c r="D20" i="16"/>
  <c r="C20" i="16"/>
  <c r="AF19" i="16"/>
  <c r="G19" i="16"/>
  <c r="F19" i="16"/>
  <c r="E19" i="16"/>
  <c r="D19" i="16"/>
  <c r="C19" i="16"/>
  <c r="AF18" i="16"/>
  <c r="G18" i="16"/>
  <c r="F18" i="16"/>
  <c r="E18" i="16"/>
  <c r="D18" i="16"/>
  <c r="C18" i="16"/>
  <c r="AF17" i="16"/>
  <c r="G17" i="16"/>
  <c r="F17" i="16"/>
  <c r="E17" i="16"/>
  <c r="D17" i="16"/>
  <c r="C17" i="16"/>
  <c r="AF16" i="16"/>
  <c r="G16" i="16"/>
  <c r="F16" i="16"/>
  <c r="E16" i="16"/>
  <c r="D16" i="16"/>
  <c r="C16" i="16"/>
  <c r="AF15" i="16"/>
  <c r="G15" i="16"/>
  <c r="F15" i="16"/>
  <c r="E15" i="16"/>
  <c r="D15" i="16"/>
  <c r="C15" i="16"/>
  <c r="AF14" i="16"/>
  <c r="G14" i="16"/>
  <c r="F14" i="16"/>
  <c r="E14" i="16"/>
  <c r="D14" i="16"/>
  <c r="C14" i="16"/>
  <c r="AF13" i="16"/>
  <c r="G13" i="16"/>
  <c r="F13" i="16"/>
  <c r="E13" i="16"/>
  <c r="D13" i="16"/>
  <c r="C13" i="16"/>
  <c r="AF12" i="16"/>
  <c r="G12" i="16"/>
  <c r="F12" i="16"/>
  <c r="E12" i="16"/>
  <c r="D12" i="16"/>
  <c r="C12" i="16"/>
  <c r="AF11" i="16"/>
  <c r="G11" i="16"/>
  <c r="F11" i="16"/>
  <c r="E11" i="16"/>
  <c r="D11" i="16"/>
  <c r="C11" i="16"/>
  <c r="AF10" i="16"/>
  <c r="G10" i="16"/>
  <c r="F10" i="16"/>
  <c r="E10" i="16"/>
  <c r="D10" i="16"/>
  <c r="C10" i="16"/>
  <c r="AF9" i="16"/>
  <c r="G9" i="16"/>
  <c r="F9" i="16"/>
  <c r="E9" i="16"/>
  <c r="D9" i="16"/>
  <c r="C9" i="16"/>
  <c r="AF8" i="16"/>
  <c r="G8" i="16"/>
  <c r="F8" i="16"/>
  <c r="E8" i="16"/>
  <c r="D8" i="16"/>
  <c r="C8" i="16"/>
  <c r="AF7" i="16"/>
  <c r="G7" i="16"/>
  <c r="F7" i="16"/>
  <c r="E7" i="16"/>
  <c r="D7" i="16"/>
  <c r="C7" i="16"/>
  <c r="AF6" i="16"/>
  <c r="G6" i="16"/>
  <c r="F6" i="16"/>
  <c r="E6" i="16"/>
  <c r="D6" i="16"/>
  <c r="C6" i="16"/>
  <c r="AF5" i="16"/>
  <c r="G5" i="16"/>
  <c r="F5" i="16"/>
  <c r="E5" i="16"/>
  <c r="D5" i="16"/>
  <c r="C5" i="16"/>
  <c r="F105" i="9" l="1"/>
  <c r="G13" i="18"/>
  <c r="E554" i="16"/>
  <c r="AF184" i="16"/>
  <c r="AF192" i="16"/>
  <c r="AF200" i="16"/>
  <c r="AF208" i="16"/>
  <c r="AF216" i="16"/>
  <c r="AF224" i="16"/>
  <c r="AF232" i="16"/>
  <c r="AF240" i="16"/>
  <c r="AF248" i="16"/>
  <c r="AF256" i="16"/>
  <c r="AF264" i="16"/>
  <c r="AF272" i="16"/>
  <c r="AF288" i="16"/>
  <c r="AF304" i="16"/>
  <c r="AF320" i="16"/>
  <c r="AF336" i="16"/>
  <c r="AF352" i="16"/>
  <c r="AF368" i="16"/>
  <c r="AF384" i="16"/>
  <c r="AF400" i="16"/>
  <c r="AF416" i="16"/>
  <c r="AF432" i="16"/>
  <c r="AF150" i="16"/>
  <c r="AF158" i="16"/>
  <c r="AF166" i="16"/>
  <c r="AF174" i="16"/>
  <c r="AF182" i="16"/>
  <c r="AF190" i="16"/>
  <c r="AF198" i="16"/>
  <c r="AF206" i="16"/>
  <c r="AF214" i="16"/>
  <c r="AF222" i="16"/>
  <c r="AF230" i="16"/>
  <c r="AF238" i="16"/>
  <c r="AF246" i="16"/>
  <c r="AF254" i="16"/>
  <c r="AF262" i="16"/>
  <c r="AF270" i="16"/>
  <c r="AF286" i="16"/>
  <c r="AF302" i="16"/>
  <c r="AF318" i="16"/>
  <c r="AF334" i="16"/>
  <c r="AF350" i="16"/>
  <c r="AF366" i="16"/>
  <c r="AF382" i="16"/>
  <c r="AF398" i="16"/>
  <c r="AF414" i="16"/>
  <c r="D554" i="16"/>
  <c r="AF439" i="16"/>
  <c r="AF437" i="16"/>
  <c r="AF435" i="16"/>
  <c r="AF433" i="16"/>
  <c r="AF431" i="16"/>
  <c r="AF429" i="16"/>
  <c r="AF427" i="16"/>
  <c r="AF425" i="16"/>
  <c r="AF423" i="16"/>
  <c r="AF421" i="16"/>
  <c r="AF419" i="16"/>
  <c r="AF417" i="16"/>
  <c r="AF415" i="16"/>
  <c r="AF413" i="16"/>
  <c r="AF411" i="16"/>
  <c r="AF409" i="16"/>
  <c r="AF407" i="16"/>
  <c r="AF405" i="16"/>
  <c r="AF403" i="16"/>
  <c r="AF401" i="16"/>
  <c r="AF399" i="16"/>
  <c r="AF397" i="16"/>
  <c r="AF395" i="16"/>
  <c r="AF393" i="16"/>
  <c r="AF391" i="16"/>
  <c r="AF389" i="16"/>
  <c r="AF387" i="16"/>
  <c r="AF385" i="16"/>
  <c r="AF383" i="16"/>
  <c r="AF381" i="16"/>
  <c r="AF379" i="16"/>
  <c r="AF377" i="16"/>
  <c r="AF375" i="16"/>
  <c r="AF373" i="16"/>
  <c r="AF371" i="16"/>
  <c r="AF369" i="16"/>
  <c r="AF367" i="16"/>
  <c r="AF365" i="16"/>
  <c r="AF363" i="16"/>
  <c r="AF361" i="16"/>
  <c r="AF359" i="16"/>
  <c r="AF357" i="16"/>
  <c r="AF355" i="16"/>
  <c r="AF353" i="16"/>
  <c r="AF351" i="16"/>
  <c r="AF349" i="16"/>
  <c r="AF347" i="16"/>
  <c r="AF345" i="16"/>
  <c r="AF343" i="16"/>
  <c r="AF341" i="16"/>
  <c r="AF339" i="16"/>
  <c r="AF337" i="16"/>
  <c r="AF335" i="16"/>
  <c r="AF333" i="16"/>
  <c r="AF331" i="16"/>
  <c r="AF329" i="16"/>
  <c r="AF327" i="16"/>
  <c r="AF325" i="16"/>
  <c r="AF323" i="16"/>
  <c r="AF321" i="16"/>
  <c r="AF319" i="16"/>
  <c r="AF317" i="16"/>
  <c r="AF315" i="16"/>
  <c r="AF313" i="16"/>
  <c r="AF311" i="16"/>
  <c r="AF309" i="16"/>
  <c r="AF307" i="16"/>
  <c r="AF305" i="16"/>
  <c r="AF303" i="16"/>
  <c r="AF301" i="16"/>
  <c r="AF299" i="16"/>
  <c r="AF297" i="16"/>
  <c r="AF295" i="16"/>
  <c r="AF293" i="16"/>
  <c r="AF291" i="16"/>
  <c r="AF289" i="16"/>
  <c r="AF287" i="16"/>
  <c r="AF285" i="16"/>
  <c r="AF283" i="16"/>
  <c r="AF281" i="16"/>
  <c r="AF279" i="16"/>
  <c r="AF277" i="16"/>
  <c r="AF275" i="16"/>
  <c r="AF273" i="16"/>
  <c r="AF434" i="16"/>
  <c r="AF426" i="16"/>
  <c r="AF418" i="16"/>
  <c r="AF410" i="16"/>
  <c r="AF402" i="16"/>
  <c r="AF394" i="16"/>
  <c r="AF386" i="16"/>
  <c r="AF378" i="16"/>
  <c r="AF370" i="16"/>
  <c r="AF362" i="16"/>
  <c r="AF354" i="16"/>
  <c r="AF346" i="16"/>
  <c r="AF338" i="16"/>
  <c r="AF330" i="16"/>
  <c r="AF322" i="16"/>
  <c r="AF314" i="16"/>
  <c r="AF306" i="16"/>
  <c r="AF298" i="16"/>
  <c r="AF290" i="16"/>
  <c r="AF282" i="16"/>
  <c r="AF274" i="16"/>
  <c r="AF436" i="16"/>
  <c r="AF428" i="16"/>
  <c r="AF420" i="16"/>
  <c r="AF412" i="16"/>
  <c r="AF404" i="16"/>
  <c r="AF396" i="16"/>
  <c r="AF388" i="16"/>
  <c r="AF380" i="16"/>
  <c r="AF372" i="16"/>
  <c r="AF364" i="16"/>
  <c r="AF356" i="16"/>
  <c r="AF348" i="16"/>
  <c r="AF340" i="16"/>
  <c r="AF332" i="16"/>
  <c r="AF324" i="16"/>
  <c r="AF316" i="16"/>
  <c r="AF308" i="16"/>
  <c r="AF300" i="16"/>
  <c r="AF292" i="16"/>
  <c r="AF284" i="16"/>
  <c r="AF276" i="16"/>
  <c r="AF271" i="16"/>
  <c r="AF269" i="16"/>
  <c r="AF267" i="16"/>
  <c r="AF265" i="16"/>
  <c r="AF263" i="16"/>
  <c r="AF261" i="16"/>
  <c r="AF259" i="16"/>
  <c r="AF257" i="16"/>
  <c r="AF255" i="16"/>
  <c r="AF253" i="16"/>
  <c r="AF251" i="16"/>
  <c r="AF249" i="16"/>
  <c r="AF247" i="16"/>
  <c r="AF245" i="16"/>
  <c r="AF243" i="16"/>
  <c r="AF241" i="16"/>
  <c r="AF239" i="16"/>
  <c r="AF237" i="16"/>
  <c r="AF235" i="16"/>
  <c r="AF233" i="16"/>
  <c r="AF231" i="16"/>
  <c r="AF229" i="16"/>
  <c r="AF227" i="16"/>
  <c r="AF225" i="16"/>
  <c r="AF223" i="16"/>
  <c r="AF221" i="16"/>
  <c r="AF219" i="16"/>
  <c r="AF217" i="16"/>
  <c r="AF215" i="16"/>
  <c r="AF213" i="16"/>
  <c r="AF211" i="16"/>
  <c r="AF209" i="16"/>
  <c r="AF207" i="16"/>
  <c r="AF205" i="16"/>
  <c r="AF203" i="16"/>
  <c r="AF201" i="16"/>
  <c r="AF199" i="16"/>
  <c r="AF197" i="16"/>
  <c r="AF195" i="16"/>
  <c r="AF193" i="16"/>
  <c r="AF191" i="16"/>
  <c r="AF189" i="16"/>
  <c r="AF187" i="16"/>
  <c r="AF185" i="16"/>
  <c r="AF183" i="16"/>
  <c r="AF181" i="16"/>
  <c r="AF179" i="16"/>
  <c r="AF177" i="16"/>
  <c r="AF175" i="16"/>
  <c r="AF173" i="16"/>
  <c r="AF171" i="16"/>
  <c r="AF169" i="16"/>
  <c r="AF167" i="16"/>
  <c r="AF165" i="16"/>
  <c r="AF163" i="16"/>
  <c r="AF161" i="16"/>
  <c r="AF159" i="16"/>
  <c r="AF157" i="16"/>
  <c r="AF155" i="16"/>
  <c r="AF153" i="16"/>
  <c r="AF151" i="16"/>
  <c r="AF147" i="16"/>
  <c r="AF145" i="16"/>
  <c r="I10" i="15" l="1"/>
  <c r="I11" i="15"/>
  <c r="C71" i="9"/>
  <c r="D71" i="9"/>
  <c r="G13" i="15"/>
  <c r="I10" i="6" s="1"/>
  <c r="K13" i="1" s="1"/>
  <c r="J15" i="1"/>
  <c r="E29" i="9"/>
  <c r="B31" i="9"/>
  <c r="C31" i="9" s="1"/>
  <c r="D31" i="9" s="1"/>
  <c r="E31" i="9"/>
  <c r="F31" i="9" s="1"/>
  <c r="G31" i="9" s="1"/>
  <c r="H31" i="9" s="1"/>
  <c r="I31" i="9" s="1"/>
  <c r="J31" i="9" s="1"/>
  <c r="K31" i="9" s="1"/>
  <c r="K15" i="1"/>
  <c r="F29" i="9"/>
  <c r="N15" i="1"/>
  <c r="G29" i="9"/>
  <c r="O15" i="1"/>
  <c r="H29" i="9"/>
  <c r="P15" i="1"/>
  <c r="I29" i="9"/>
  <c r="Q15" i="1"/>
  <c r="J29" i="9"/>
  <c r="G10" i="15"/>
  <c r="C96" i="9" s="1"/>
  <c r="G11" i="15"/>
  <c r="B97" i="9" s="1"/>
  <c r="L106" i="9"/>
  <c r="M106" i="9"/>
  <c r="N106" i="9"/>
  <c r="E15" i="1"/>
  <c r="C32" i="9"/>
  <c r="D34" i="5"/>
  <c r="I15" i="1"/>
  <c r="K51" i="5"/>
  <c r="L51" i="5"/>
  <c r="O51" i="5"/>
  <c r="P51" i="5"/>
  <c r="R51" i="5"/>
  <c r="D35" i="5"/>
  <c r="D44" i="5"/>
  <c r="H24" i="5"/>
  <c r="I24" i="5"/>
  <c r="I23" i="5" s="1"/>
  <c r="F15" i="1"/>
  <c r="G15" i="1"/>
  <c r="H15" i="1"/>
  <c r="L15" i="1"/>
  <c r="D32" i="9"/>
  <c r="C30" i="9"/>
  <c r="D30" i="9" s="1"/>
  <c r="E30" i="9" s="1"/>
  <c r="F30" i="9"/>
  <c r="G30" i="9" s="1"/>
  <c r="H30" i="9" s="1"/>
  <c r="I30" i="9" s="1"/>
  <c r="J30" i="9" s="1"/>
  <c r="E32" i="9"/>
  <c r="K24" i="5" s="1"/>
  <c r="C33" i="9"/>
  <c r="D33" i="9"/>
  <c r="E33" i="9" s="1"/>
  <c r="F33" i="9" s="1"/>
  <c r="G33" i="9" s="1"/>
  <c r="H33" i="9" s="1"/>
  <c r="I33" i="9"/>
  <c r="J33" i="9" s="1"/>
  <c r="F32" i="9"/>
  <c r="L24" i="5"/>
  <c r="G32" i="9"/>
  <c r="O24" i="5" s="1"/>
  <c r="H32" i="9"/>
  <c r="P24" i="5" s="1"/>
  <c r="I32" i="9"/>
  <c r="J32" i="9"/>
  <c r="R24" i="5"/>
  <c r="C72" i="9"/>
  <c r="D72" i="9"/>
  <c r="B38" i="9"/>
  <c r="I38" i="9" s="1"/>
  <c r="E38" i="9"/>
  <c r="B39" i="9"/>
  <c r="E39" i="9"/>
  <c r="B40" i="9"/>
  <c r="B42" i="9"/>
  <c r="E42" i="9"/>
  <c r="B43" i="9"/>
  <c r="B44" i="9"/>
  <c r="E12" i="9"/>
  <c r="E44" i="9"/>
  <c r="B45" i="9"/>
  <c r="B46" i="9"/>
  <c r="B47" i="9"/>
  <c r="B48" i="9"/>
  <c r="I48" i="9" s="1"/>
  <c r="E48" i="9"/>
  <c r="B50" i="9"/>
  <c r="F50" i="9" s="1"/>
  <c r="F51" i="9" s="1"/>
  <c r="E52" i="9"/>
  <c r="B53" i="9"/>
  <c r="C53" i="9" s="1"/>
  <c r="B55" i="9"/>
  <c r="F38" i="9"/>
  <c r="F39" i="9"/>
  <c r="F42" i="9"/>
  <c r="F43" i="9"/>
  <c r="F12" i="9"/>
  <c r="F44" i="9"/>
  <c r="F45" i="9"/>
  <c r="F48" i="9"/>
  <c r="F52" i="9"/>
  <c r="F55" i="9"/>
  <c r="G38" i="9"/>
  <c r="G39" i="9"/>
  <c r="G42" i="9"/>
  <c r="G43" i="9"/>
  <c r="G12" i="9"/>
  <c r="G44" i="9"/>
  <c r="G45" i="9"/>
  <c r="G48" i="9"/>
  <c r="G50" i="9"/>
  <c r="G51" i="9" s="1"/>
  <c r="G52" i="9"/>
  <c r="G55" i="9"/>
  <c r="H38" i="9"/>
  <c r="H39" i="9"/>
  <c r="H42" i="9"/>
  <c r="H12" i="9"/>
  <c r="H48" i="9"/>
  <c r="H52" i="9"/>
  <c r="H55" i="9"/>
  <c r="I39" i="9"/>
  <c r="I42" i="9"/>
  <c r="I43" i="9"/>
  <c r="I12" i="9"/>
  <c r="I44" i="9"/>
  <c r="I45" i="9"/>
  <c r="I50" i="9"/>
  <c r="I51" i="9" s="1"/>
  <c r="I52" i="9"/>
  <c r="J38" i="9"/>
  <c r="J39" i="9"/>
  <c r="J42" i="9"/>
  <c r="J12" i="9"/>
  <c r="J44" i="9"/>
  <c r="J45" i="9"/>
  <c r="J48" i="9"/>
  <c r="J50" i="9"/>
  <c r="J51" i="9" s="1"/>
  <c r="J52" i="9"/>
  <c r="J55" i="9"/>
  <c r="C59" i="9"/>
  <c r="C60" i="9"/>
  <c r="D60" i="9"/>
  <c r="E60" i="9" s="1"/>
  <c r="F60" i="9" s="1"/>
  <c r="G60" i="9" s="1"/>
  <c r="H60" i="9" s="1"/>
  <c r="I60" i="9" s="1"/>
  <c r="J60" i="9" s="1"/>
  <c r="C12" i="9"/>
  <c r="D12" i="9"/>
  <c r="D50" i="9"/>
  <c r="G53" i="5"/>
  <c r="G45" i="5"/>
  <c r="H53" i="5"/>
  <c r="H45" i="5"/>
  <c r="H49" i="5"/>
  <c r="I53" i="5"/>
  <c r="I45" i="5"/>
  <c r="I46" i="5"/>
  <c r="I48" i="5"/>
  <c r="I54" i="5" s="1"/>
  <c r="I49" i="5"/>
  <c r="C52" i="9"/>
  <c r="D52" i="9"/>
  <c r="M53" i="5"/>
  <c r="M45" i="5"/>
  <c r="M48" i="5"/>
  <c r="N53" i="5"/>
  <c r="N45" i="5"/>
  <c r="N46" i="5"/>
  <c r="N49" i="5"/>
  <c r="K104" i="9"/>
  <c r="O104" i="9"/>
  <c r="P104" i="9"/>
  <c r="Q104" i="9"/>
  <c r="R104" i="9"/>
  <c r="S104" i="9"/>
  <c r="T104" i="9"/>
  <c r="U104" i="9"/>
  <c r="C96" i="15"/>
  <c r="C124" i="9"/>
  <c r="B123" i="9"/>
  <c r="K10" i="9"/>
  <c r="G18" i="5"/>
  <c r="H18" i="5"/>
  <c r="I18" i="5"/>
  <c r="M82" i="1"/>
  <c r="B39" i="1"/>
  <c r="C39" i="1"/>
  <c r="D39" i="1" s="1"/>
  <c r="E39" i="1" s="1"/>
  <c r="B36" i="1"/>
  <c r="C36" i="1"/>
  <c r="D36" i="1" s="1"/>
  <c r="E36" i="1"/>
  <c r="F36" i="1" s="1"/>
  <c r="G36" i="1" s="1"/>
  <c r="M59" i="1"/>
  <c r="Y104" i="9"/>
  <c r="Z104" i="9"/>
  <c r="AA104" i="9"/>
  <c r="AB104" i="9"/>
  <c r="AB96" i="9" s="1"/>
  <c r="AC104" i="9"/>
  <c r="AD104" i="9"/>
  <c r="AE104" i="9"/>
  <c r="R9" i="5"/>
  <c r="R10" i="5"/>
  <c r="R17" i="5" s="1"/>
  <c r="P9" i="5"/>
  <c r="P10" i="5"/>
  <c r="P17" i="5" s="1"/>
  <c r="O9" i="5"/>
  <c r="O10" i="5" s="1"/>
  <c r="O17" i="5" s="1"/>
  <c r="L9" i="5"/>
  <c r="L10" i="5"/>
  <c r="L17" i="5" s="1"/>
  <c r="K9" i="5"/>
  <c r="C29" i="9"/>
  <c r="D29" i="9"/>
  <c r="C38" i="9"/>
  <c r="D38" i="9"/>
  <c r="C39" i="9"/>
  <c r="D39" i="9"/>
  <c r="K39" i="9" s="1"/>
  <c r="C42" i="9"/>
  <c r="D42" i="9"/>
  <c r="D43" i="9"/>
  <c r="C44" i="9"/>
  <c r="C45" i="9"/>
  <c r="D45" i="9"/>
  <c r="D47" i="9"/>
  <c r="C48" i="9"/>
  <c r="D48" i="9"/>
  <c r="D51" i="9"/>
  <c r="C55" i="9"/>
  <c r="D55" i="9"/>
  <c r="B61" i="1"/>
  <c r="E61" i="1"/>
  <c r="H23" i="5"/>
  <c r="H32" i="5"/>
  <c r="H38" i="5" s="1"/>
  <c r="I32" i="5"/>
  <c r="S28" i="5"/>
  <c r="S22" i="5"/>
  <c r="B11" i="9"/>
  <c r="B10" i="9"/>
  <c r="E45" i="5"/>
  <c r="E48" i="5"/>
  <c r="G37" i="5"/>
  <c r="G23" i="5"/>
  <c r="G32" i="5" s="1"/>
  <c r="G38" i="5" s="1"/>
  <c r="G17" i="5"/>
  <c r="G19" i="5"/>
  <c r="G21" i="5" s="1"/>
  <c r="H37" i="5"/>
  <c r="H17" i="5"/>
  <c r="H19" i="5"/>
  <c r="H21" i="5" s="1"/>
  <c r="I37" i="5"/>
  <c r="I17" i="5"/>
  <c r="I19" i="5"/>
  <c r="I21" i="5" s="1"/>
  <c r="M37" i="5"/>
  <c r="M38" i="5" s="1"/>
  <c r="N37" i="5"/>
  <c r="N38" i="5" s="1"/>
  <c r="K29" i="9"/>
  <c r="I52" i="1"/>
  <c r="E52" i="1"/>
  <c r="O52" i="1"/>
  <c r="P52" i="1"/>
  <c r="F113" i="9"/>
  <c r="F112" i="9"/>
  <c r="G113" i="9"/>
  <c r="G112" i="9" s="1"/>
  <c r="H113" i="9"/>
  <c r="H112" i="9"/>
  <c r="I113" i="9"/>
  <c r="I112" i="9" s="1"/>
  <c r="J113" i="9"/>
  <c r="J112" i="9"/>
  <c r="K113" i="9"/>
  <c r="K112" i="9" s="1"/>
  <c r="M113" i="9"/>
  <c r="M112" i="9" s="1"/>
  <c r="O113" i="9"/>
  <c r="O112" i="9" s="1"/>
  <c r="P113" i="9"/>
  <c r="P112" i="9"/>
  <c r="Q113" i="9"/>
  <c r="Q112" i="9" s="1"/>
  <c r="R113" i="9"/>
  <c r="R112" i="9" s="1"/>
  <c r="S113" i="9"/>
  <c r="S112" i="9"/>
  <c r="T113" i="9"/>
  <c r="T112" i="9" s="1"/>
  <c r="U113" i="9"/>
  <c r="U112" i="9"/>
  <c r="Y113" i="9"/>
  <c r="Y112" i="9"/>
  <c r="Z113" i="9"/>
  <c r="Z112" i="9" s="1"/>
  <c r="AA113" i="9"/>
  <c r="AA112" i="9"/>
  <c r="AB113" i="9"/>
  <c r="AB112" i="9" s="1"/>
  <c r="AC113" i="9"/>
  <c r="AC112" i="9"/>
  <c r="AD113" i="9"/>
  <c r="AD112" i="9" s="1"/>
  <c r="AE113" i="9"/>
  <c r="AE112" i="9"/>
  <c r="B124" i="9"/>
  <c r="B125" i="9"/>
  <c r="C122" i="9" s="1"/>
  <c r="D124" i="9"/>
  <c r="E124" i="9"/>
  <c r="F124" i="9"/>
  <c r="G124" i="9"/>
  <c r="H124" i="9"/>
  <c r="I124" i="9"/>
  <c r="J124" i="9"/>
  <c r="K124" i="9"/>
  <c r="M124" i="9"/>
  <c r="N124" i="9" s="1"/>
  <c r="O124" i="9"/>
  <c r="P124" i="9"/>
  <c r="Q124" i="9"/>
  <c r="R124" i="9"/>
  <c r="S124" i="9"/>
  <c r="T124" i="9"/>
  <c r="U124" i="9"/>
  <c r="Y124" i="9"/>
  <c r="Z124" i="9"/>
  <c r="AA124" i="9"/>
  <c r="AB124" i="9"/>
  <c r="AC124" i="9"/>
  <c r="AD124" i="9"/>
  <c r="AE124" i="9"/>
  <c r="E51" i="5"/>
  <c r="E53" i="5" s="1"/>
  <c r="E54" i="5" s="1"/>
  <c r="E46" i="5"/>
  <c r="E49" i="5"/>
  <c r="G15" i="5"/>
  <c r="H15" i="5"/>
  <c r="I15" i="5"/>
  <c r="F58" i="1"/>
  <c r="G58" i="1"/>
  <c r="H58" i="1"/>
  <c r="I58" i="1"/>
  <c r="K58" i="1"/>
  <c r="L58" i="1"/>
  <c r="N58" i="1"/>
  <c r="O58" i="1"/>
  <c r="Q58" i="1"/>
  <c r="E58" i="1"/>
  <c r="M83" i="1"/>
  <c r="M15" i="1"/>
  <c r="B107" i="9"/>
  <c r="K9" i="9"/>
  <c r="K11" i="9"/>
  <c r="D14" i="9"/>
  <c r="E14" i="9" s="1"/>
  <c r="F14" i="9" s="1"/>
  <c r="G14" i="9" s="1"/>
  <c r="H14" i="9"/>
  <c r="I14" i="9" s="1"/>
  <c r="J14" i="9" s="1"/>
  <c r="K14" i="9" s="1"/>
  <c r="K38" i="9"/>
  <c r="K48" i="9"/>
  <c r="B51" i="9"/>
  <c r="K52" i="9"/>
  <c r="B54" i="9"/>
  <c r="D82" i="9"/>
  <c r="E82" i="9"/>
  <c r="F82" i="9" s="1"/>
  <c r="G82" i="9" s="1"/>
  <c r="H82" i="9" s="1"/>
  <c r="I82" i="9" s="1"/>
  <c r="J82" i="9" s="1"/>
  <c r="K82" i="9" s="1"/>
  <c r="L82" i="9" s="1"/>
  <c r="M82" i="9"/>
  <c r="N82" i="9" s="1"/>
  <c r="O82" i="9" s="1"/>
  <c r="P82" i="9" s="1"/>
  <c r="Q82" i="9" s="1"/>
  <c r="R82" i="9" s="1"/>
  <c r="S82" i="9" s="1"/>
  <c r="T82" i="9" s="1"/>
  <c r="U82" i="9" s="1"/>
  <c r="V82" i="9" s="1"/>
  <c r="W82" i="9" s="1"/>
  <c r="X82" i="9" s="1"/>
  <c r="Y82" i="9" s="1"/>
  <c r="Z82" i="9" s="1"/>
  <c r="AA82" i="9" s="1"/>
  <c r="AB82" i="9" s="1"/>
  <c r="AC82" i="9" s="1"/>
  <c r="AD82" i="9" s="1"/>
  <c r="AE82" i="9" s="1"/>
  <c r="AF82" i="9" s="1"/>
  <c r="AG82" i="9" s="1"/>
  <c r="AH82" i="9" s="1"/>
  <c r="C95" i="9"/>
  <c r="D95" i="9" s="1"/>
  <c r="E95" i="9"/>
  <c r="F95" i="9" s="1"/>
  <c r="G95" i="9" s="1"/>
  <c r="H95" i="9" s="1"/>
  <c r="I95" i="9"/>
  <c r="J95" i="9" s="1"/>
  <c r="K95" i="9" s="1"/>
  <c r="L95" i="9" s="1"/>
  <c r="M95" i="9" s="1"/>
  <c r="N95" i="9" s="1"/>
  <c r="O95" i="9" s="1"/>
  <c r="P95" i="9" s="1"/>
  <c r="Q95" i="9" s="1"/>
  <c r="R95" i="9" s="1"/>
  <c r="S95" i="9" s="1"/>
  <c r="T95" i="9" s="1"/>
  <c r="U95" i="9" s="1"/>
  <c r="V95" i="9" s="1"/>
  <c r="W95" i="9" s="1"/>
  <c r="X95" i="9" s="1"/>
  <c r="Y95" i="9" s="1"/>
  <c r="Z95" i="9" s="1"/>
  <c r="AA95" i="9" s="1"/>
  <c r="AB95" i="9" s="1"/>
  <c r="AC95" i="9" s="1"/>
  <c r="AD95" i="9" s="1"/>
  <c r="AE95" i="9" s="1"/>
  <c r="AF95" i="9" s="1"/>
  <c r="AG95" i="9" s="1"/>
  <c r="AH95" i="9" s="1"/>
  <c r="C103" i="9"/>
  <c r="D103" i="9" s="1"/>
  <c r="E103" i="9"/>
  <c r="F103" i="9" s="1"/>
  <c r="G103" i="9" s="1"/>
  <c r="H103" i="9" s="1"/>
  <c r="I103" i="9" s="1"/>
  <c r="J103" i="9" s="1"/>
  <c r="K103" i="9" s="1"/>
  <c r="L103" i="9" s="1"/>
  <c r="M103" i="9" s="1"/>
  <c r="N103" i="9" s="1"/>
  <c r="O103" i="9" s="1"/>
  <c r="P103" i="9" s="1"/>
  <c r="Q103" i="9" s="1"/>
  <c r="R103" i="9" s="1"/>
  <c r="S103" i="9" s="1"/>
  <c r="T103" i="9" s="1"/>
  <c r="U103" i="9"/>
  <c r="V103" i="9" s="1"/>
  <c r="W103" i="9" s="1"/>
  <c r="X103" i="9" s="1"/>
  <c r="Y103" i="9" s="1"/>
  <c r="Z103" i="9" s="1"/>
  <c r="AA103" i="9" s="1"/>
  <c r="AB103" i="9" s="1"/>
  <c r="AC103" i="9" s="1"/>
  <c r="AD103" i="9" s="1"/>
  <c r="AE103" i="9" s="1"/>
  <c r="AF103" i="9" s="1"/>
  <c r="AG103" i="9" s="1"/>
  <c r="AH103" i="9" s="1"/>
  <c r="C121" i="9"/>
  <c r="D121" i="9" s="1"/>
  <c r="E121" i="9" s="1"/>
  <c r="F121" i="9" s="1"/>
  <c r="G121" i="9"/>
  <c r="H121" i="9" s="1"/>
  <c r="I121" i="9" s="1"/>
  <c r="J121" i="9" s="1"/>
  <c r="K121" i="9" s="1"/>
  <c r="L121" i="9" s="1"/>
  <c r="M121" i="9" s="1"/>
  <c r="N121" i="9" s="1"/>
  <c r="O121" i="9"/>
  <c r="P121" i="9" s="1"/>
  <c r="Q121" i="9" s="1"/>
  <c r="R121" i="9" s="1"/>
  <c r="S121" i="9" s="1"/>
  <c r="T121" i="9" s="1"/>
  <c r="U121" i="9" s="1"/>
  <c r="V121" i="9" s="1"/>
  <c r="W121" i="9" s="1"/>
  <c r="X121" i="9" s="1"/>
  <c r="Y121" i="9" s="1"/>
  <c r="Z121" i="9" s="1"/>
  <c r="AA121" i="9" s="1"/>
  <c r="AB121" i="9" s="1"/>
  <c r="AC121" i="9" s="1"/>
  <c r="AD121" i="9" s="1"/>
  <c r="AE121" i="9" s="1"/>
  <c r="AF121" i="9" s="1"/>
  <c r="AG121" i="9" s="1"/>
  <c r="AH121" i="9" s="1"/>
  <c r="D3" i="7"/>
  <c r="E3" i="7" s="1"/>
  <c r="F3" i="7" s="1"/>
  <c r="G3" i="7" s="1"/>
  <c r="H3" i="7"/>
  <c r="I3" i="7" s="1"/>
  <c r="J3" i="7" s="1"/>
  <c r="K3" i="7" s="1"/>
  <c r="L3" i="7" s="1"/>
  <c r="M3" i="7" s="1"/>
  <c r="N3" i="7" s="1"/>
  <c r="O3" i="7" s="1"/>
  <c r="P3" i="7"/>
  <c r="Q3" i="7" s="1"/>
  <c r="R3" i="7" s="1"/>
  <c r="S3" i="7" s="1"/>
  <c r="T3" i="7" s="1"/>
  <c r="U3" i="7" s="1"/>
  <c r="V3" i="7" s="1"/>
  <c r="W3" i="7" s="1"/>
  <c r="X3" i="7" s="1"/>
  <c r="Y3" i="7" s="1"/>
  <c r="Z3" i="7" s="1"/>
  <c r="AA3" i="7" s="1"/>
  <c r="AB3" i="7" s="1"/>
  <c r="AC3" i="7" s="1"/>
  <c r="AD3" i="7" s="1"/>
  <c r="AE3" i="7" s="1"/>
  <c r="AF3" i="7" s="1"/>
  <c r="AG3" i="7" s="1"/>
  <c r="C19" i="5"/>
  <c r="M69" i="1"/>
  <c r="E25" i="1"/>
  <c r="I25" i="1"/>
  <c r="J25" i="1"/>
  <c r="K25" i="1"/>
  <c r="N25" i="1"/>
  <c r="F25" i="1"/>
  <c r="O25" i="1"/>
  <c r="O53" i="1" s="1"/>
  <c r="P25" i="1"/>
  <c r="H25" i="1"/>
  <c r="D25" i="1"/>
  <c r="F53" i="1"/>
  <c r="G25" i="1"/>
  <c r="G53" i="1"/>
  <c r="D18" i="1"/>
  <c r="D19" i="1" s="1"/>
  <c r="G9" i="1"/>
  <c r="G10" i="1"/>
  <c r="M26" i="1"/>
  <c r="F35" i="1"/>
  <c r="F38" i="1"/>
  <c r="F73" i="1"/>
  <c r="G35" i="1"/>
  <c r="G38" i="1"/>
  <c r="H35" i="1"/>
  <c r="H38" i="1"/>
  <c r="I38" i="1"/>
  <c r="I35" i="1"/>
  <c r="J38" i="1"/>
  <c r="J35" i="1"/>
  <c r="K38" i="1"/>
  <c r="K35" i="1"/>
  <c r="L35" i="1"/>
  <c r="L38" i="1"/>
  <c r="N35" i="1"/>
  <c r="E38" i="1"/>
  <c r="P38" i="1" s="1"/>
  <c r="E35" i="1"/>
  <c r="Q35" i="1"/>
  <c r="M27" i="1"/>
  <c r="C28" i="1"/>
  <c r="M29" i="1"/>
  <c r="M31" i="1" s="1"/>
  <c r="D35" i="1"/>
  <c r="D37" i="1"/>
  <c r="D38" i="1"/>
  <c r="D40" i="1"/>
  <c r="D43" i="1" s="1"/>
  <c r="D44" i="1"/>
  <c r="F67" i="1"/>
  <c r="G67" i="1"/>
  <c r="F37" i="1"/>
  <c r="P53" i="1"/>
  <c r="I53" i="1"/>
  <c r="D45" i="1"/>
  <c r="M38" i="1"/>
  <c r="O38" i="1"/>
  <c r="C20" i="5"/>
  <c r="I73" i="1"/>
  <c r="I38" i="5"/>
  <c r="I61" i="1"/>
  <c r="N48" i="5"/>
  <c r="N54" i="5"/>
  <c r="M46" i="5"/>
  <c r="M54" i="5" s="1"/>
  <c r="M49" i="5"/>
  <c r="J61" i="1"/>
  <c r="O67" i="1"/>
  <c r="I56" i="5"/>
  <c r="I66" i="5" s="1"/>
  <c r="I57" i="5"/>
  <c r="I67" i="1"/>
  <c r="P67" i="1"/>
  <c r="K61" i="1"/>
  <c r="N61" i="1"/>
  <c r="O61" i="1"/>
  <c r="P61" i="1"/>
  <c r="Q61" i="1" s="1"/>
  <c r="A2" i="5" l="1"/>
  <c r="F13" i="1"/>
  <c r="A2" i="7"/>
  <c r="AD96" i="9"/>
  <c r="Z96" i="9"/>
  <c r="B19" i="15"/>
  <c r="G14" i="15"/>
  <c r="I14" i="6" s="1"/>
  <c r="F17" i="1" s="1"/>
  <c r="N13" i="1"/>
  <c r="M13" i="1"/>
  <c r="Q13" i="1"/>
  <c r="M57" i="5"/>
  <c r="M56" i="5"/>
  <c r="M66" i="5" s="1"/>
  <c r="Q25" i="1"/>
  <c r="H53" i="1"/>
  <c r="E53" i="1"/>
  <c r="E47" i="1"/>
  <c r="H73" i="1"/>
  <c r="Q38" i="1"/>
  <c r="F39" i="1"/>
  <c r="E40" i="1"/>
  <c r="G46" i="9"/>
  <c r="E46" i="9"/>
  <c r="F46" i="9"/>
  <c r="F49" i="9" s="1"/>
  <c r="C46" i="9"/>
  <c r="B49" i="9"/>
  <c r="J46" i="9"/>
  <c r="D46" i="9"/>
  <c r="H46" i="9"/>
  <c r="I46" i="9"/>
  <c r="I49" i="9" s="1"/>
  <c r="E40" i="9"/>
  <c r="J40" i="9"/>
  <c r="J41" i="9" s="1"/>
  <c r="C40" i="9"/>
  <c r="B41" i="9"/>
  <c r="G40" i="9"/>
  <c r="G41" i="9" s="1"/>
  <c r="H40" i="9"/>
  <c r="H41" i="9" s="1"/>
  <c r="D40" i="9"/>
  <c r="D41" i="9" s="1"/>
  <c r="I40" i="9"/>
  <c r="I41" i="9" s="1"/>
  <c r="F40" i="9"/>
  <c r="K32" i="9"/>
  <c r="N56" i="5"/>
  <c r="N66" i="5" s="1"/>
  <c r="G73" i="1"/>
  <c r="O35" i="1"/>
  <c r="E56" i="5"/>
  <c r="E57" i="5" s="1"/>
  <c r="K42" i="9"/>
  <c r="K10" i="5"/>
  <c r="K17" i="5" s="1"/>
  <c r="J58" i="1"/>
  <c r="D44" i="9"/>
  <c r="K12" i="9"/>
  <c r="X106" i="9"/>
  <c r="N104" i="9"/>
  <c r="N96" i="9" s="1"/>
  <c r="N113" i="9"/>
  <c r="N112" i="9" s="1"/>
  <c r="J73" i="1"/>
  <c r="P35" i="1"/>
  <c r="E37" i="1"/>
  <c r="E46" i="1" s="1"/>
  <c r="E73" i="1"/>
  <c r="B12" i="9"/>
  <c r="P58" i="1"/>
  <c r="L104" i="9"/>
  <c r="L96" i="9" s="1"/>
  <c r="V106" i="9"/>
  <c r="L113" i="9"/>
  <c r="L112" i="9" s="1"/>
  <c r="L124" i="9"/>
  <c r="C8" i="7"/>
  <c r="B41" i="12" s="1"/>
  <c r="E8" i="7"/>
  <c r="P96" i="9"/>
  <c r="C6" i="7"/>
  <c r="T96" i="9"/>
  <c r="D8" i="7"/>
  <c r="C5" i="7"/>
  <c r="AC96" i="9"/>
  <c r="AE96" i="9"/>
  <c r="G8" i="7"/>
  <c r="F8" i="7"/>
  <c r="O96" i="9"/>
  <c r="S96" i="9"/>
  <c r="R96" i="9"/>
  <c r="D46" i="1"/>
  <c r="D80" i="1" s="1"/>
  <c r="D53" i="1"/>
  <c r="D27" i="1"/>
  <c r="D73" i="1"/>
  <c r="D47" i="1"/>
  <c r="C21" i="5"/>
  <c r="G48" i="5"/>
  <c r="G46" i="5"/>
  <c r="G49" i="5"/>
  <c r="G13" i="1"/>
  <c r="H13" i="1"/>
  <c r="L13" i="1"/>
  <c r="O13" i="1"/>
  <c r="I13" i="1"/>
  <c r="J13" i="1"/>
  <c r="E13" i="1"/>
  <c r="P13" i="1"/>
  <c r="K73" i="1"/>
  <c r="N38" i="1"/>
  <c r="L25" i="1"/>
  <c r="M35" i="1"/>
  <c r="H36" i="1"/>
  <c r="G37" i="1"/>
  <c r="F41" i="9"/>
  <c r="C41" i="9"/>
  <c r="E47" i="9"/>
  <c r="F47" i="9"/>
  <c r="J47" i="9"/>
  <c r="G47" i="9"/>
  <c r="I47" i="9"/>
  <c r="C47" i="9"/>
  <c r="H47" i="9"/>
  <c r="E41" i="9"/>
  <c r="D51" i="5"/>
  <c r="C9" i="12"/>
  <c r="A4" i="1"/>
  <c r="G15" i="15"/>
  <c r="I8" i="6" s="1"/>
  <c r="G17" i="15"/>
  <c r="I52" i="6" s="1"/>
  <c r="A5" i="9"/>
  <c r="A2" i="6"/>
  <c r="G16" i="15"/>
  <c r="I29" i="6" s="1"/>
  <c r="B51" i="1" s="1"/>
  <c r="C49" i="9"/>
  <c r="AA96" i="9"/>
  <c r="Y96" i="9"/>
  <c r="H46" i="5"/>
  <c r="H54" i="5" s="1"/>
  <c r="H48" i="5"/>
  <c r="B105" i="9"/>
  <c r="C61" i="9"/>
  <c r="D59" i="9"/>
  <c r="H44" i="9"/>
  <c r="G49" i="9"/>
  <c r="D53" i="9"/>
  <c r="E53" i="9" s="1"/>
  <c r="C54" i="9"/>
  <c r="H43" i="9"/>
  <c r="J43" i="9"/>
  <c r="J49" i="9" s="1"/>
  <c r="C43" i="9"/>
  <c r="E43" i="9"/>
  <c r="E49" i="9" s="1"/>
  <c r="M104" i="9"/>
  <c r="M96" i="9" s="1"/>
  <c r="W106" i="9"/>
  <c r="A3" i="11"/>
  <c r="Q96" i="9"/>
  <c r="E55" i="9"/>
  <c r="I55" i="9"/>
  <c r="E45" i="9"/>
  <c r="H45" i="9"/>
  <c r="H49" i="9" s="1"/>
  <c r="U96" i="9"/>
  <c r="K96" i="9"/>
  <c r="E50" i="9"/>
  <c r="H50" i="9"/>
  <c r="C50" i="9"/>
  <c r="E17" i="1" l="1"/>
  <c r="O17" i="1"/>
  <c r="J17" i="1"/>
  <c r="N17" i="1"/>
  <c r="L17" i="1"/>
  <c r="K17" i="1"/>
  <c r="G17" i="1"/>
  <c r="Q17" i="1"/>
  <c r="M17" i="1"/>
  <c r="P17" i="1"/>
  <c r="I17" i="1"/>
  <c r="H17" i="1"/>
  <c r="B42" i="12"/>
  <c r="B104" i="9"/>
  <c r="C4" i="7"/>
  <c r="C7" i="7" s="1"/>
  <c r="L53" i="1"/>
  <c r="L73" i="1"/>
  <c r="D64" i="1"/>
  <c r="D65" i="1" s="1"/>
  <c r="D62" i="1"/>
  <c r="D63" i="1" s="1"/>
  <c r="D69" i="1" s="1"/>
  <c r="V104" i="9"/>
  <c r="V96" i="9" s="1"/>
  <c r="AF106" i="9"/>
  <c r="V124" i="9"/>
  <c r="V113" i="9"/>
  <c r="V112" i="9" s="1"/>
  <c r="E67" i="1"/>
  <c r="K45" i="9"/>
  <c r="K43" i="9"/>
  <c r="E54" i="9"/>
  <c r="E18" i="11" s="1"/>
  <c r="F53" i="9"/>
  <c r="K47" i="9"/>
  <c r="G54" i="5"/>
  <c r="P73" i="1"/>
  <c r="K44" i="9"/>
  <c r="K49" i="9" s="1"/>
  <c r="D49" i="9"/>
  <c r="K40" i="9"/>
  <c r="K41" i="9" s="1"/>
  <c r="K46" i="9"/>
  <c r="E43" i="1"/>
  <c r="E44" i="1" s="1"/>
  <c r="E45" i="1"/>
  <c r="E80" i="1" s="1"/>
  <c r="E51" i="9"/>
  <c r="E57" i="9" s="1"/>
  <c r="K50" i="9"/>
  <c r="C51" i="9"/>
  <c r="W104" i="9"/>
  <c r="W96" i="9" s="1"/>
  <c r="AG106" i="9"/>
  <c r="W113" i="9"/>
  <c r="W112" i="9" s="1"/>
  <c r="W124" i="9"/>
  <c r="X124" i="9" s="1"/>
  <c r="D61" i="9"/>
  <c r="D73" i="9" s="1"/>
  <c r="E59" i="9"/>
  <c r="H56" i="5"/>
  <c r="H66" i="5" s="1"/>
  <c r="I36" i="1"/>
  <c r="H37" i="1"/>
  <c r="D30" i="1"/>
  <c r="D29" i="1"/>
  <c r="D31" i="1" s="1"/>
  <c r="AH106" i="9"/>
  <c r="X113" i="9"/>
  <c r="X112" i="9" s="1"/>
  <c r="X104" i="9"/>
  <c r="X96" i="9" s="1"/>
  <c r="B18" i="12"/>
  <c r="S24" i="5"/>
  <c r="D24" i="5"/>
  <c r="G39" i="1"/>
  <c r="F40" i="1"/>
  <c r="E64" i="1"/>
  <c r="E65" i="1" s="1"/>
  <c r="E62" i="1"/>
  <c r="E63" i="1" s="1"/>
  <c r="E69" i="1" s="1"/>
  <c r="H67" i="1"/>
  <c r="H51" i="9"/>
  <c r="K55" i="9"/>
  <c r="C73" i="9"/>
  <c r="D54" i="9"/>
  <c r="Q52" i="1"/>
  <c r="J52" i="1"/>
  <c r="J53" i="1" s="1"/>
  <c r="N52" i="1"/>
  <c r="N53" i="1" s="1"/>
  <c r="K52" i="1"/>
  <c r="K53" i="1" s="1"/>
  <c r="K11" i="1"/>
  <c r="Q11" i="1"/>
  <c r="E11" i="1"/>
  <c r="E18" i="1" s="1"/>
  <c r="E54" i="1" s="1"/>
  <c r="L11" i="1"/>
  <c r="P11" i="1"/>
  <c r="F11" i="1"/>
  <c r="F18" i="1" s="1"/>
  <c r="G11" i="1"/>
  <c r="J11" i="1"/>
  <c r="N11" i="1"/>
  <c r="I11" i="1"/>
  <c r="O11" i="1"/>
  <c r="H11" i="1"/>
  <c r="N73" i="1"/>
  <c r="D67" i="1"/>
  <c r="D54" i="1"/>
  <c r="B53" i="12"/>
  <c r="B29" i="12"/>
  <c r="B23" i="12"/>
  <c r="B35" i="12"/>
  <c r="O73" i="1"/>
  <c r="N57" i="5"/>
  <c r="Q73" i="1"/>
  <c r="Q53" i="1"/>
  <c r="N18" i="1" l="1"/>
  <c r="P18" i="1"/>
  <c r="P27" i="1" s="1"/>
  <c r="K18" i="1"/>
  <c r="K19" i="1" s="1"/>
  <c r="J18" i="1"/>
  <c r="J27" i="1" s="1"/>
  <c r="O18" i="1"/>
  <c r="O19" i="1" s="1"/>
  <c r="I18" i="1"/>
  <c r="I27" i="1" s="1"/>
  <c r="Q18" i="1"/>
  <c r="Q19" i="1" s="1"/>
  <c r="H18" i="1"/>
  <c r="H19" i="1" s="1"/>
  <c r="L18" i="1"/>
  <c r="L19" i="1" s="1"/>
  <c r="G18" i="1"/>
  <c r="G27" i="1" s="1"/>
  <c r="E72" i="9"/>
  <c r="Q67" i="1"/>
  <c r="B24" i="12"/>
  <c r="I19" i="1"/>
  <c r="F27" i="1"/>
  <c r="F54" i="1"/>
  <c r="F19" i="1"/>
  <c r="J67" i="1"/>
  <c r="C77" i="9"/>
  <c r="C74" i="9"/>
  <c r="D77" i="9"/>
  <c r="D74" i="9"/>
  <c r="B96" i="9"/>
  <c r="B98" i="9" s="1"/>
  <c r="C12" i="7" s="1"/>
  <c r="C17" i="7" s="1"/>
  <c r="B110" i="9"/>
  <c r="B115" i="9" s="1"/>
  <c r="B117" i="9" s="1"/>
  <c r="C116" i="9" s="1"/>
  <c r="B114" i="9"/>
  <c r="B112" i="9" s="1"/>
  <c r="B12" i="12"/>
  <c r="B30" i="12"/>
  <c r="N19" i="1"/>
  <c r="N27" i="1"/>
  <c r="P19" i="1"/>
  <c r="E68" i="1"/>
  <c r="E72" i="1"/>
  <c r="E77" i="1" s="1"/>
  <c r="E79" i="1" s="1"/>
  <c r="E82" i="1" s="1"/>
  <c r="AH124" i="9"/>
  <c r="AH104" i="9"/>
  <c r="AH96" i="9" s="1"/>
  <c r="AH113" i="9"/>
  <c r="AH112" i="9" s="1"/>
  <c r="H57" i="5"/>
  <c r="B48" i="12"/>
  <c r="B54" i="12"/>
  <c r="K67" i="1"/>
  <c r="F43" i="1"/>
  <c r="F44" i="1" s="1"/>
  <c r="F47" i="1"/>
  <c r="F45" i="1"/>
  <c r="F46" i="1"/>
  <c r="AF124" i="9"/>
  <c r="AF104" i="9"/>
  <c r="AF96" i="9" s="1"/>
  <c r="AF113" i="9"/>
  <c r="AF112" i="9" s="1"/>
  <c r="D72" i="1"/>
  <c r="D77" i="1" s="1"/>
  <c r="D68" i="1"/>
  <c r="D71" i="1" s="1"/>
  <c r="L67" i="1"/>
  <c r="D16" i="7"/>
  <c r="D7" i="7"/>
  <c r="D13" i="18" s="1"/>
  <c r="B36" i="12"/>
  <c r="D57" i="1"/>
  <c r="O54" i="1"/>
  <c r="G54" i="1"/>
  <c r="E19" i="1"/>
  <c r="E27" i="1"/>
  <c r="N67" i="1"/>
  <c r="N54" i="1"/>
  <c r="H39" i="1"/>
  <c r="G40" i="1"/>
  <c r="J36" i="1"/>
  <c r="I37" i="1"/>
  <c r="F59" i="9"/>
  <c r="E61" i="9"/>
  <c r="E73" i="9" s="1"/>
  <c r="E77" i="9" s="1"/>
  <c r="AG124" i="9"/>
  <c r="AG104" i="9"/>
  <c r="AG96" i="9" s="1"/>
  <c r="AG113" i="9"/>
  <c r="AG112" i="9" s="1"/>
  <c r="K51" i="9"/>
  <c r="G56" i="5"/>
  <c r="G66" i="5" s="1"/>
  <c r="G53" i="9"/>
  <c r="F54" i="9"/>
  <c r="E71" i="1"/>
  <c r="E70" i="1"/>
  <c r="P54" i="1" l="1"/>
  <c r="H54" i="1"/>
  <c r="J19" i="1"/>
  <c r="J54" i="1"/>
  <c r="J57" i="1" s="1"/>
  <c r="K54" i="1"/>
  <c r="H27" i="1"/>
  <c r="H30" i="1" s="1"/>
  <c r="K27" i="1"/>
  <c r="F27" i="9" s="1"/>
  <c r="I54" i="1"/>
  <c r="I57" i="1" s="1"/>
  <c r="Q54" i="1"/>
  <c r="C18" i="1"/>
  <c r="E55" i="1" s="1"/>
  <c r="E56" i="1" s="1"/>
  <c r="O27" i="1"/>
  <c r="O29" i="1" s="1"/>
  <c r="O31" i="1" s="1"/>
  <c r="Q27" i="1"/>
  <c r="Q30" i="1" s="1"/>
  <c r="G19" i="1"/>
  <c r="L27" i="1"/>
  <c r="L29" i="1" s="1"/>
  <c r="L31" i="1" s="1"/>
  <c r="L54" i="1"/>
  <c r="E7" i="7"/>
  <c r="E13" i="18" s="1"/>
  <c r="D104" i="9"/>
  <c r="I39" i="1"/>
  <c r="H40" i="1"/>
  <c r="G57" i="1"/>
  <c r="G59" i="1" s="1"/>
  <c r="G60" i="1" s="1"/>
  <c r="C114" i="9"/>
  <c r="C112" i="9" s="1"/>
  <c r="F64" i="1"/>
  <c r="F65" i="1" s="1"/>
  <c r="F62" i="1"/>
  <c r="F63" i="1" s="1"/>
  <c r="F69" i="1" s="1"/>
  <c r="F18" i="11"/>
  <c r="F57" i="9"/>
  <c r="J37" i="1"/>
  <c r="K36" i="1"/>
  <c r="E30" i="1"/>
  <c r="C27" i="9"/>
  <c r="E29" i="1"/>
  <c r="E31" i="1" s="1"/>
  <c r="D78" i="1"/>
  <c r="D79" i="1"/>
  <c r="D82" i="1" s="1"/>
  <c r="J29" i="1"/>
  <c r="J31" i="1" s="1"/>
  <c r="J30" i="1"/>
  <c r="E27" i="9"/>
  <c r="N29" i="1"/>
  <c r="N31" i="1" s="1"/>
  <c r="N30" i="1"/>
  <c r="G27" i="9"/>
  <c r="C22" i="7"/>
  <c r="C15" i="18" s="1"/>
  <c r="C17" i="18" s="1"/>
  <c r="D75" i="9"/>
  <c r="I29" i="1"/>
  <c r="I31" i="1" s="1"/>
  <c r="D27" i="9"/>
  <c r="I30" i="1"/>
  <c r="G54" i="9"/>
  <c r="H53" i="9"/>
  <c r="H55" i="1"/>
  <c r="H56" i="1" s="1"/>
  <c r="G30" i="1"/>
  <c r="G29" i="1"/>
  <c r="G31" i="1" s="1"/>
  <c r="E81" i="1"/>
  <c r="E83" i="1" s="1"/>
  <c r="E78" i="1"/>
  <c r="P29" i="1"/>
  <c r="P31" i="1" s="1"/>
  <c r="P30" i="1"/>
  <c r="I27" i="9"/>
  <c r="F57" i="1"/>
  <c r="F59" i="1" s="1"/>
  <c r="F60" i="1" s="1"/>
  <c r="E104" i="9"/>
  <c r="G57" i="5"/>
  <c r="G59" i="9"/>
  <c r="F61" i="9"/>
  <c r="F73" i="9" s="1"/>
  <c r="F77" i="9" s="1"/>
  <c r="G45" i="1"/>
  <c r="G80" i="1" s="1"/>
  <c r="G43" i="1"/>
  <c r="G44" i="1" s="1"/>
  <c r="G47" i="1"/>
  <c r="G46" i="1"/>
  <c r="N57" i="1"/>
  <c r="D59" i="1"/>
  <c r="D60" i="1" s="1"/>
  <c r="F80" i="1"/>
  <c r="H29" i="1"/>
  <c r="H31" i="1" s="1"/>
  <c r="P57" i="1"/>
  <c r="E57" i="1"/>
  <c r="C75" i="9"/>
  <c r="F30" i="1"/>
  <c r="F29" i="1"/>
  <c r="F31" i="1" s="1"/>
  <c r="K29" i="1" l="1"/>
  <c r="K31" i="1" s="1"/>
  <c r="O57" i="1"/>
  <c r="P11" i="5" s="1"/>
  <c r="H57" i="1"/>
  <c r="H59" i="1" s="1"/>
  <c r="H60" i="1" s="1"/>
  <c r="C27" i="1"/>
  <c r="K30" i="1"/>
  <c r="H27" i="9"/>
  <c r="K57" i="1"/>
  <c r="F26" i="9" s="1"/>
  <c r="N55" i="1"/>
  <c r="N56" i="1" s="1"/>
  <c r="D55" i="1"/>
  <c r="D56" i="1" s="1"/>
  <c r="Q57" i="1"/>
  <c r="R11" i="5" s="1"/>
  <c r="J27" i="9"/>
  <c r="K27" i="9" s="1"/>
  <c r="Q29" i="1"/>
  <c r="Q31" i="1" s="1"/>
  <c r="O30" i="1"/>
  <c r="K55" i="1"/>
  <c r="K56" i="1" s="1"/>
  <c r="C19" i="1"/>
  <c r="G55" i="1"/>
  <c r="G56" i="1" s="1"/>
  <c r="M55" i="1"/>
  <c r="J55" i="1"/>
  <c r="J56" i="1" s="1"/>
  <c r="Q55" i="1"/>
  <c r="Q56" i="1" s="1"/>
  <c r="P55" i="1"/>
  <c r="P56" i="1" s="1"/>
  <c r="I55" i="1"/>
  <c r="I56" i="1" s="1"/>
  <c r="F55" i="1"/>
  <c r="F56" i="1" s="1"/>
  <c r="O55" i="1"/>
  <c r="O56" i="1" s="1"/>
  <c r="L55" i="1"/>
  <c r="L56" i="1" s="1"/>
  <c r="L57" i="1"/>
  <c r="L59" i="1" s="1"/>
  <c r="L60" i="1" s="1"/>
  <c r="L30" i="1"/>
  <c r="D76" i="9"/>
  <c r="D78" i="9" s="1"/>
  <c r="F72" i="9"/>
  <c r="Q59" i="1"/>
  <c r="Q60" i="1" s="1"/>
  <c r="F72" i="1"/>
  <c r="F77" i="1" s="1"/>
  <c r="F68" i="1"/>
  <c r="F71" i="1" s="1"/>
  <c r="O11" i="5"/>
  <c r="G26" i="9"/>
  <c r="N59" i="1"/>
  <c r="N60" i="1" s="1"/>
  <c r="E113" i="9"/>
  <c r="E112" i="9" s="1"/>
  <c r="E96" i="9"/>
  <c r="G18" i="11"/>
  <c r="G57" i="9"/>
  <c r="G72" i="9" s="1"/>
  <c r="I59" i="1"/>
  <c r="I60" i="1" s="1"/>
  <c r="D26" i="9"/>
  <c r="J39" i="1"/>
  <c r="I40" i="1"/>
  <c r="E59" i="1"/>
  <c r="D21" i="7"/>
  <c r="E16" i="7"/>
  <c r="H26" i="9"/>
  <c r="O59" i="1"/>
  <c r="O60" i="1" s="1"/>
  <c r="G64" i="1"/>
  <c r="G65" i="1" s="1"/>
  <c r="G62" i="1"/>
  <c r="G63" i="1" s="1"/>
  <c r="G69" i="1" s="1"/>
  <c r="H59" i="9"/>
  <c r="G61" i="9"/>
  <c r="G73" i="9" s="1"/>
  <c r="C30" i="1"/>
  <c r="C25" i="1"/>
  <c r="C29" i="1"/>
  <c r="C31" i="1" s="1"/>
  <c r="E26" i="9"/>
  <c r="K11" i="5"/>
  <c r="J59" i="1"/>
  <c r="J60" i="1" s="1"/>
  <c r="D114" i="9"/>
  <c r="D112" i="9" s="1"/>
  <c r="D96" i="9"/>
  <c r="C76" i="9"/>
  <c r="C78" i="9" s="1"/>
  <c r="I26" i="9"/>
  <c r="P59" i="1"/>
  <c r="P60" i="1" s="1"/>
  <c r="F79" i="1"/>
  <c r="F82" i="1" s="1"/>
  <c r="H54" i="9"/>
  <c r="I53" i="9"/>
  <c r="L36" i="1"/>
  <c r="K37" i="1"/>
  <c r="H43" i="1"/>
  <c r="H44" i="1" s="1"/>
  <c r="H45" i="1"/>
  <c r="H80" i="1" s="1"/>
  <c r="H47" i="1"/>
  <c r="H46" i="1"/>
  <c r="J26" i="9" l="1"/>
  <c r="K26" i="9" s="1"/>
  <c r="L11" i="5"/>
  <c r="L12" i="5" s="1"/>
  <c r="E21" i="7"/>
  <c r="K59" i="1"/>
  <c r="K60" i="1" s="1"/>
  <c r="C57" i="1"/>
  <c r="F21" i="7" s="1"/>
  <c r="C56" i="1"/>
  <c r="G104" i="9"/>
  <c r="G96" i="9" s="1"/>
  <c r="H18" i="11"/>
  <c r="H57" i="9"/>
  <c r="H72" i="9" s="1"/>
  <c r="H61" i="9"/>
  <c r="I59" i="9"/>
  <c r="I45" i="1"/>
  <c r="I80" i="1" s="1"/>
  <c r="I43" i="1"/>
  <c r="I44" i="1" s="1"/>
  <c r="I47" i="1"/>
  <c r="I46" i="1"/>
  <c r="H62" i="1"/>
  <c r="H63" i="1" s="1"/>
  <c r="H69" i="1" s="1"/>
  <c r="H64" i="1"/>
  <c r="H65" i="1" s="1"/>
  <c r="K12" i="5"/>
  <c r="K18" i="5"/>
  <c r="L18" i="5"/>
  <c r="P18" i="5"/>
  <c r="P12" i="5"/>
  <c r="E60" i="1"/>
  <c r="K39" i="1"/>
  <c r="J40" i="1"/>
  <c r="O18" i="5"/>
  <c r="O12" i="5"/>
  <c r="G72" i="1"/>
  <c r="G77" i="1" s="1"/>
  <c r="G68" i="1"/>
  <c r="G71" i="1" s="1"/>
  <c r="R18" i="5"/>
  <c r="R12" i="5"/>
  <c r="M36" i="1"/>
  <c r="L37" i="1"/>
  <c r="I54" i="9"/>
  <c r="J53" i="9"/>
  <c r="J54" i="9" s="1"/>
  <c r="G77" i="9"/>
  <c r="D11" i="5"/>
  <c r="D9" i="5" s="1"/>
  <c r="F104" i="9"/>
  <c r="F96" i="9" s="1"/>
  <c r="H104" i="9"/>
  <c r="H96" i="9" s="1"/>
  <c r="F78" i="1"/>
  <c r="F81" i="1"/>
  <c r="F83" i="1" s="1"/>
  <c r="R59" i="1" l="1"/>
  <c r="I104" i="9"/>
  <c r="I96" i="9" s="1"/>
  <c r="B58" i="1"/>
  <c r="D10" i="5"/>
  <c r="D17" i="5" s="1"/>
  <c r="C58" i="1"/>
  <c r="J18" i="11"/>
  <c r="J57" i="9"/>
  <c r="J72" i="9" s="1"/>
  <c r="R13" i="5"/>
  <c r="R14" i="5" s="1"/>
  <c r="R15" i="5" s="1"/>
  <c r="O25" i="5"/>
  <c r="O29" i="5"/>
  <c r="O30" i="5"/>
  <c r="O19" i="5"/>
  <c r="O36" i="5"/>
  <c r="L30" i="5"/>
  <c r="L29" i="5"/>
  <c r="L25" i="5"/>
  <c r="L36" i="5"/>
  <c r="L19" i="5"/>
  <c r="J59" i="9"/>
  <c r="J61" i="9" s="1"/>
  <c r="J73" i="9" s="1"/>
  <c r="J77" i="9" s="1"/>
  <c r="I61" i="9"/>
  <c r="I73" i="9" s="1"/>
  <c r="I77" i="9" s="1"/>
  <c r="I57" i="9"/>
  <c r="R36" i="5"/>
  <c r="R29" i="5"/>
  <c r="R25" i="5"/>
  <c r="R30" i="5"/>
  <c r="R19" i="5"/>
  <c r="J43" i="1"/>
  <c r="J44" i="1" s="1"/>
  <c r="J45" i="1"/>
  <c r="J47" i="1"/>
  <c r="J46" i="1"/>
  <c r="P13" i="5"/>
  <c r="P14" i="5" s="1"/>
  <c r="K19" i="5"/>
  <c r="K36" i="5"/>
  <c r="K25" i="5"/>
  <c r="K29" i="5"/>
  <c r="K30" i="5"/>
  <c r="B22" i="11"/>
  <c r="G21" i="7"/>
  <c r="H21" i="7" s="1"/>
  <c r="I21" i="7" s="1"/>
  <c r="J21" i="7" s="1"/>
  <c r="K21" i="7" s="1"/>
  <c r="L21" i="7" s="1"/>
  <c r="M21" i="7" s="1"/>
  <c r="N21" i="7" s="1"/>
  <c r="O21" i="7" s="1"/>
  <c r="P21" i="7" s="1"/>
  <c r="Q21" i="7" s="1"/>
  <c r="R21" i="7" s="1"/>
  <c r="S21" i="7" s="1"/>
  <c r="T21" i="7" s="1"/>
  <c r="U21" i="7" s="1"/>
  <c r="V21" i="7" s="1"/>
  <c r="W21" i="7" s="1"/>
  <c r="X21" i="7" s="1"/>
  <c r="Y21" i="7" s="1"/>
  <c r="Z21" i="7" s="1"/>
  <c r="AA21" i="7" s="1"/>
  <c r="AB21" i="7" s="1"/>
  <c r="AC21" i="7" s="1"/>
  <c r="AD21" i="7" s="1"/>
  <c r="AE21" i="7" s="1"/>
  <c r="AF21" i="7" s="1"/>
  <c r="AG21" i="7" s="1"/>
  <c r="H73" i="9"/>
  <c r="K54" i="9"/>
  <c r="G81" i="1"/>
  <c r="G83" i="1" s="1"/>
  <c r="G78" i="1"/>
  <c r="G79" i="1"/>
  <c r="G82" i="1" s="1"/>
  <c r="L39" i="1"/>
  <c r="K40" i="1"/>
  <c r="P25" i="5"/>
  <c r="P36" i="5"/>
  <c r="P19" i="5"/>
  <c r="P30" i="5"/>
  <c r="P29" i="5"/>
  <c r="K13" i="5"/>
  <c r="K14" i="5" s="1"/>
  <c r="H72" i="1"/>
  <c r="H77" i="1" s="1"/>
  <c r="H68" i="1"/>
  <c r="H71" i="1" s="1"/>
  <c r="D18" i="5"/>
  <c r="N36" i="1"/>
  <c r="M68" i="1"/>
  <c r="M37" i="1"/>
  <c r="O13" i="5"/>
  <c r="O14" i="5" s="1"/>
  <c r="L13" i="5"/>
  <c r="L14" i="5" s="1"/>
  <c r="L15" i="5" s="1"/>
  <c r="I64" i="1"/>
  <c r="I65" i="1" s="1"/>
  <c r="I62" i="1"/>
  <c r="I63" i="1" s="1"/>
  <c r="I69" i="1" s="1"/>
  <c r="B18" i="11"/>
  <c r="D12" i="5" l="1"/>
  <c r="P15" i="5"/>
  <c r="H7" i="11" s="1"/>
  <c r="J104" i="9"/>
  <c r="J96" i="9" s="1"/>
  <c r="F7" i="11"/>
  <c r="J7" i="11"/>
  <c r="P45" i="5"/>
  <c r="P31" i="5"/>
  <c r="P27" i="5" s="1"/>
  <c r="P37" i="5"/>
  <c r="H34" i="9"/>
  <c r="H71" i="9" s="1"/>
  <c r="H74" i="9" s="1"/>
  <c r="O15" i="5"/>
  <c r="K15" i="5"/>
  <c r="K47" i="1"/>
  <c r="K45" i="1"/>
  <c r="K43" i="1"/>
  <c r="K44" i="1" s="1"/>
  <c r="K46" i="1"/>
  <c r="I34" i="9"/>
  <c r="I71" i="9" s="1"/>
  <c r="S19" i="5"/>
  <c r="M16" i="7"/>
  <c r="U16" i="7"/>
  <c r="H16" i="7"/>
  <c r="P16" i="7"/>
  <c r="X16" i="7"/>
  <c r="AB16" i="7"/>
  <c r="AF16" i="7"/>
  <c r="O16" i="7"/>
  <c r="K16" i="7"/>
  <c r="N16" i="7"/>
  <c r="Y16" i="7"/>
  <c r="AD16" i="7"/>
  <c r="G16" i="7"/>
  <c r="S16" i="7"/>
  <c r="J16" i="7"/>
  <c r="T16" i="7"/>
  <c r="AA16" i="7"/>
  <c r="AG16" i="7"/>
  <c r="F16" i="7"/>
  <c r="Z16" i="7"/>
  <c r="Q16" i="7"/>
  <c r="R16" i="7"/>
  <c r="AE16" i="7"/>
  <c r="V16" i="7"/>
  <c r="I16" i="7"/>
  <c r="AC16" i="7"/>
  <c r="W16" i="7"/>
  <c r="L16" i="7"/>
  <c r="J22" i="11"/>
  <c r="G22" i="11"/>
  <c r="E22" i="11"/>
  <c r="H22" i="11"/>
  <c r="F22" i="11"/>
  <c r="K31" i="5"/>
  <c r="K27" i="5" s="1"/>
  <c r="K45" i="5"/>
  <c r="K37" i="5"/>
  <c r="E34" i="9"/>
  <c r="L37" i="5"/>
  <c r="L31" i="5"/>
  <c r="L27" i="5" s="1"/>
  <c r="L45" i="5"/>
  <c r="F34" i="9"/>
  <c r="F71" i="9" s="1"/>
  <c r="F74" i="9" s="1"/>
  <c r="O31" i="5"/>
  <c r="O27" i="5" s="1"/>
  <c r="O45" i="5"/>
  <c r="O37" i="5"/>
  <c r="G34" i="9"/>
  <c r="G71" i="9" s="1"/>
  <c r="G74" i="9" s="1"/>
  <c r="O36" i="1"/>
  <c r="N37" i="1"/>
  <c r="D36" i="5"/>
  <c r="D19" i="5"/>
  <c r="D25" i="5"/>
  <c r="P20" i="5"/>
  <c r="P21" i="5" s="1"/>
  <c r="M39" i="1"/>
  <c r="L40" i="1"/>
  <c r="D29" i="5"/>
  <c r="S29" i="5"/>
  <c r="K61" i="9"/>
  <c r="K20" i="5"/>
  <c r="K21" i="5" s="1"/>
  <c r="R20" i="5"/>
  <c r="R21" i="5" s="1"/>
  <c r="R45" i="5"/>
  <c r="R31" i="5"/>
  <c r="R27" i="5" s="1"/>
  <c r="R37" i="5"/>
  <c r="J34" i="9"/>
  <c r="J71" i="9" s="1"/>
  <c r="J74" i="9" s="1"/>
  <c r="D13" i="5"/>
  <c r="O20" i="5"/>
  <c r="O21" i="5" s="1"/>
  <c r="S30" i="5"/>
  <c r="D30" i="5"/>
  <c r="H77" i="9"/>
  <c r="K73" i="9"/>
  <c r="K77" i="9" s="1"/>
  <c r="G86" i="9"/>
  <c r="G109" i="9" s="1"/>
  <c r="G123" i="9" s="1"/>
  <c r="F86" i="9"/>
  <c r="F109" i="9" s="1"/>
  <c r="F123" i="9" s="1"/>
  <c r="H86" i="9"/>
  <c r="H109" i="9" s="1"/>
  <c r="H123" i="9" s="1"/>
  <c r="D86" i="9"/>
  <c r="D109" i="9" s="1"/>
  <c r="D123" i="9" s="1"/>
  <c r="E86" i="9"/>
  <c r="E109" i="9" s="1"/>
  <c r="E123" i="9" s="1"/>
  <c r="C86" i="9"/>
  <c r="C109" i="9" s="1"/>
  <c r="C123" i="9" s="1"/>
  <c r="C125" i="9" s="1"/>
  <c r="D122" i="9" s="1"/>
  <c r="D125" i="9" s="1"/>
  <c r="E122" i="9" s="1"/>
  <c r="K86" i="9"/>
  <c r="I86" i="9"/>
  <c r="I109" i="9" s="1"/>
  <c r="I123" i="9" s="1"/>
  <c r="J86" i="9"/>
  <c r="J109" i="9" s="1"/>
  <c r="J123" i="9" s="1"/>
  <c r="J62" i="1"/>
  <c r="J63" i="1" s="1"/>
  <c r="J69" i="1" s="1"/>
  <c r="J64" i="1"/>
  <c r="J65" i="1" s="1"/>
  <c r="I72" i="9"/>
  <c r="K57" i="9"/>
  <c r="I72" i="1"/>
  <c r="I77" i="1" s="1"/>
  <c r="I68" i="1"/>
  <c r="H78" i="1"/>
  <c r="H81" i="1"/>
  <c r="H83" i="1" s="1"/>
  <c r="H79" i="1"/>
  <c r="H82" i="1" s="1"/>
  <c r="S25" i="5"/>
  <c r="J80" i="1"/>
  <c r="L20" i="5"/>
  <c r="L21" i="5" s="1"/>
  <c r="D58" i="1"/>
  <c r="C59" i="1"/>
  <c r="C60" i="1" s="1"/>
  <c r="S21" i="5" l="1"/>
  <c r="I85" i="9"/>
  <c r="C85" i="9"/>
  <c r="H85" i="9"/>
  <c r="E85" i="9"/>
  <c r="J85" i="9"/>
  <c r="K72" i="9"/>
  <c r="F85" i="9"/>
  <c r="G85" i="9"/>
  <c r="D85" i="9"/>
  <c r="K85" i="9"/>
  <c r="L85" i="9" s="1"/>
  <c r="M85" i="9" s="1"/>
  <c r="N85" i="9" s="1"/>
  <c r="O85" i="9" s="1"/>
  <c r="P85" i="9" s="1"/>
  <c r="Q85" i="9" s="1"/>
  <c r="R85" i="9" s="1"/>
  <c r="S85" i="9" s="1"/>
  <c r="T85" i="9" s="1"/>
  <c r="U85" i="9" s="1"/>
  <c r="V85" i="9" s="1"/>
  <c r="W85" i="9" s="1"/>
  <c r="X85" i="9" s="1"/>
  <c r="Y85" i="9" s="1"/>
  <c r="Z85" i="9" s="1"/>
  <c r="AA85" i="9" s="1"/>
  <c r="AB85" i="9" s="1"/>
  <c r="AC85" i="9" s="1"/>
  <c r="AD85" i="9" s="1"/>
  <c r="AE85" i="9" s="1"/>
  <c r="AF85" i="9" s="1"/>
  <c r="AG85" i="9" s="1"/>
  <c r="AH85" i="9" s="1"/>
  <c r="D14" i="5"/>
  <c r="D15" i="5" s="1"/>
  <c r="R26" i="5"/>
  <c r="R23" i="5" s="1"/>
  <c r="R32" i="5" s="1"/>
  <c r="R38" i="5" s="1"/>
  <c r="O26" i="5"/>
  <c r="O23" i="5" s="1"/>
  <c r="O32" i="5" s="1"/>
  <c r="O38" i="5" s="1"/>
  <c r="L52" i="5"/>
  <c r="L53" i="5" s="1"/>
  <c r="L46" i="5"/>
  <c r="L48" i="5"/>
  <c r="L49" i="5"/>
  <c r="E71" i="9"/>
  <c r="K34" i="9"/>
  <c r="G7" i="11"/>
  <c r="S31" i="5"/>
  <c r="L45" i="1"/>
  <c r="L43" i="1"/>
  <c r="L44" i="1" s="1"/>
  <c r="L47" i="1"/>
  <c r="L46" i="1"/>
  <c r="P36" i="1"/>
  <c r="O37" i="1"/>
  <c r="O48" i="5"/>
  <c r="O52" i="5"/>
  <c r="O53" i="5" s="1"/>
  <c r="O46" i="5"/>
  <c r="O49" i="5"/>
  <c r="K26" i="5"/>
  <c r="K23" i="5" s="1"/>
  <c r="K32" i="5" s="1"/>
  <c r="K38" i="5" s="1"/>
  <c r="K80" i="1"/>
  <c r="P49" i="5"/>
  <c r="P48" i="5"/>
  <c r="P52" i="5"/>
  <c r="P53" i="5" s="1"/>
  <c r="P46" i="5"/>
  <c r="I71" i="1"/>
  <c r="I70" i="1"/>
  <c r="K109" i="9"/>
  <c r="K123" i="9" s="1"/>
  <c r="L86" i="9"/>
  <c r="J90" i="9"/>
  <c r="E90" i="9"/>
  <c r="I90" i="9"/>
  <c r="H90" i="9"/>
  <c r="K90" i="9"/>
  <c r="L90" i="9" s="1"/>
  <c r="M90" i="9" s="1"/>
  <c r="N90" i="9" s="1"/>
  <c r="O90" i="9" s="1"/>
  <c r="P90" i="9" s="1"/>
  <c r="Q90" i="9" s="1"/>
  <c r="R90" i="9" s="1"/>
  <c r="S90" i="9" s="1"/>
  <c r="T90" i="9" s="1"/>
  <c r="U90" i="9" s="1"/>
  <c r="V90" i="9" s="1"/>
  <c r="W90" i="9" s="1"/>
  <c r="X90" i="9" s="1"/>
  <c r="Y90" i="9" s="1"/>
  <c r="Z90" i="9" s="1"/>
  <c r="AA90" i="9" s="1"/>
  <c r="AB90" i="9" s="1"/>
  <c r="AC90" i="9" s="1"/>
  <c r="AD90" i="9" s="1"/>
  <c r="AE90" i="9" s="1"/>
  <c r="AF90" i="9" s="1"/>
  <c r="AG90" i="9" s="1"/>
  <c r="AH90" i="9" s="1"/>
  <c r="C90" i="9"/>
  <c r="D90" i="9"/>
  <c r="G90" i="9"/>
  <c r="F90" i="9"/>
  <c r="R52" i="5"/>
  <c r="R53" i="5" s="1"/>
  <c r="R48" i="5"/>
  <c r="R49" i="5"/>
  <c r="R46" i="5"/>
  <c r="S27" i="5"/>
  <c r="N39" i="1"/>
  <c r="M40" i="1"/>
  <c r="D20" i="5"/>
  <c r="D21" i="5" s="1"/>
  <c r="L26" i="5"/>
  <c r="L23" i="5" s="1"/>
  <c r="L32" i="5" s="1"/>
  <c r="L38" i="5" s="1"/>
  <c r="K52" i="5"/>
  <c r="K53" i="5" s="1"/>
  <c r="K49" i="5"/>
  <c r="K46" i="5"/>
  <c r="K48" i="5"/>
  <c r="S20" i="5"/>
  <c r="K62" i="1"/>
  <c r="K63" i="1" s="1"/>
  <c r="K69" i="1" s="1"/>
  <c r="K64" i="1"/>
  <c r="K65" i="1" s="1"/>
  <c r="H75" i="9"/>
  <c r="H16" i="11" s="1"/>
  <c r="I81" i="1"/>
  <c r="I83" i="1" s="1"/>
  <c r="I78" i="1"/>
  <c r="I79" i="1"/>
  <c r="I82" i="1" s="1"/>
  <c r="J72" i="1"/>
  <c r="J77" i="1" s="1"/>
  <c r="J68" i="1"/>
  <c r="E125" i="9"/>
  <c r="F122" i="9" s="1"/>
  <c r="F125" i="9" s="1"/>
  <c r="G122" i="9" s="1"/>
  <c r="G125" i="9" s="1"/>
  <c r="H122" i="9" s="1"/>
  <c r="H125" i="9" s="1"/>
  <c r="I122" i="9" s="1"/>
  <c r="I125" i="9" s="1"/>
  <c r="J122" i="9" s="1"/>
  <c r="J125" i="9" s="1"/>
  <c r="K122" i="9" s="1"/>
  <c r="J75" i="9"/>
  <c r="J16" i="11" s="1"/>
  <c r="D37" i="5"/>
  <c r="D31" i="5"/>
  <c r="D27" i="5" s="1"/>
  <c r="D45" i="5"/>
  <c r="G75" i="9"/>
  <c r="G16" i="11" s="1"/>
  <c r="F75" i="9"/>
  <c r="F16" i="11" s="1"/>
  <c r="I74" i="9"/>
  <c r="E7" i="11"/>
  <c r="P26" i="5"/>
  <c r="P23" i="5" s="1"/>
  <c r="P32" i="5" s="1"/>
  <c r="P38" i="5" s="1"/>
  <c r="F76" i="9" l="1"/>
  <c r="F78" i="9" s="1"/>
  <c r="F20" i="11" s="1"/>
  <c r="G76" i="9"/>
  <c r="G78" i="9" s="1"/>
  <c r="G20" i="11" s="1"/>
  <c r="H76" i="9"/>
  <c r="H78" i="9" s="1"/>
  <c r="H20" i="11" s="1"/>
  <c r="K54" i="5"/>
  <c r="K56" i="5" s="1"/>
  <c r="K57" i="5" s="1"/>
  <c r="L40" i="5"/>
  <c r="J70" i="1"/>
  <c r="J71" i="1"/>
  <c r="P54" i="5"/>
  <c r="K40" i="5"/>
  <c r="O54" i="5"/>
  <c r="L80" i="1"/>
  <c r="I75" i="9"/>
  <c r="J76" i="9"/>
  <c r="J78" i="9" s="1"/>
  <c r="J20" i="11" s="1"/>
  <c r="J81" i="1"/>
  <c r="J83" i="1" s="1"/>
  <c r="E11" i="11" s="1"/>
  <c r="J78" i="1"/>
  <c r="M47" i="1"/>
  <c r="M45" i="1"/>
  <c r="M43" i="1"/>
  <c r="M44" i="1" s="1"/>
  <c r="M46" i="1"/>
  <c r="M86" i="9"/>
  <c r="L109" i="9"/>
  <c r="L123" i="9" s="1"/>
  <c r="G84" i="9"/>
  <c r="G87" i="9" s="1"/>
  <c r="I84" i="9"/>
  <c r="I87" i="9" s="1"/>
  <c r="K84" i="9"/>
  <c r="E74" i="9"/>
  <c r="H84" i="9"/>
  <c r="H87" i="9" s="1"/>
  <c r="K71" i="9"/>
  <c r="F84" i="9"/>
  <c r="F87" i="9" s="1"/>
  <c r="C84" i="9"/>
  <c r="C87" i="9" s="1"/>
  <c r="J84" i="9"/>
  <c r="J87" i="9" s="1"/>
  <c r="E84" i="9"/>
  <c r="E87" i="9" s="1"/>
  <c r="D84" i="9"/>
  <c r="D87" i="9" s="1"/>
  <c r="L54" i="5"/>
  <c r="D26" i="5"/>
  <c r="D23" i="5" s="1"/>
  <c r="D32" i="5" s="1"/>
  <c r="D38" i="5" s="1"/>
  <c r="P40" i="5"/>
  <c r="D52" i="5"/>
  <c r="D46" i="5"/>
  <c r="D48" i="5"/>
  <c r="D49" i="5"/>
  <c r="K72" i="1"/>
  <c r="K77" i="1" s="1"/>
  <c r="K79" i="1" s="1"/>
  <c r="K82" i="1" s="1"/>
  <c r="K68" i="1"/>
  <c r="O39" i="1"/>
  <c r="N40" i="1"/>
  <c r="L62" i="1"/>
  <c r="L63" i="1" s="1"/>
  <c r="L69" i="1" s="1"/>
  <c r="L64" i="1"/>
  <c r="L65" i="1" s="1"/>
  <c r="O40" i="5"/>
  <c r="O41" i="5" s="1"/>
  <c r="R40" i="5"/>
  <c r="R41" i="5" s="1"/>
  <c r="S26" i="5"/>
  <c r="B7" i="11"/>
  <c r="K125" i="9"/>
  <c r="L122" i="9" s="1"/>
  <c r="L125" i="9" s="1"/>
  <c r="M122" i="9" s="1"/>
  <c r="D53" i="5"/>
  <c r="R54" i="5"/>
  <c r="Q36" i="1"/>
  <c r="Q37" i="1" s="1"/>
  <c r="P37" i="1"/>
  <c r="J79" i="1"/>
  <c r="J82" i="1" s="1"/>
  <c r="K66" i="5" l="1"/>
  <c r="E17" i="11" s="1"/>
  <c r="I76" i="9"/>
  <c r="I78" i="9" s="1"/>
  <c r="R56" i="5"/>
  <c r="R57" i="5" s="1"/>
  <c r="J8" i="11"/>
  <c r="L72" i="1"/>
  <c r="L77" i="1" s="1"/>
  <c r="L68" i="1"/>
  <c r="P39" i="1"/>
  <c r="O40" i="1"/>
  <c r="O56" i="5"/>
  <c r="O57" i="5" s="1"/>
  <c r="E9" i="11"/>
  <c r="K71" i="1"/>
  <c r="K70" i="1"/>
  <c r="P41" i="5"/>
  <c r="L56" i="5"/>
  <c r="L57" i="5" s="1"/>
  <c r="C88" i="9"/>
  <c r="D14" i="7" s="1"/>
  <c r="E75" i="9"/>
  <c r="E76" i="9" s="1"/>
  <c r="E78" i="9" s="1"/>
  <c r="E20" i="11" s="1"/>
  <c r="K74" i="9"/>
  <c r="M64" i="1"/>
  <c r="K41" i="5"/>
  <c r="K60" i="5" s="1"/>
  <c r="K62" i="5" s="1"/>
  <c r="S23" i="5"/>
  <c r="G8" i="11"/>
  <c r="K78" i="1"/>
  <c r="K81" i="1"/>
  <c r="K83" i="1" s="1"/>
  <c r="F11" i="11" s="1"/>
  <c r="K87" i="9"/>
  <c r="L84" i="9"/>
  <c r="M109" i="9"/>
  <c r="M123" i="9" s="1"/>
  <c r="M125" i="9" s="1"/>
  <c r="N122" i="9" s="1"/>
  <c r="N86" i="9"/>
  <c r="D54" i="5"/>
  <c r="N45" i="1"/>
  <c r="N43" i="1"/>
  <c r="N44" i="1" s="1"/>
  <c r="N47" i="1"/>
  <c r="N46" i="1"/>
  <c r="L79" i="1"/>
  <c r="L82" i="1" s="1"/>
  <c r="P56" i="5"/>
  <c r="P66" i="5" s="1"/>
  <c r="H17" i="11" s="1"/>
  <c r="H15" i="11" s="1"/>
  <c r="L41" i="5"/>
  <c r="B20" i="11" l="1"/>
  <c r="L66" i="5"/>
  <c r="F17" i="11" s="1"/>
  <c r="F15" i="11" s="1"/>
  <c r="R66" i="5"/>
  <c r="J17" i="11" s="1"/>
  <c r="J15" i="11" s="1"/>
  <c r="C89" i="9"/>
  <c r="C91" i="9" s="1"/>
  <c r="C97" i="9" s="1"/>
  <c r="C98" i="9" s="1"/>
  <c r="D12" i="7" s="1"/>
  <c r="R60" i="5"/>
  <c r="R64" i="5" s="1"/>
  <c r="J9" i="11"/>
  <c r="J10" i="11" s="1"/>
  <c r="N125" i="9"/>
  <c r="O122" i="9" s="1"/>
  <c r="G9" i="11"/>
  <c r="G10" i="11" s="1"/>
  <c r="O60" i="5"/>
  <c r="O64" i="5" s="1"/>
  <c r="N62" i="1"/>
  <c r="N63" i="1" s="1"/>
  <c r="N69" i="1" s="1"/>
  <c r="N64" i="1"/>
  <c r="N65" i="1" s="1"/>
  <c r="N80" i="1"/>
  <c r="L60" i="5"/>
  <c r="L62" i="5" s="1"/>
  <c r="F9" i="11"/>
  <c r="K64" i="5"/>
  <c r="Q39" i="1"/>
  <c r="Q40" i="1" s="1"/>
  <c r="P40" i="1"/>
  <c r="P57" i="5"/>
  <c r="O66" i="5"/>
  <c r="G17" i="11" s="1"/>
  <c r="G15" i="11" s="1"/>
  <c r="M84" i="9"/>
  <c r="L87" i="9"/>
  <c r="H8" i="11"/>
  <c r="L71" i="1"/>
  <c r="L70" i="1"/>
  <c r="D56" i="5"/>
  <c r="D57" i="5" s="1"/>
  <c r="S32" i="5"/>
  <c r="L81" i="1"/>
  <c r="L83" i="1" s="1"/>
  <c r="L78" i="1"/>
  <c r="F8" i="11"/>
  <c r="O86" i="9"/>
  <c r="N109" i="9"/>
  <c r="N123" i="9" s="1"/>
  <c r="E8" i="11"/>
  <c r="E10" i="11" s="1"/>
  <c r="E12" i="11" s="1"/>
  <c r="K63" i="5"/>
  <c r="E16" i="11"/>
  <c r="D88" i="9"/>
  <c r="K75" i="9"/>
  <c r="E88" i="9" s="1"/>
  <c r="O45" i="1"/>
  <c r="O43" i="1"/>
  <c r="O44" i="1" s="1"/>
  <c r="O47" i="1"/>
  <c r="O46" i="1"/>
  <c r="I24" i="11" l="1"/>
  <c r="F10" i="11"/>
  <c r="F12" i="11" s="1"/>
  <c r="G24" i="11"/>
  <c r="C35" i="12" s="1"/>
  <c r="C92" i="9"/>
  <c r="C108" i="9"/>
  <c r="C107" i="9" s="1"/>
  <c r="C110" i="9" s="1"/>
  <c r="C115" i="9" s="1"/>
  <c r="C117" i="9" s="1"/>
  <c r="D116" i="9" s="1"/>
  <c r="L64" i="5"/>
  <c r="L63" i="5"/>
  <c r="D24" i="11"/>
  <c r="E15" i="11"/>
  <c r="E24" i="11" s="1"/>
  <c r="B16" i="11"/>
  <c r="O109" i="9"/>
  <c r="O123" i="9" s="1"/>
  <c r="P86" i="9"/>
  <c r="F88" i="9"/>
  <c r="F14" i="7"/>
  <c r="E89" i="9"/>
  <c r="E91" i="9" s="1"/>
  <c r="P47" i="1"/>
  <c r="P43" i="1"/>
  <c r="P44" i="1" s="1"/>
  <c r="P45" i="1"/>
  <c r="P46" i="1"/>
  <c r="O62" i="5"/>
  <c r="O63" i="5"/>
  <c r="O62" i="1"/>
  <c r="O63" i="1" s="1"/>
  <c r="O69" i="1" s="1"/>
  <c r="O64" i="1"/>
  <c r="O65" i="1" s="1"/>
  <c r="E14" i="7"/>
  <c r="D89" i="9"/>
  <c r="D91" i="9" s="1"/>
  <c r="K76" i="9"/>
  <c r="K78" i="9" s="1"/>
  <c r="N84" i="9"/>
  <c r="M87" i="9"/>
  <c r="Q45" i="1"/>
  <c r="Q43" i="1"/>
  <c r="Q44" i="1" s="1"/>
  <c r="Q47" i="1"/>
  <c r="Q46" i="1"/>
  <c r="N68" i="1"/>
  <c r="N72" i="1"/>
  <c r="N77" i="1" s="1"/>
  <c r="N79" i="1" s="1"/>
  <c r="N82" i="1" s="1"/>
  <c r="O125" i="9"/>
  <c r="P122" i="9" s="1"/>
  <c r="R62" i="5"/>
  <c r="R63" i="5"/>
  <c r="O80" i="1"/>
  <c r="P60" i="5"/>
  <c r="P64" i="5" s="1"/>
  <c r="H9" i="11"/>
  <c r="J24" i="11"/>
  <c r="B9" i="11" l="1"/>
  <c r="F24" i="11"/>
  <c r="F25" i="11" s="1"/>
  <c r="C30" i="12" s="1"/>
  <c r="H10" i="11"/>
  <c r="H24" i="11" s="1"/>
  <c r="C17" i="12"/>
  <c r="D25" i="11"/>
  <c r="C18" i="12" s="1"/>
  <c r="C53" i="12"/>
  <c r="N71" i="1"/>
  <c r="N70" i="1"/>
  <c r="D97" i="9"/>
  <c r="D98" i="9" s="1"/>
  <c r="E12" i="7" s="1"/>
  <c r="D108" i="9"/>
  <c r="D107" i="9" s="1"/>
  <c r="D110" i="9" s="1"/>
  <c r="D115" i="9" s="1"/>
  <c r="D117" i="9" s="1"/>
  <c r="E116" i="9" s="1"/>
  <c r="D92" i="9"/>
  <c r="E92" i="9" s="1"/>
  <c r="P80" i="1"/>
  <c r="D40" i="5"/>
  <c r="D35" i="12"/>
  <c r="E35" i="12" s="1"/>
  <c r="F35" i="12" s="1"/>
  <c r="G35" i="12" s="1"/>
  <c r="H35" i="12" s="1"/>
  <c r="I35" i="12" s="1"/>
  <c r="J35" i="12" s="1"/>
  <c r="K35" i="12" s="1"/>
  <c r="C37" i="12"/>
  <c r="Q80" i="1"/>
  <c r="G88" i="9"/>
  <c r="G14" i="7"/>
  <c r="F89" i="9"/>
  <c r="F91" i="9" s="1"/>
  <c r="E25" i="11"/>
  <c r="C24" i="12" s="1"/>
  <c r="C23" i="12"/>
  <c r="C47" i="12"/>
  <c r="O68" i="1"/>
  <c r="O72" i="1"/>
  <c r="O77" i="1" s="1"/>
  <c r="P62" i="1"/>
  <c r="P63" i="1" s="1"/>
  <c r="P69" i="1" s="1"/>
  <c r="P64" i="1"/>
  <c r="P65" i="1" s="1"/>
  <c r="P109" i="9"/>
  <c r="P123" i="9" s="1"/>
  <c r="P125" i="9" s="1"/>
  <c r="Q122" i="9" s="1"/>
  <c r="Q86" i="9"/>
  <c r="P62" i="5"/>
  <c r="P63" i="5"/>
  <c r="N81" i="1"/>
  <c r="N83" i="1" s="1"/>
  <c r="G11" i="11" s="1"/>
  <c r="N78" i="1"/>
  <c r="Q62" i="1"/>
  <c r="Q63" i="1" s="1"/>
  <c r="Q69" i="1" s="1"/>
  <c r="Q64" i="1"/>
  <c r="Q65" i="1" s="1"/>
  <c r="N87" i="9"/>
  <c r="O84" i="9"/>
  <c r="E108" i="9"/>
  <c r="E107" i="9" s="1"/>
  <c r="E110" i="9" s="1"/>
  <c r="E115" i="9" s="1"/>
  <c r="E97" i="9"/>
  <c r="E98" i="9" s="1"/>
  <c r="F12" i="7" s="1"/>
  <c r="C29" i="12" l="1"/>
  <c r="D29" i="12" s="1"/>
  <c r="E29" i="12" s="1"/>
  <c r="F29" i="12" s="1"/>
  <c r="G29" i="12" s="1"/>
  <c r="H29" i="12" s="1"/>
  <c r="I29" i="12" s="1"/>
  <c r="J29" i="12" s="1"/>
  <c r="K29" i="12" s="1"/>
  <c r="G37" i="12"/>
  <c r="D18" i="12"/>
  <c r="D17" i="12"/>
  <c r="C19" i="12"/>
  <c r="E117" i="9"/>
  <c r="F116" i="9" s="1"/>
  <c r="P84" i="9"/>
  <c r="O87" i="9"/>
  <c r="G12" i="11"/>
  <c r="G25" i="11"/>
  <c r="C36" i="12" s="1"/>
  <c r="D23" i="12"/>
  <c r="E23" i="12" s="1"/>
  <c r="F23" i="12" s="1"/>
  <c r="G23" i="12" s="1"/>
  <c r="H23" i="12" s="1"/>
  <c r="I23" i="12" s="1"/>
  <c r="J23" i="12" s="1"/>
  <c r="K23" i="12" s="1"/>
  <c r="C25" i="12"/>
  <c r="H88" i="9"/>
  <c r="H14" i="7"/>
  <c r="G89" i="9"/>
  <c r="G91" i="9" s="1"/>
  <c r="I37" i="12"/>
  <c r="C41" i="12"/>
  <c r="Q109" i="9"/>
  <c r="Q123" i="9" s="1"/>
  <c r="Q125" i="9" s="1"/>
  <c r="R122" i="9" s="1"/>
  <c r="R86" i="9"/>
  <c r="O78" i="1"/>
  <c r="O81" i="1"/>
  <c r="O83" i="1" s="1"/>
  <c r="H11" i="11" s="1"/>
  <c r="H12" i="11" s="1"/>
  <c r="O79" i="1"/>
  <c r="O82" i="1" s="1"/>
  <c r="D24" i="12"/>
  <c r="E24" i="12" s="1"/>
  <c r="F24" i="12" s="1"/>
  <c r="G24" i="12" s="1"/>
  <c r="H24" i="12" s="1"/>
  <c r="I24" i="12" s="1"/>
  <c r="J24" i="12" s="1"/>
  <c r="K24" i="12" s="1"/>
  <c r="S41" i="5"/>
  <c r="K37" i="12"/>
  <c r="F37" i="12"/>
  <c r="H37" i="12"/>
  <c r="D30" i="12"/>
  <c r="E30" i="12" s="1"/>
  <c r="F30" i="12" s="1"/>
  <c r="G30" i="12" s="1"/>
  <c r="H30" i="12" s="1"/>
  <c r="I30" i="12" s="1"/>
  <c r="J30" i="12" s="1"/>
  <c r="K30" i="12" s="1"/>
  <c r="Q68" i="1"/>
  <c r="Q72" i="1"/>
  <c r="Q77" i="1" s="1"/>
  <c r="O71" i="1"/>
  <c r="O70" i="1"/>
  <c r="F97" i="9"/>
  <c r="F98" i="9" s="1"/>
  <c r="G12" i="7" s="1"/>
  <c r="F92" i="9"/>
  <c r="F108" i="9"/>
  <c r="F107" i="9" s="1"/>
  <c r="F110" i="9" s="1"/>
  <c r="F115" i="9" s="1"/>
  <c r="M35" i="12"/>
  <c r="N35" i="12" s="1"/>
  <c r="O35" i="12" s="1"/>
  <c r="P35" i="12" s="1"/>
  <c r="Q35" i="12" s="1"/>
  <c r="R35" i="12" s="1"/>
  <c r="S35" i="12" s="1"/>
  <c r="T35" i="12" s="1"/>
  <c r="U35" i="12" s="1"/>
  <c r="W35" i="12" s="1"/>
  <c r="X35" i="12" s="1"/>
  <c r="Y35" i="12" s="1"/>
  <c r="Z35" i="12" s="1"/>
  <c r="AA35" i="12" s="1"/>
  <c r="AB35" i="12" s="1"/>
  <c r="AC35" i="12" s="1"/>
  <c r="AD35" i="12" s="1"/>
  <c r="AE35" i="12" s="1"/>
  <c r="AF35" i="12" s="1"/>
  <c r="L35" i="12"/>
  <c r="E15" i="7"/>
  <c r="E13" i="7" s="1"/>
  <c r="E17" i="7" s="1"/>
  <c r="D15" i="7"/>
  <c r="D13" i="7" s="1"/>
  <c r="D17" i="7" s="1"/>
  <c r="S66" i="5"/>
  <c r="P72" i="1"/>
  <c r="P77" i="1" s="1"/>
  <c r="P68" i="1"/>
  <c r="D47" i="12"/>
  <c r="E47" i="12" s="1"/>
  <c r="F47" i="12" s="1"/>
  <c r="G47" i="12" s="1"/>
  <c r="H47" i="12" s="1"/>
  <c r="I47" i="12" s="1"/>
  <c r="J47" i="12" s="1"/>
  <c r="K47" i="12" s="1"/>
  <c r="C49" i="12"/>
  <c r="D37" i="12"/>
  <c r="J37" i="12"/>
  <c r="E37" i="12"/>
  <c r="D66" i="5"/>
  <c r="AC15" i="7"/>
  <c r="K15" i="7"/>
  <c r="X15" i="7"/>
  <c r="J15" i="7"/>
  <c r="AG15" i="7"/>
  <c r="F15" i="7"/>
  <c r="F13" i="7" s="1"/>
  <c r="F17" i="7" s="1"/>
  <c r="Q15" i="7"/>
  <c r="P15" i="7"/>
  <c r="I15" i="7"/>
  <c r="Y15" i="7"/>
  <c r="AB15" i="7"/>
  <c r="AF15" i="7"/>
  <c r="R15" i="7"/>
  <c r="V15" i="7"/>
  <c r="N15" i="7"/>
  <c r="G15" i="7"/>
  <c r="G13" i="7" s="1"/>
  <c r="AA15" i="7"/>
  <c r="Z15" i="7"/>
  <c r="H15" i="7"/>
  <c r="U15" i="7"/>
  <c r="M15" i="7"/>
  <c r="O15" i="7"/>
  <c r="AE15" i="7"/>
  <c r="W15" i="7"/>
  <c r="S15" i="7"/>
  <c r="L15" i="7"/>
  <c r="AD15" i="7"/>
  <c r="T15" i="7"/>
  <c r="D41" i="5"/>
  <c r="D53" i="12"/>
  <c r="E53" i="12" s="1"/>
  <c r="F53" i="12" s="1"/>
  <c r="G53" i="12" s="1"/>
  <c r="H53" i="12" s="1"/>
  <c r="I53" i="12" s="1"/>
  <c r="J53" i="12" s="1"/>
  <c r="K53" i="12" s="1"/>
  <c r="C55" i="12"/>
  <c r="G25" i="12" l="1"/>
  <c r="C31" i="12"/>
  <c r="D49" i="12"/>
  <c r="Q37" i="12"/>
  <c r="G32" i="12"/>
  <c r="F26" i="12"/>
  <c r="E55" i="12"/>
  <c r="F49" i="12"/>
  <c r="J49" i="12"/>
  <c r="E49" i="12"/>
  <c r="H25" i="11"/>
  <c r="C42" i="12" s="1"/>
  <c r="D42" i="12" s="1"/>
  <c r="E42" i="12" s="1"/>
  <c r="F42" i="12" s="1"/>
  <c r="G42" i="12" s="1"/>
  <c r="H42" i="12" s="1"/>
  <c r="I42" i="12" s="1"/>
  <c r="J42" i="12" s="1"/>
  <c r="K42" i="12" s="1"/>
  <c r="E18" i="12"/>
  <c r="E20" i="12" s="1"/>
  <c r="G17" i="7"/>
  <c r="E17" i="12"/>
  <c r="D19" i="12"/>
  <c r="H49" i="12"/>
  <c r="E32" i="12"/>
  <c r="G49" i="12"/>
  <c r="K49" i="12"/>
  <c r="E26" i="12"/>
  <c r="F117" i="9"/>
  <c r="G116" i="9" s="1"/>
  <c r="D55" i="12"/>
  <c r="I55" i="12"/>
  <c r="I32" i="12"/>
  <c r="F32" i="12"/>
  <c r="I26" i="12"/>
  <c r="D26" i="12"/>
  <c r="I31" i="12"/>
  <c r="I25" i="12"/>
  <c r="H25" i="12"/>
  <c r="F55" i="12"/>
  <c r="G55" i="12"/>
  <c r="D32" i="12"/>
  <c r="K32" i="12"/>
  <c r="H26" i="12"/>
  <c r="J26" i="12"/>
  <c r="D31" i="12"/>
  <c r="J25" i="12"/>
  <c r="E25" i="12"/>
  <c r="K55" i="12"/>
  <c r="J55" i="12"/>
  <c r="H55" i="12"/>
  <c r="I49" i="12"/>
  <c r="J32" i="12"/>
  <c r="H32" i="12"/>
  <c r="G26" i="12"/>
  <c r="K26" i="12"/>
  <c r="E31" i="12"/>
  <c r="K25" i="12"/>
  <c r="F25" i="12"/>
  <c r="D25" i="12"/>
  <c r="V35" i="12"/>
  <c r="AA37" i="12" s="1"/>
  <c r="T37" i="12"/>
  <c r="L37" i="12"/>
  <c r="O37" i="12"/>
  <c r="Z37" i="12"/>
  <c r="M37" i="12"/>
  <c r="P71" i="1"/>
  <c r="P70" i="1"/>
  <c r="D60" i="5"/>
  <c r="D63" i="5" s="1"/>
  <c r="Q78" i="1"/>
  <c r="Q81" i="1"/>
  <c r="Q83" i="1" s="1"/>
  <c r="E10" i="7"/>
  <c r="S60" i="5"/>
  <c r="D10" i="7"/>
  <c r="M29" i="12"/>
  <c r="N29" i="12" s="1"/>
  <c r="O29" i="12" s="1"/>
  <c r="P29" i="12" s="1"/>
  <c r="Q29" i="12" s="1"/>
  <c r="R29" i="12" s="1"/>
  <c r="S29" i="12" s="1"/>
  <c r="T29" i="12" s="1"/>
  <c r="U29" i="12" s="1"/>
  <c r="W29" i="12" s="1"/>
  <c r="X29" i="12" s="1"/>
  <c r="Y29" i="12" s="1"/>
  <c r="Z29" i="12" s="1"/>
  <c r="AA29" i="12" s="1"/>
  <c r="AB29" i="12" s="1"/>
  <c r="AC29" i="12" s="1"/>
  <c r="AD29" i="12" s="1"/>
  <c r="AE29" i="12" s="1"/>
  <c r="AF29" i="12" s="1"/>
  <c r="L29" i="12"/>
  <c r="S37" i="12"/>
  <c r="R37" i="12"/>
  <c r="G108" i="9"/>
  <c r="G107" i="9" s="1"/>
  <c r="G110" i="9" s="1"/>
  <c r="G115" i="9" s="1"/>
  <c r="G92" i="9"/>
  <c r="G97" i="9"/>
  <c r="G98" i="9" s="1"/>
  <c r="H12" i="7" s="1"/>
  <c r="M53" i="12"/>
  <c r="N53" i="12" s="1"/>
  <c r="O53" i="12" s="1"/>
  <c r="P53" i="12" s="1"/>
  <c r="Q53" i="12" s="1"/>
  <c r="R53" i="12" s="1"/>
  <c r="S53" i="12" s="1"/>
  <c r="T53" i="12" s="1"/>
  <c r="U53" i="12" s="1"/>
  <c r="W53" i="12" s="1"/>
  <c r="X53" i="12" s="1"/>
  <c r="Y53" i="12" s="1"/>
  <c r="Z53" i="12" s="1"/>
  <c r="AA53" i="12" s="1"/>
  <c r="AB53" i="12" s="1"/>
  <c r="AC53" i="12" s="1"/>
  <c r="AD53" i="12" s="1"/>
  <c r="AE53" i="12" s="1"/>
  <c r="AF53" i="12" s="1"/>
  <c r="L53" i="12"/>
  <c r="Q79" i="1"/>
  <c r="Q82" i="1" s="1"/>
  <c r="L47" i="12"/>
  <c r="M47" i="12"/>
  <c r="N47" i="12" s="1"/>
  <c r="O47" i="12" s="1"/>
  <c r="P47" i="12" s="1"/>
  <c r="Q47" i="12" s="1"/>
  <c r="R47" i="12" s="1"/>
  <c r="S47" i="12" s="1"/>
  <c r="T47" i="12" s="1"/>
  <c r="U47" i="12" s="1"/>
  <c r="W47" i="12" s="1"/>
  <c r="X47" i="12" s="1"/>
  <c r="Y47" i="12" s="1"/>
  <c r="Z47" i="12" s="1"/>
  <c r="AA47" i="12" s="1"/>
  <c r="AB47" i="12" s="1"/>
  <c r="AC47" i="12" s="1"/>
  <c r="AD47" i="12" s="1"/>
  <c r="AE47" i="12" s="1"/>
  <c r="AF47" i="12" s="1"/>
  <c r="B17" i="11"/>
  <c r="B15" i="11" s="1"/>
  <c r="Q71" i="1"/>
  <c r="Q70" i="1"/>
  <c r="P37" i="12"/>
  <c r="B8" i="11"/>
  <c r="L24" i="12"/>
  <c r="M24" i="12"/>
  <c r="N24" i="12" s="1"/>
  <c r="O24" i="12" s="1"/>
  <c r="P24" i="12" s="1"/>
  <c r="Q24" i="12" s="1"/>
  <c r="R24" i="12" s="1"/>
  <c r="S24" i="12" s="1"/>
  <c r="T24" i="12" s="1"/>
  <c r="U24" i="12" s="1"/>
  <c r="W24" i="12" s="1"/>
  <c r="X24" i="12" s="1"/>
  <c r="Y24" i="12" s="1"/>
  <c r="Z24" i="12" s="1"/>
  <c r="AA24" i="12" s="1"/>
  <c r="AB24" i="12" s="1"/>
  <c r="AC24" i="12" s="1"/>
  <c r="AD24" i="12" s="1"/>
  <c r="AE24" i="12" s="1"/>
  <c r="AF24" i="12" s="1"/>
  <c r="S86" i="9"/>
  <c r="R109" i="9"/>
  <c r="R123" i="9" s="1"/>
  <c r="R125" i="9" s="1"/>
  <c r="S122" i="9" s="1"/>
  <c r="J31" i="12"/>
  <c r="D41" i="12"/>
  <c r="E41" i="12" s="1"/>
  <c r="F41" i="12" s="1"/>
  <c r="G41" i="12" s="1"/>
  <c r="H41" i="12" s="1"/>
  <c r="I41" i="12" s="1"/>
  <c r="J41" i="12" s="1"/>
  <c r="K41" i="12" s="1"/>
  <c r="C43" i="12"/>
  <c r="H13" i="7"/>
  <c r="L23" i="12"/>
  <c r="M23" i="12"/>
  <c r="N23" i="12" s="1"/>
  <c r="O23" i="12" s="1"/>
  <c r="P23" i="12" s="1"/>
  <c r="Q23" i="12" s="1"/>
  <c r="R23" i="12" s="1"/>
  <c r="S23" i="12" s="1"/>
  <c r="T23" i="12" s="1"/>
  <c r="U23" i="12" s="1"/>
  <c r="W23" i="12" s="1"/>
  <c r="X23" i="12" s="1"/>
  <c r="Y23" i="12" s="1"/>
  <c r="Z23" i="12" s="1"/>
  <c r="AA23" i="12" s="1"/>
  <c r="AB23" i="12" s="1"/>
  <c r="AC23" i="12" s="1"/>
  <c r="AD23" i="12" s="1"/>
  <c r="AE23" i="12" s="1"/>
  <c r="AF23" i="12" s="1"/>
  <c r="Q84" i="9"/>
  <c r="P87" i="9"/>
  <c r="U37" i="12"/>
  <c r="I14" i="7"/>
  <c r="I13" i="7" s="1"/>
  <c r="I88" i="9"/>
  <c r="H89" i="9"/>
  <c r="H91" i="9" s="1"/>
  <c r="D36" i="12"/>
  <c r="E36" i="12" s="1"/>
  <c r="F36" i="12" s="1"/>
  <c r="G36" i="12" s="1"/>
  <c r="H36" i="12" s="1"/>
  <c r="I36" i="12" s="1"/>
  <c r="J36" i="12" s="1"/>
  <c r="K36" i="12" s="1"/>
  <c r="P78" i="1"/>
  <c r="P81" i="1"/>
  <c r="P83" i="1" s="1"/>
  <c r="C77" i="1"/>
  <c r="C78" i="1" s="1"/>
  <c r="L30" i="12"/>
  <c r="M30" i="12"/>
  <c r="N30" i="12" s="1"/>
  <c r="O30" i="12" s="1"/>
  <c r="P30" i="12" s="1"/>
  <c r="Q30" i="12" s="1"/>
  <c r="R30" i="12" s="1"/>
  <c r="S30" i="12" s="1"/>
  <c r="T30" i="12" s="1"/>
  <c r="U30" i="12" s="1"/>
  <c r="W30" i="12" s="1"/>
  <c r="X30" i="12" s="1"/>
  <c r="Y30" i="12" s="1"/>
  <c r="Z30" i="12" s="1"/>
  <c r="AA30" i="12" s="1"/>
  <c r="AB30" i="12" s="1"/>
  <c r="AC30" i="12" s="1"/>
  <c r="AD30" i="12" s="1"/>
  <c r="AE30" i="12" s="1"/>
  <c r="AF30" i="12" s="1"/>
  <c r="H31" i="12"/>
  <c r="F31" i="12"/>
  <c r="G31" i="12"/>
  <c r="K31" i="12"/>
  <c r="P79" i="1"/>
  <c r="P82" i="1" s="1"/>
  <c r="N37" i="12"/>
  <c r="H38" i="12" l="1"/>
  <c r="F17" i="12"/>
  <c r="F19" i="12" s="1"/>
  <c r="D38" i="12"/>
  <c r="K44" i="12"/>
  <c r="E22" i="7"/>
  <c r="E15" i="18" s="1"/>
  <c r="E17" i="18" s="1"/>
  <c r="J11" i="7"/>
  <c r="E19" i="12"/>
  <c r="G38" i="12"/>
  <c r="H44" i="12"/>
  <c r="H17" i="7"/>
  <c r="F18" i="12"/>
  <c r="J38" i="12"/>
  <c r="D44" i="12"/>
  <c r="D22" i="7"/>
  <c r="I11" i="7"/>
  <c r="G117" i="9"/>
  <c r="H116" i="9" s="1"/>
  <c r="K38" i="12"/>
  <c r="E38" i="12"/>
  <c r="G44" i="12"/>
  <c r="E44" i="12"/>
  <c r="J43" i="12"/>
  <c r="R31" i="12"/>
  <c r="AE37" i="12"/>
  <c r="F38" i="12"/>
  <c r="I38" i="12"/>
  <c r="F43" i="12"/>
  <c r="R84" i="9"/>
  <c r="Q87" i="9"/>
  <c r="M41" i="12"/>
  <c r="N41" i="12" s="1"/>
  <c r="O41" i="12" s="1"/>
  <c r="P41" i="12" s="1"/>
  <c r="Q41" i="12" s="1"/>
  <c r="R41" i="12" s="1"/>
  <c r="S41" i="12" s="1"/>
  <c r="T41" i="12" s="1"/>
  <c r="U41" i="12" s="1"/>
  <c r="W41" i="12" s="1"/>
  <c r="X41" i="12" s="1"/>
  <c r="Y41" i="12" s="1"/>
  <c r="Z41" i="12" s="1"/>
  <c r="AA41" i="12" s="1"/>
  <c r="AB41" i="12" s="1"/>
  <c r="AC41" i="12" s="1"/>
  <c r="AD41" i="12" s="1"/>
  <c r="AE41" i="12" s="1"/>
  <c r="AF41" i="12" s="1"/>
  <c r="L41" i="12"/>
  <c r="L43" i="12" s="1"/>
  <c r="T86" i="9"/>
  <c r="S109" i="9"/>
  <c r="S123" i="9" s="1"/>
  <c r="S125" i="9" s="1"/>
  <c r="T122" i="9" s="1"/>
  <c r="V47" i="12"/>
  <c r="AF49" i="12" s="1"/>
  <c r="I4" i="12" s="1"/>
  <c r="U49" i="12"/>
  <c r="T49" i="12"/>
  <c r="P49" i="12"/>
  <c r="M49" i="12"/>
  <c r="Q49" i="12"/>
  <c r="L49" i="12"/>
  <c r="O49" i="12"/>
  <c r="S49" i="12"/>
  <c r="R49" i="12"/>
  <c r="N49" i="12"/>
  <c r="V53" i="12"/>
  <c r="V55" i="12" s="1"/>
  <c r="O55" i="12"/>
  <c r="R55" i="12"/>
  <c r="P55" i="12"/>
  <c r="T55" i="12"/>
  <c r="Q55" i="12"/>
  <c r="S55" i="12"/>
  <c r="U55" i="12"/>
  <c r="L55" i="12"/>
  <c r="M55" i="12"/>
  <c r="N55" i="12"/>
  <c r="V29" i="12"/>
  <c r="AB31" i="12" s="1"/>
  <c r="O31" i="12"/>
  <c r="L31" i="12"/>
  <c r="T31" i="12"/>
  <c r="AC31" i="12"/>
  <c r="M31" i="12"/>
  <c r="S31" i="12"/>
  <c r="Y37" i="12"/>
  <c r="AC37" i="12"/>
  <c r="V37" i="12"/>
  <c r="AD37" i="12"/>
  <c r="J14" i="7"/>
  <c r="J13" i="7" s="1"/>
  <c r="J88" i="9"/>
  <c r="I89" i="9"/>
  <c r="I91" i="9" s="1"/>
  <c r="J44" i="12"/>
  <c r="F44" i="12"/>
  <c r="X37" i="12"/>
  <c r="K43" i="12"/>
  <c r="I43" i="12"/>
  <c r="U31" i="12"/>
  <c r="Q31" i="12"/>
  <c r="C24" i="11"/>
  <c r="B82" i="1"/>
  <c r="C82" i="1" s="1"/>
  <c r="F10" i="7"/>
  <c r="K11" i="7" s="1"/>
  <c r="D62" i="5"/>
  <c r="D64" i="5"/>
  <c r="W37" i="12"/>
  <c r="V30" i="12"/>
  <c r="Z32" i="12" s="1"/>
  <c r="T32" i="12"/>
  <c r="P32" i="12"/>
  <c r="O32" i="12"/>
  <c r="M32" i="12"/>
  <c r="L32" i="12"/>
  <c r="Q32" i="12"/>
  <c r="N32" i="12"/>
  <c r="H108" i="9"/>
  <c r="H107" i="9" s="1"/>
  <c r="H110" i="9" s="1"/>
  <c r="H115" i="9" s="1"/>
  <c r="H92" i="9"/>
  <c r="H97" i="9"/>
  <c r="H98" i="9" s="1"/>
  <c r="I12" i="7" s="1"/>
  <c r="I25" i="11"/>
  <c r="C48" i="12" s="1"/>
  <c r="M42" i="12"/>
  <c r="N42" i="12" s="1"/>
  <c r="O42" i="12" s="1"/>
  <c r="P42" i="12" s="1"/>
  <c r="Q42" i="12" s="1"/>
  <c r="R42" i="12" s="1"/>
  <c r="S42" i="12" s="1"/>
  <c r="T42" i="12" s="1"/>
  <c r="U42" i="12" s="1"/>
  <c r="W42" i="12" s="1"/>
  <c r="X42" i="12" s="1"/>
  <c r="Y42" i="12" s="1"/>
  <c r="Z42" i="12" s="1"/>
  <c r="AA42" i="12" s="1"/>
  <c r="AB42" i="12" s="1"/>
  <c r="AC42" i="12" s="1"/>
  <c r="AD42" i="12" s="1"/>
  <c r="AE42" i="12" s="1"/>
  <c r="AF42" i="12" s="1"/>
  <c r="L42" i="12"/>
  <c r="L44" i="12" s="1"/>
  <c r="V23" i="12"/>
  <c r="AE25" i="12" s="1"/>
  <c r="R25" i="12"/>
  <c r="P25" i="12"/>
  <c r="L25" i="12"/>
  <c r="AD25" i="12"/>
  <c r="M25" i="12"/>
  <c r="Q25" i="12"/>
  <c r="T25" i="12"/>
  <c r="N25" i="12"/>
  <c r="O25" i="12"/>
  <c r="S25" i="12"/>
  <c r="U25" i="12"/>
  <c r="E43" i="12"/>
  <c r="H43" i="12"/>
  <c r="V24" i="12"/>
  <c r="X26" i="12" s="1"/>
  <c r="R26" i="12"/>
  <c r="N26" i="12"/>
  <c r="U26" i="12"/>
  <c r="Q26" i="12"/>
  <c r="T26" i="12"/>
  <c r="M26" i="12"/>
  <c r="O26" i="12"/>
  <c r="L26" i="12"/>
  <c r="S26" i="12"/>
  <c r="P26" i="12"/>
  <c r="S32" i="12"/>
  <c r="P31" i="12"/>
  <c r="L36" i="12"/>
  <c r="M36" i="12"/>
  <c r="N36" i="12" s="1"/>
  <c r="O36" i="12" s="1"/>
  <c r="P36" i="12" s="1"/>
  <c r="Q36" i="12" s="1"/>
  <c r="R36" i="12" s="1"/>
  <c r="S36" i="12" s="1"/>
  <c r="T36" i="12" s="1"/>
  <c r="U36" i="12" s="1"/>
  <c r="W36" i="12" s="1"/>
  <c r="X36" i="12" s="1"/>
  <c r="Y36" i="12" s="1"/>
  <c r="Z36" i="12" s="1"/>
  <c r="AA36" i="12" s="1"/>
  <c r="AB36" i="12" s="1"/>
  <c r="AC36" i="12" s="1"/>
  <c r="AD36" i="12" s="1"/>
  <c r="AE36" i="12" s="1"/>
  <c r="AF36" i="12" s="1"/>
  <c r="AB37" i="12"/>
  <c r="I44" i="12"/>
  <c r="D43" i="12"/>
  <c r="G43" i="12"/>
  <c r="N31" i="12"/>
  <c r="B10" i="11"/>
  <c r="B24" i="11" s="1"/>
  <c r="U32" i="12"/>
  <c r="R32" i="12"/>
  <c r="J11" i="11"/>
  <c r="B83" i="1"/>
  <c r="C83" i="1" s="1"/>
  <c r="AF37" i="12"/>
  <c r="G4" i="12" s="1"/>
  <c r="D15" i="18" l="1"/>
  <c r="D17" i="18" s="1"/>
  <c r="AB25" i="12"/>
  <c r="AA25" i="12"/>
  <c r="AD55" i="12"/>
  <c r="X55" i="12"/>
  <c r="AF55" i="12"/>
  <c r="J4" i="12" s="1"/>
  <c r="AE55" i="12"/>
  <c r="AF32" i="12"/>
  <c r="F5" i="12" s="1"/>
  <c r="AB32" i="12"/>
  <c r="AC32" i="12"/>
  <c r="R44" i="12"/>
  <c r="I17" i="7"/>
  <c r="G18" i="12"/>
  <c r="F20" i="12"/>
  <c r="G17" i="12"/>
  <c r="W49" i="12"/>
  <c r="X49" i="12"/>
  <c r="AD49" i="12"/>
  <c r="V49" i="12"/>
  <c r="V25" i="12"/>
  <c r="X25" i="12"/>
  <c r="AB49" i="12"/>
  <c r="Z49" i="12"/>
  <c r="AA49" i="12"/>
  <c r="Y49" i="12"/>
  <c r="AE49" i="12"/>
  <c r="AF25" i="12"/>
  <c r="E4" i="12" s="1"/>
  <c r="W25" i="12"/>
  <c r="Z55" i="12"/>
  <c r="AC49" i="12"/>
  <c r="H117" i="9"/>
  <c r="I116" i="9" s="1"/>
  <c r="AC25" i="12"/>
  <c r="Y25" i="12"/>
  <c r="Z31" i="12"/>
  <c r="Y31" i="12"/>
  <c r="AA55" i="12"/>
  <c r="AD31" i="12"/>
  <c r="AE26" i="12"/>
  <c r="Z26" i="12"/>
  <c r="AE31" i="12"/>
  <c r="W26" i="12"/>
  <c r="Y26" i="12"/>
  <c r="Z25" i="12"/>
  <c r="W31" i="12"/>
  <c r="T125" i="9"/>
  <c r="U122" i="9" s="1"/>
  <c r="V32" i="12"/>
  <c r="V41" i="12"/>
  <c r="AB43" i="12" s="1"/>
  <c r="Q43" i="12"/>
  <c r="R43" i="12"/>
  <c r="U43" i="12"/>
  <c r="M43" i="12"/>
  <c r="P44" i="12"/>
  <c r="Q44" i="12"/>
  <c r="V36" i="12"/>
  <c r="AE38" i="12" s="1"/>
  <c r="S38" i="12"/>
  <c r="Q38" i="12"/>
  <c r="L38" i="12"/>
  <c r="Y38" i="12"/>
  <c r="T38" i="12"/>
  <c r="O38" i="12"/>
  <c r="U38" i="12"/>
  <c r="P38" i="12"/>
  <c r="M38" i="12"/>
  <c r="R38" i="12"/>
  <c r="N38" i="12"/>
  <c r="AA32" i="12"/>
  <c r="AB26" i="12"/>
  <c r="AF26" i="12"/>
  <c r="E5" i="12" s="1"/>
  <c r="D48" i="12"/>
  <c r="E48" i="12" s="1"/>
  <c r="F48" i="12" s="1"/>
  <c r="G48" i="12" s="1"/>
  <c r="H48" i="12" s="1"/>
  <c r="I48" i="12" s="1"/>
  <c r="J48" i="12" s="1"/>
  <c r="K48" i="12" s="1"/>
  <c r="M44" i="12"/>
  <c r="I108" i="9"/>
  <c r="I107" i="9" s="1"/>
  <c r="I110" i="9" s="1"/>
  <c r="I115" i="9" s="1"/>
  <c r="I92" i="9"/>
  <c r="I97" i="9"/>
  <c r="I98" i="9" s="1"/>
  <c r="J12" i="7" s="1"/>
  <c r="D29" i="7" s="1"/>
  <c r="AD32" i="12"/>
  <c r="S43" i="12"/>
  <c r="T43" i="12"/>
  <c r="B11" i="11"/>
  <c r="B25" i="11" s="1"/>
  <c r="J12" i="11"/>
  <c r="B12" i="11" s="1"/>
  <c r="J25" i="11"/>
  <c r="C54" i="12" s="1"/>
  <c r="N43" i="12"/>
  <c r="U44" i="12"/>
  <c r="AA26" i="12"/>
  <c r="AC26" i="12"/>
  <c r="P43" i="12"/>
  <c r="V42" i="12"/>
  <c r="AA44" i="12" s="1"/>
  <c r="N44" i="12"/>
  <c r="C29" i="7"/>
  <c r="Y32" i="12"/>
  <c r="O43" i="12"/>
  <c r="X31" i="12"/>
  <c r="V31" i="12"/>
  <c r="AF31" i="12"/>
  <c r="F4" i="12" s="1"/>
  <c r="AA31" i="12"/>
  <c r="Y55" i="12"/>
  <c r="AB55" i="12"/>
  <c r="T109" i="9"/>
  <c r="T123" i="9" s="1"/>
  <c r="U86" i="9"/>
  <c r="R87" i="9"/>
  <c r="S84" i="9"/>
  <c r="G10" i="7"/>
  <c r="L11" i="7" s="1"/>
  <c r="F22" i="7"/>
  <c r="F15" i="18" s="1"/>
  <c r="F17" i="18" s="1"/>
  <c r="O44" i="12"/>
  <c r="Y43" i="12"/>
  <c r="AD26" i="12"/>
  <c r="W32" i="12"/>
  <c r="S44" i="12"/>
  <c r="V26" i="12"/>
  <c r="AE32" i="12"/>
  <c r="X32" i="12"/>
  <c r="C11" i="12"/>
  <c r="C25" i="11"/>
  <c r="C12" i="12" s="1"/>
  <c r="T44" i="12"/>
  <c r="K14" i="7"/>
  <c r="K13" i="7" s="1"/>
  <c r="K88" i="9"/>
  <c r="J89" i="9"/>
  <c r="J91" i="9" s="1"/>
  <c r="W55" i="12"/>
  <c r="AC55" i="12"/>
  <c r="Y44" i="12" l="1"/>
  <c r="AD44" i="12"/>
  <c r="F50" i="12"/>
  <c r="J17" i="7"/>
  <c r="H17" i="12"/>
  <c r="I17" i="12" s="1"/>
  <c r="J17" i="12" s="1"/>
  <c r="K17" i="12" s="1"/>
  <c r="G19" i="12"/>
  <c r="H18" i="12"/>
  <c r="G20" i="12"/>
  <c r="AB44" i="12"/>
  <c r="D50" i="12"/>
  <c r="X38" i="12"/>
  <c r="W38" i="12"/>
  <c r="W43" i="12"/>
  <c r="AC44" i="12"/>
  <c r="J50" i="12"/>
  <c r="I117" i="9"/>
  <c r="J116" i="9" s="1"/>
  <c r="V43" i="12"/>
  <c r="AD38" i="12"/>
  <c r="AA43" i="12"/>
  <c r="V38" i="12"/>
  <c r="AC38" i="12"/>
  <c r="AF38" i="12"/>
  <c r="G5" i="12" s="1"/>
  <c r="AA38" i="12"/>
  <c r="AE43" i="12"/>
  <c r="AD43" i="12"/>
  <c r="Z44" i="12"/>
  <c r="AF44" i="12"/>
  <c r="H5" i="12" s="1"/>
  <c r="AC43" i="12"/>
  <c r="AB38" i="12"/>
  <c r="Z38" i="12"/>
  <c r="D11" i="12"/>
  <c r="E11" i="12" s="1"/>
  <c r="F11" i="12" s="1"/>
  <c r="G11" i="12" s="1"/>
  <c r="H11" i="12" s="1"/>
  <c r="I11" i="12" s="1"/>
  <c r="J11" i="12" s="1"/>
  <c r="K11" i="12" s="1"/>
  <c r="C13" i="12"/>
  <c r="V44" i="12"/>
  <c r="X44" i="12"/>
  <c r="W44" i="12"/>
  <c r="D54" i="12"/>
  <c r="E54" i="12" s="1"/>
  <c r="F54" i="12" s="1"/>
  <c r="G54" i="12" s="1"/>
  <c r="H54" i="12" s="1"/>
  <c r="I54" i="12" s="1"/>
  <c r="J54" i="12" s="1"/>
  <c r="K54" i="12" s="1"/>
  <c r="E50" i="12"/>
  <c r="K50" i="12"/>
  <c r="L14" i="7"/>
  <c r="L13" i="7" s="1"/>
  <c r="L88" i="9"/>
  <c r="K89" i="9"/>
  <c r="K91" i="9" s="1"/>
  <c r="D12" i="12"/>
  <c r="E12" i="12" s="1"/>
  <c r="F12" i="12" s="1"/>
  <c r="G12" i="12" s="1"/>
  <c r="H12" i="12" s="1"/>
  <c r="I12" i="12" s="1"/>
  <c r="J12" i="12" s="1"/>
  <c r="K12" i="12" s="1"/>
  <c r="T84" i="9"/>
  <c r="S87" i="9"/>
  <c r="V86" i="9"/>
  <c r="U109" i="9"/>
  <c r="U123" i="9" s="1"/>
  <c r="AE44" i="12"/>
  <c r="M48" i="12"/>
  <c r="N48" i="12" s="1"/>
  <c r="O48" i="12" s="1"/>
  <c r="P48" i="12" s="1"/>
  <c r="Q48" i="12" s="1"/>
  <c r="R48" i="12" s="1"/>
  <c r="S48" i="12" s="1"/>
  <c r="T48" i="12" s="1"/>
  <c r="U48" i="12" s="1"/>
  <c r="W48" i="12" s="1"/>
  <c r="X48" i="12" s="1"/>
  <c r="Y48" i="12" s="1"/>
  <c r="Z48" i="12" s="1"/>
  <c r="AA48" i="12" s="1"/>
  <c r="AB48" i="12" s="1"/>
  <c r="AC48" i="12" s="1"/>
  <c r="AD48" i="12" s="1"/>
  <c r="AE48" i="12" s="1"/>
  <c r="AF48" i="12" s="1"/>
  <c r="L48" i="12"/>
  <c r="U125" i="9"/>
  <c r="V122" i="9" s="1"/>
  <c r="J97" i="9"/>
  <c r="J98" i="9" s="1"/>
  <c r="K12" i="7" s="1"/>
  <c r="J108" i="9"/>
  <c r="J107" i="9" s="1"/>
  <c r="J110" i="9" s="1"/>
  <c r="J115" i="9" s="1"/>
  <c r="J92" i="9"/>
  <c r="H10" i="7"/>
  <c r="M11" i="7" s="1"/>
  <c r="G22" i="7"/>
  <c r="G15" i="18" s="1"/>
  <c r="G17" i="18" s="1"/>
  <c r="H50" i="12"/>
  <c r="G50" i="12"/>
  <c r="I50" i="12"/>
  <c r="Z43" i="12"/>
  <c r="AF43" i="12"/>
  <c r="H4" i="12" s="1"/>
  <c r="X43" i="12"/>
  <c r="F56" i="12" l="1"/>
  <c r="H56" i="12"/>
  <c r="D56" i="12"/>
  <c r="I56" i="12"/>
  <c r="J56" i="12"/>
  <c r="H19" i="12"/>
  <c r="K14" i="12"/>
  <c r="J19" i="12"/>
  <c r="I19" i="12"/>
  <c r="K19" i="12"/>
  <c r="E29" i="7"/>
  <c r="K17" i="7"/>
  <c r="I18" i="12"/>
  <c r="H20" i="12"/>
  <c r="M17" i="12"/>
  <c r="N17" i="12" s="1"/>
  <c r="O17" i="12" s="1"/>
  <c r="P17" i="12" s="1"/>
  <c r="Q17" i="12" s="1"/>
  <c r="R17" i="12" s="1"/>
  <c r="S17" i="12" s="1"/>
  <c r="T17" i="12" s="1"/>
  <c r="U17" i="12" s="1"/>
  <c r="W17" i="12" s="1"/>
  <c r="X17" i="12" s="1"/>
  <c r="Y17" i="12" s="1"/>
  <c r="Z17" i="12" s="1"/>
  <c r="AA17" i="12" s="1"/>
  <c r="AB17" i="12" s="1"/>
  <c r="AC17" i="12" s="1"/>
  <c r="AD17" i="12" s="1"/>
  <c r="AE17" i="12" s="1"/>
  <c r="AF17" i="12" s="1"/>
  <c r="L17" i="12"/>
  <c r="K56" i="12"/>
  <c r="E56" i="12"/>
  <c r="G56" i="12"/>
  <c r="J117" i="9"/>
  <c r="K116" i="9" s="1"/>
  <c r="M11" i="12"/>
  <c r="N11" i="12" s="1"/>
  <c r="O11" i="12" s="1"/>
  <c r="P11" i="12" s="1"/>
  <c r="Q11" i="12" s="1"/>
  <c r="R11" i="12" s="1"/>
  <c r="S11" i="12" s="1"/>
  <c r="T11" i="12" s="1"/>
  <c r="U11" i="12" s="1"/>
  <c r="W11" i="12" s="1"/>
  <c r="X11" i="12" s="1"/>
  <c r="Y11" i="12" s="1"/>
  <c r="Z11" i="12" s="1"/>
  <c r="AA11" i="12" s="1"/>
  <c r="AB11" i="12" s="1"/>
  <c r="AC11" i="12" s="1"/>
  <c r="AD11" i="12" s="1"/>
  <c r="AE11" i="12" s="1"/>
  <c r="AF11" i="12" s="1"/>
  <c r="L11" i="12"/>
  <c r="L13" i="12" s="1"/>
  <c r="N50" i="12"/>
  <c r="V48" i="12"/>
  <c r="AE50" i="12" s="1"/>
  <c r="S50" i="12"/>
  <c r="M50" i="12"/>
  <c r="P50" i="12"/>
  <c r="Y50" i="12"/>
  <c r="L50" i="12"/>
  <c r="Q50" i="12"/>
  <c r="O50" i="12"/>
  <c r="T50" i="12"/>
  <c r="V109" i="9"/>
  <c r="V123" i="9" s="1"/>
  <c r="V125" i="9" s="1"/>
  <c r="W122" i="9" s="1"/>
  <c r="W86" i="9"/>
  <c r="M88" i="9"/>
  <c r="M14" i="7"/>
  <c r="M13" i="7" s="1"/>
  <c r="L89" i="9"/>
  <c r="L91" i="9" s="1"/>
  <c r="D13" i="12"/>
  <c r="J13" i="12"/>
  <c r="U84" i="9"/>
  <c r="T87" i="9"/>
  <c r="H14" i="12"/>
  <c r="G14" i="12"/>
  <c r="F14" i="12"/>
  <c r="U50" i="12"/>
  <c r="R50" i="12"/>
  <c r="E13" i="12"/>
  <c r="F13" i="12"/>
  <c r="H13" i="12"/>
  <c r="G13" i="12"/>
  <c r="M12" i="12"/>
  <c r="N12" i="12" s="1"/>
  <c r="O12" i="12" s="1"/>
  <c r="P12" i="12" s="1"/>
  <c r="Q12" i="12" s="1"/>
  <c r="R12" i="12" s="1"/>
  <c r="S12" i="12" s="1"/>
  <c r="T12" i="12" s="1"/>
  <c r="U12" i="12" s="1"/>
  <c r="W12" i="12" s="1"/>
  <c r="X12" i="12" s="1"/>
  <c r="Y12" i="12" s="1"/>
  <c r="Z12" i="12" s="1"/>
  <c r="AA12" i="12" s="1"/>
  <c r="AB12" i="12" s="1"/>
  <c r="AC12" i="12" s="1"/>
  <c r="AD12" i="12" s="1"/>
  <c r="AE12" i="12" s="1"/>
  <c r="AF12" i="12" s="1"/>
  <c r="L12" i="12"/>
  <c r="H22" i="7"/>
  <c r="H15" i="18" s="1"/>
  <c r="H17" i="18" s="1"/>
  <c r="I10" i="7"/>
  <c r="N11" i="7" s="1"/>
  <c r="J14" i="12"/>
  <c r="I14" i="12"/>
  <c r="K108" i="9"/>
  <c r="K107" i="9" s="1"/>
  <c r="K110" i="9" s="1"/>
  <c r="K115" i="9" s="1"/>
  <c r="K97" i="9"/>
  <c r="K98" i="9" s="1"/>
  <c r="L12" i="7" s="1"/>
  <c r="K92" i="9"/>
  <c r="L54" i="12"/>
  <c r="M54" i="12"/>
  <c r="N54" i="12" s="1"/>
  <c r="O54" i="12" s="1"/>
  <c r="P54" i="12" s="1"/>
  <c r="Q54" i="12" s="1"/>
  <c r="R54" i="12" s="1"/>
  <c r="S54" i="12" s="1"/>
  <c r="T54" i="12" s="1"/>
  <c r="U54" i="12" s="1"/>
  <c r="W54" i="12" s="1"/>
  <c r="X54" i="12" s="1"/>
  <c r="Y54" i="12" s="1"/>
  <c r="Z54" i="12" s="1"/>
  <c r="AA54" i="12" s="1"/>
  <c r="AB54" i="12" s="1"/>
  <c r="AC54" i="12" s="1"/>
  <c r="AD54" i="12" s="1"/>
  <c r="AE54" i="12" s="1"/>
  <c r="AF54" i="12" s="1"/>
  <c r="I13" i="12"/>
  <c r="K13" i="12"/>
  <c r="N14" i="12" l="1"/>
  <c r="X50" i="12"/>
  <c r="O14" i="12"/>
  <c r="F29" i="7"/>
  <c r="L17" i="7"/>
  <c r="V17" i="12"/>
  <c r="W19" i="12" s="1"/>
  <c r="M19" i="12"/>
  <c r="L19" i="12"/>
  <c r="N19" i="12"/>
  <c r="O19" i="12"/>
  <c r="T19" i="12"/>
  <c r="P19" i="12"/>
  <c r="Q19" i="12"/>
  <c r="S19" i="12"/>
  <c r="J18" i="12"/>
  <c r="J20" i="12" s="1"/>
  <c r="R19" i="12"/>
  <c r="U19" i="12"/>
  <c r="I20" i="12"/>
  <c r="T14" i="12"/>
  <c r="K117" i="9"/>
  <c r="L116" i="9" s="1"/>
  <c r="B25" i="7"/>
  <c r="AC50" i="12"/>
  <c r="V84" i="9"/>
  <c r="U87" i="9"/>
  <c r="T13" i="12"/>
  <c r="M13" i="12"/>
  <c r="P13" i="12"/>
  <c r="AB50" i="12"/>
  <c r="S14" i="12"/>
  <c r="V54" i="12"/>
  <c r="V56" i="12" s="1"/>
  <c r="P56" i="12"/>
  <c r="U56" i="12"/>
  <c r="O56" i="12"/>
  <c r="S56" i="12"/>
  <c r="N56" i="12"/>
  <c r="L56" i="12"/>
  <c r="M56" i="12"/>
  <c r="X56" i="12"/>
  <c r="Q56" i="12"/>
  <c r="T56" i="12"/>
  <c r="R56" i="12"/>
  <c r="M14" i="12"/>
  <c r="I22" i="7"/>
  <c r="I15" i="18" s="1"/>
  <c r="I17" i="18" s="1"/>
  <c r="J10" i="7"/>
  <c r="O11" i="7" s="1"/>
  <c r="Q13" i="12"/>
  <c r="L92" i="9"/>
  <c r="L97" i="9"/>
  <c r="L98" i="9" s="1"/>
  <c r="M12" i="7" s="1"/>
  <c r="L108" i="9"/>
  <c r="L107" i="9" s="1"/>
  <c r="L110" i="9" s="1"/>
  <c r="L115" i="9" s="1"/>
  <c r="U14" i="12"/>
  <c r="X86" i="9"/>
  <c r="W109" i="9"/>
  <c r="W123" i="9" s="1"/>
  <c r="W125" i="9" s="1"/>
  <c r="X122" i="9" s="1"/>
  <c r="AF50" i="12"/>
  <c r="I5" i="12" s="1"/>
  <c r="V11" i="12"/>
  <c r="Y13" i="12" s="1"/>
  <c r="N13" i="12"/>
  <c r="S13" i="12"/>
  <c r="R13" i="12"/>
  <c r="Z50" i="12"/>
  <c r="AA50" i="12"/>
  <c r="AD50" i="12"/>
  <c r="Q14" i="12"/>
  <c r="V12" i="12"/>
  <c r="AB14" i="12" s="1"/>
  <c r="R14" i="12"/>
  <c r="P14" i="12"/>
  <c r="U13" i="12"/>
  <c r="O13" i="12"/>
  <c r="V50" i="12"/>
  <c r="N14" i="7"/>
  <c r="N13" i="7" s="1"/>
  <c r="N88" i="9"/>
  <c r="M89" i="9"/>
  <c r="M91" i="9" s="1"/>
  <c r="L14" i="12"/>
  <c r="W50" i="12"/>
  <c r="AF56" i="12" l="1"/>
  <c r="J5" i="12" s="1"/>
  <c r="AE56" i="12"/>
  <c r="AA56" i="12"/>
  <c r="AB56" i="12"/>
  <c r="AC19" i="12"/>
  <c r="V19" i="12"/>
  <c r="X19" i="12"/>
  <c r="AE19" i="12"/>
  <c r="AF19" i="12"/>
  <c r="D4" i="12" s="1"/>
  <c r="Z19" i="12"/>
  <c r="AB19" i="12"/>
  <c r="G29" i="7"/>
  <c r="M17" i="7"/>
  <c r="X13" i="12"/>
  <c r="K18" i="12"/>
  <c r="AD19" i="12"/>
  <c r="Y19" i="12"/>
  <c r="AA19" i="12"/>
  <c r="AF13" i="12"/>
  <c r="C4" i="12" s="1"/>
  <c r="AD56" i="12"/>
  <c r="L117" i="9"/>
  <c r="M116" i="9" s="1"/>
  <c r="C25" i="7"/>
  <c r="AD14" i="12"/>
  <c r="V14" i="12"/>
  <c r="X14" i="12"/>
  <c r="V13" i="12"/>
  <c r="AA13" i="12"/>
  <c r="AE13" i="12"/>
  <c r="Z14" i="12"/>
  <c r="AD13" i="12"/>
  <c r="M97" i="9"/>
  <c r="M98" i="9" s="1"/>
  <c r="N12" i="7" s="1"/>
  <c r="M108" i="9"/>
  <c r="M107" i="9" s="1"/>
  <c r="M110" i="9" s="1"/>
  <c r="M115" i="9" s="1"/>
  <c r="M92" i="9"/>
  <c r="AF14" i="12"/>
  <c r="C5" i="12" s="1"/>
  <c r="Z13" i="12"/>
  <c r="Y86" i="9"/>
  <c r="X109" i="9"/>
  <c r="X123" i="9" s="1"/>
  <c r="X125" i="9" s="1"/>
  <c r="Y122" i="9" s="1"/>
  <c r="W56" i="12"/>
  <c r="Y56" i="12"/>
  <c r="Z56" i="12"/>
  <c r="V87" i="9"/>
  <c r="W84" i="9"/>
  <c r="O14" i="7"/>
  <c r="O13" i="7" s="1"/>
  <c r="O88" i="9"/>
  <c r="N89" i="9"/>
  <c r="N91" i="9" s="1"/>
  <c r="AE14" i="12"/>
  <c r="AA14" i="12"/>
  <c r="AC14" i="12"/>
  <c r="Y14" i="12"/>
  <c r="AC13" i="12"/>
  <c r="W13" i="12"/>
  <c r="AB13" i="12"/>
  <c r="J22" i="7"/>
  <c r="K10" i="7"/>
  <c r="P11" i="7" s="1"/>
  <c r="AC56" i="12"/>
  <c r="W14" i="12"/>
  <c r="J15" i="18" l="1"/>
  <c r="J17" i="18" s="1"/>
  <c r="M117" i="9"/>
  <c r="N116" i="9" s="1"/>
  <c r="H29" i="7"/>
  <c r="N17" i="7"/>
  <c r="M18" i="12"/>
  <c r="N18" i="12" s="1"/>
  <c r="L18" i="12"/>
  <c r="L20" i="12" s="1"/>
  <c r="K20" i="12"/>
  <c r="D25" i="7"/>
  <c r="K22" i="7"/>
  <c r="L10" i="7"/>
  <c r="Q11" i="7" s="1"/>
  <c r="Z86" i="9"/>
  <c r="Y109" i="9"/>
  <c r="Y123" i="9" s="1"/>
  <c r="Y125" i="9" s="1"/>
  <c r="Z122" i="9" s="1"/>
  <c r="N97" i="9"/>
  <c r="N98" i="9" s="1"/>
  <c r="O12" i="7" s="1"/>
  <c r="N108" i="9"/>
  <c r="N107" i="9" s="1"/>
  <c r="N110" i="9" s="1"/>
  <c r="N115" i="9" s="1"/>
  <c r="N117" i="9" s="1"/>
  <c r="O116" i="9" s="1"/>
  <c r="N92" i="9"/>
  <c r="X84" i="9"/>
  <c r="W87" i="9"/>
  <c r="P14" i="7"/>
  <c r="P13" i="7" s="1"/>
  <c r="P88" i="9"/>
  <c r="O89" i="9"/>
  <c r="O91" i="9" s="1"/>
  <c r="E25" i="7" l="1"/>
  <c r="K15" i="18"/>
  <c r="K17" i="18" s="1"/>
  <c r="O18" i="12"/>
  <c r="N20" i="12"/>
  <c r="I29" i="7"/>
  <c r="O17" i="7"/>
  <c r="V18" i="12"/>
  <c r="M20" i="12"/>
  <c r="O92" i="9"/>
  <c r="O97" i="9"/>
  <c r="O98" i="9" s="1"/>
  <c r="P12" i="7" s="1"/>
  <c r="O108" i="9"/>
  <c r="O107" i="9" s="1"/>
  <c r="O110" i="9" s="1"/>
  <c r="O115" i="9" s="1"/>
  <c r="O117" i="9" s="1"/>
  <c r="P116" i="9" s="1"/>
  <c r="Y84" i="9"/>
  <c r="X87" i="9"/>
  <c r="Q14" i="7"/>
  <c r="Q13" i="7" s="1"/>
  <c r="Q88" i="9"/>
  <c r="P89" i="9"/>
  <c r="P91" i="9" s="1"/>
  <c r="AA86" i="9"/>
  <c r="Z109" i="9"/>
  <c r="Z123" i="9" s="1"/>
  <c r="Z125" i="9" s="1"/>
  <c r="AA122" i="9" s="1"/>
  <c r="L22" i="7"/>
  <c r="L15" i="18" s="1"/>
  <c r="L17" i="18" s="1"/>
  <c r="M10" i="7"/>
  <c r="R11" i="7" s="1"/>
  <c r="J29" i="7" l="1"/>
  <c r="P17" i="7"/>
  <c r="P18" i="12"/>
  <c r="O20" i="12"/>
  <c r="F25" i="7"/>
  <c r="P92" i="9"/>
  <c r="P97" i="9"/>
  <c r="P98" i="9" s="1"/>
  <c r="Q12" i="7" s="1"/>
  <c r="P108" i="9"/>
  <c r="P107" i="9" s="1"/>
  <c r="P110" i="9" s="1"/>
  <c r="P115" i="9" s="1"/>
  <c r="P117" i="9" s="1"/>
  <c r="Q116" i="9" s="1"/>
  <c r="R14" i="7"/>
  <c r="R13" i="7" s="1"/>
  <c r="R88" i="9"/>
  <c r="Q89" i="9"/>
  <c r="Q91" i="9" s="1"/>
  <c r="Z84" i="9"/>
  <c r="Y87" i="9"/>
  <c r="M22" i="7"/>
  <c r="M15" i="18" s="1"/>
  <c r="M17" i="18" s="1"/>
  <c r="N10" i="7"/>
  <c r="S11" i="7" s="1"/>
  <c r="AB86" i="9"/>
  <c r="AA109" i="9"/>
  <c r="AA123" i="9" s="1"/>
  <c r="AA125" i="9" s="1"/>
  <c r="AB122" i="9" s="1"/>
  <c r="K29" i="7" l="1"/>
  <c r="Q17" i="7"/>
  <c r="Q18" i="12"/>
  <c r="P20" i="12"/>
  <c r="G25" i="7"/>
  <c r="Q92" i="9"/>
  <c r="Q97" i="9"/>
  <c r="Q98" i="9" s="1"/>
  <c r="R12" i="7" s="1"/>
  <c r="Q108" i="9"/>
  <c r="Q107" i="9" s="1"/>
  <c r="Q110" i="9" s="1"/>
  <c r="Q115" i="9" s="1"/>
  <c r="Q117" i="9" s="1"/>
  <c r="R116" i="9" s="1"/>
  <c r="AC86" i="9"/>
  <c r="AB109" i="9"/>
  <c r="AB123" i="9" s="1"/>
  <c r="AB125" i="9" s="1"/>
  <c r="AC122" i="9" s="1"/>
  <c r="AA84" i="9"/>
  <c r="Z87" i="9"/>
  <c r="N22" i="7"/>
  <c r="N15" i="18" s="1"/>
  <c r="N17" i="18" s="1"/>
  <c r="O10" i="7"/>
  <c r="T11" i="7" s="1"/>
  <c r="S14" i="7"/>
  <c r="S13" i="7" s="1"/>
  <c r="S88" i="9"/>
  <c r="R89" i="9"/>
  <c r="R91" i="9" s="1"/>
  <c r="L29" i="7" l="1"/>
  <c r="R17" i="7"/>
  <c r="R18" i="12"/>
  <c r="Q20" i="12"/>
  <c r="AB84" i="9"/>
  <c r="AA87" i="9"/>
  <c r="T88" i="9"/>
  <c r="T14" i="7"/>
  <c r="T13" i="7" s="1"/>
  <c r="S89" i="9"/>
  <c r="S91" i="9" s="1"/>
  <c r="H25" i="7"/>
  <c r="AD86" i="9"/>
  <c r="AC109" i="9"/>
  <c r="AC123" i="9" s="1"/>
  <c r="AC125" i="9" s="1"/>
  <c r="AD122" i="9" s="1"/>
  <c r="R92" i="9"/>
  <c r="R97" i="9"/>
  <c r="R98" i="9" s="1"/>
  <c r="S12" i="7" s="1"/>
  <c r="R108" i="9"/>
  <c r="R107" i="9" s="1"/>
  <c r="R110" i="9" s="1"/>
  <c r="R115" i="9" s="1"/>
  <c r="R117" i="9" s="1"/>
  <c r="S116" i="9" s="1"/>
  <c r="O22" i="7"/>
  <c r="O15" i="18" s="1"/>
  <c r="O17" i="18" s="1"/>
  <c r="P10" i="7"/>
  <c r="U11" i="7" s="1"/>
  <c r="S18" i="12" l="1"/>
  <c r="R20" i="12"/>
  <c r="M29" i="7"/>
  <c r="S17" i="7"/>
  <c r="I25" i="7"/>
  <c r="S97" i="9"/>
  <c r="S98" i="9" s="1"/>
  <c r="T12" i="7" s="1"/>
  <c r="S108" i="9"/>
  <c r="S107" i="9" s="1"/>
  <c r="S110" i="9" s="1"/>
  <c r="S115" i="9" s="1"/>
  <c r="S117" i="9" s="1"/>
  <c r="T116" i="9" s="1"/>
  <c r="S92" i="9"/>
  <c r="AC84" i="9"/>
  <c r="AB87" i="9"/>
  <c r="AD109" i="9"/>
  <c r="AD123" i="9" s="1"/>
  <c r="AD125" i="9" s="1"/>
  <c r="AE122" i="9" s="1"/>
  <c r="AE86" i="9"/>
  <c r="U14" i="7"/>
  <c r="U13" i="7" s="1"/>
  <c r="U88" i="9"/>
  <c r="T89" i="9"/>
  <c r="T91" i="9" s="1"/>
  <c r="P22" i="7"/>
  <c r="P15" i="18" s="1"/>
  <c r="P17" i="18" s="1"/>
  <c r="Q10" i="7"/>
  <c r="V11" i="7" s="1"/>
  <c r="N29" i="7" l="1"/>
  <c r="T17" i="7"/>
  <c r="T18" i="12"/>
  <c r="S20" i="12"/>
  <c r="J25" i="7"/>
  <c r="AF86" i="9"/>
  <c r="AE109" i="9"/>
  <c r="AE123" i="9" s="1"/>
  <c r="AE125" i="9" s="1"/>
  <c r="AF122" i="9" s="1"/>
  <c r="T97" i="9"/>
  <c r="T98" i="9" s="1"/>
  <c r="U12" i="7" s="1"/>
  <c r="T108" i="9"/>
  <c r="T107" i="9" s="1"/>
  <c r="T110" i="9" s="1"/>
  <c r="T115" i="9" s="1"/>
  <c r="T117" i="9" s="1"/>
  <c r="U116" i="9" s="1"/>
  <c r="T92" i="9"/>
  <c r="V14" i="7"/>
  <c r="V13" i="7" s="1"/>
  <c r="V88" i="9"/>
  <c r="U89" i="9"/>
  <c r="U91" i="9" s="1"/>
  <c r="Q22" i="7"/>
  <c r="Q15" i="18" s="1"/>
  <c r="Q17" i="18" s="1"/>
  <c r="R10" i="7"/>
  <c r="W11" i="7" s="1"/>
  <c r="AD84" i="9"/>
  <c r="AC87" i="9"/>
  <c r="U18" i="12" l="1"/>
  <c r="T20" i="12"/>
  <c r="O29" i="7"/>
  <c r="U17" i="7"/>
  <c r="V20" i="12"/>
  <c r="AE84" i="9"/>
  <c r="AD87" i="9"/>
  <c r="U97" i="9"/>
  <c r="U98" i="9" s="1"/>
  <c r="V12" i="7" s="1"/>
  <c r="U108" i="9"/>
  <c r="U107" i="9" s="1"/>
  <c r="U110" i="9" s="1"/>
  <c r="U115" i="9" s="1"/>
  <c r="U117" i="9" s="1"/>
  <c r="V116" i="9" s="1"/>
  <c r="U92" i="9"/>
  <c r="S10" i="7"/>
  <c r="R22" i="7"/>
  <c r="R15" i="18" s="1"/>
  <c r="R17" i="18" s="1"/>
  <c r="W14" i="7"/>
  <c r="W13" i="7" s="1"/>
  <c r="W88" i="9"/>
  <c r="V89" i="9"/>
  <c r="V91" i="9" s="1"/>
  <c r="K25" i="7"/>
  <c r="AF109" i="9"/>
  <c r="AF123" i="9" s="1"/>
  <c r="AF125" i="9" s="1"/>
  <c r="AG122" i="9" s="1"/>
  <c r="AG86" i="9"/>
  <c r="P29" i="7" l="1"/>
  <c r="V17" i="7"/>
  <c r="W18" i="12"/>
  <c r="U20" i="12"/>
  <c r="AG125" i="9"/>
  <c r="AH122" i="9" s="1"/>
  <c r="AH125" i="9" s="1"/>
  <c r="X88" i="9"/>
  <c r="X14" i="7"/>
  <c r="X13" i="7" s="1"/>
  <c r="W89" i="9"/>
  <c r="W91" i="9" s="1"/>
  <c r="AF84" i="9"/>
  <c r="AE87" i="9"/>
  <c r="AH86" i="9"/>
  <c r="AH109" i="9" s="1"/>
  <c r="AH123" i="9" s="1"/>
  <c r="AG109" i="9"/>
  <c r="AG123" i="9" s="1"/>
  <c r="L25" i="7"/>
  <c r="V92" i="9"/>
  <c r="V97" i="9"/>
  <c r="V98" i="9" s="1"/>
  <c r="W12" i="7" s="1"/>
  <c r="V108" i="9"/>
  <c r="V107" i="9" s="1"/>
  <c r="V110" i="9" s="1"/>
  <c r="V115" i="9" s="1"/>
  <c r="V117" i="9" s="1"/>
  <c r="W116" i="9" s="1"/>
  <c r="T10" i="7"/>
  <c r="S22" i="7"/>
  <c r="S15" i="18" s="1"/>
  <c r="S17" i="18" s="1"/>
  <c r="Q29" i="7" l="1"/>
  <c r="W17" i="7"/>
  <c r="X18" i="12"/>
  <c r="W20" i="12"/>
  <c r="U10" i="7"/>
  <c r="T22" i="7"/>
  <c r="T15" i="18" s="1"/>
  <c r="T17" i="18" s="1"/>
  <c r="Y88" i="9"/>
  <c r="Y14" i="7"/>
  <c r="Y13" i="7" s="1"/>
  <c r="X89" i="9"/>
  <c r="X91" i="9" s="1"/>
  <c r="AG84" i="9"/>
  <c r="AF87" i="9"/>
  <c r="M25" i="7"/>
  <c r="W92" i="9"/>
  <c r="W108" i="9"/>
  <c r="W107" i="9" s="1"/>
  <c r="W110" i="9" s="1"/>
  <c r="W115" i="9" s="1"/>
  <c r="W117" i="9" s="1"/>
  <c r="X116" i="9" s="1"/>
  <c r="W97" i="9"/>
  <c r="W98" i="9" s="1"/>
  <c r="X12" i="7" s="1"/>
  <c r="R29" i="7" s="1"/>
  <c r="Y18" i="12" l="1"/>
  <c r="X20" i="12"/>
  <c r="AH84" i="9"/>
  <c r="AH87" i="9" s="1"/>
  <c r="AG87" i="9"/>
  <c r="N25" i="7"/>
  <c r="X97" i="9"/>
  <c r="X98" i="9" s="1"/>
  <c r="Y12" i="7" s="1"/>
  <c r="S29" i="7" s="1"/>
  <c r="X108" i="9"/>
  <c r="X107" i="9" s="1"/>
  <c r="X110" i="9" s="1"/>
  <c r="X115" i="9" s="1"/>
  <c r="X117" i="9" s="1"/>
  <c r="Y116" i="9" s="1"/>
  <c r="X92" i="9"/>
  <c r="U22" i="7"/>
  <c r="V10" i="7"/>
  <c r="Z14" i="7"/>
  <c r="Z13" i="7" s="1"/>
  <c r="Z88" i="9"/>
  <c r="Y89" i="9"/>
  <c r="Y91" i="9" s="1"/>
  <c r="U15" i="18" l="1"/>
  <c r="U17" i="18" s="1"/>
  <c r="O25" i="7"/>
  <c r="Z18" i="12"/>
  <c r="Y20" i="12"/>
  <c r="Y92" i="9"/>
  <c r="Y97" i="9"/>
  <c r="Y98" i="9" s="1"/>
  <c r="Z12" i="7" s="1"/>
  <c r="T29" i="7" s="1"/>
  <c r="Y108" i="9"/>
  <c r="Y107" i="9" s="1"/>
  <c r="Y110" i="9" s="1"/>
  <c r="Y115" i="9" s="1"/>
  <c r="Y117" i="9" s="1"/>
  <c r="Z116" i="9" s="1"/>
  <c r="W10" i="7"/>
  <c r="V22" i="7"/>
  <c r="AA88" i="9"/>
  <c r="AA14" i="7"/>
  <c r="AA13" i="7" s="1"/>
  <c r="Z89" i="9"/>
  <c r="Z91" i="9" s="1"/>
  <c r="P25" i="7" l="1"/>
  <c r="V15" i="18"/>
  <c r="V17" i="18" s="1"/>
  <c r="C19" i="18" s="1"/>
  <c r="AA18" i="12"/>
  <c r="Z20" i="12"/>
  <c r="Z92" i="9"/>
  <c r="Z108" i="9"/>
  <c r="Z107" i="9" s="1"/>
  <c r="Z110" i="9" s="1"/>
  <c r="Z115" i="9" s="1"/>
  <c r="Z117" i="9" s="1"/>
  <c r="AA116" i="9" s="1"/>
  <c r="Z97" i="9"/>
  <c r="Z98" i="9" s="1"/>
  <c r="AA12" i="7" s="1"/>
  <c r="U29" i="7" s="1"/>
  <c r="AB88" i="9"/>
  <c r="AB14" i="7"/>
  <c r="AB13" i="7" s="1"/>
  <c r="AA89" i="9"/>
  <c r="AA91" i="9" s="1"/>
  <c r="W22" i="7"/>
  <c r="Q25" i="7" s="1"/>
  <c r="X10" i="7"/>
  <c r="AB18" i="12" l="1"/>
  <c r="AA20" i="12"/>
  <c r="Y10" i="7"/>
  <c r="X17" i="7"/>
  <c r="X22" i="7" s="1"/>
  <c r="R25" i="7" s="1"/>
  <c r="AA92" i="9"/>
  <c r="AA108" i="9"/>
  <c r="AA107" i="9" s="1"/>
  <c r="AA110" i="9" s="1"/>
  <c r="AA115" i="9" s="1"/>
  <c r="AA117" i="9" s="1"/>
  <c r="AB116" i="9" s="1"/>
  <c r="AA97" i="9"/>
  <c r="AA98" i="9" s="1"/>
  <c r="AB12" i="7" s="1"/>
  <c r="V29" i="7" s="1"/>
  <c r="D21" i="15"/>
  <c r="AC88" i="9"/>
  <c r="AC14" i="7"/>
  <c r="AC13" i="7" s="1"/>
  <c r="AB89" i="9"/>
  <c r="AB91" i="9" s="1"/>
  <c r="AC18" i="12" l="1"/>
  <c r="AB20" i="12"/>
  <c r="AB92" i="9"/>
  <c r="AB108" i="9"/>
  <c r="AB107" i="9" s="1"/>
  <c r="AB110" i="9" s="1"/>
  <c r="AB115" i="9" s="1"/>
  <c r="AB117" i="9" s="1"/>
  <c r="AC116" i="9" s="1"/>
  <c r="AB97" i="9"/>
  <c r="AB98" i="9" s="1"/>
  <c r="AC12" i="7" s="1"/>
  <c r="W29" i="7" s="1"/>
  <c r="Y17" i="7"/>
  <c r="Y22" i="7" s="1"/>
  <c r="S25" i="7" s="1"/>
  <c r="Z10" i="7"/>
  <c r="AD88" i="9"/>
  <c r="AD14" i="7"/>
  <c r="AD13" i="7" s="1"/>
  <c r="AC89" i="9"/>
  <c r="AC91" i="9" s="1"/>
  <c r="AD18" i="12" l="1"/>
  <c r="AC20" i="12"/>
  <c r="AA10" i="7"/>
  <c r="Z17" i="7"/>
  <c r="Z22" i="7" s="1"/>
  <c r="T25" i="7" s="1"/>
  <c r="AC92" i="9"/>
  <c r="AC108" i="9"/>
  <c r="AC107" i="9" s="1"/>
  <c r="AC110" i="9" s="1"/>
  <c r="AC115" i="9" s="1"/>
  <c r="AC117" i="9" s="1"/>
  <c r="AD116" i="9" s="1"/>
  <c r="AC97" i="9"/>
  <c r="AC98" i="9" s="1"/>
  <c r="AD12" i="7" s="1"/>
  <c r="X29" i="7" s="1"/>
  <c r="AE88" i="9"/>
  <c r="AE14" i="7"/>
  <c r="AE13" i="7" s="1"/>
  <c r="AD89" i="9"/>
  <c r="AD91" i="9" s="1"/>
  <c r="AE18" i="12" l="1"/>
  <c r="AD20" i="12"/>
  <c r="AF88" i="9"/>
  <c r="AF14" i="7"/>
  <c r="AF13" i="7" s="1"/>
  <c r="AE89" i="9"/>
  <c r="AE91" i="9" s="1"/>
  <c r="AA17" i="7"/>
  <c r="AA22" i="7" s="1"/>
  <c r="U25" i="7" s="1"/>
  <c r="AB10" i="7"/>
  <c r="AD92" i="9"/>
  <c r="AD108" i="9"/>
  <c r="AD107" i="9" s="1"/>
  <c r="AD110" i="9" s="1"/>
  <c r="AD115" i="9" s="1"/>
  <c r="AD117" i="9" s="1"/>
  <c r="AE116" i="9" s="1"/>
  <c r="AD97" i="9"/>
  <c r="AD98" i="9" s="1"/>
  <c r="AE12" i="7" s="1"/>
  <c r="Y29" i="7" s="1"/>
  <c r="AF18" i="12" l="1"/>
  <c r="AF20" i="12" s="1"/>
  <c r="D5" i="12" s="1"/>
  <c r="AE20" i="12"/>
  <c r="AE92" i="9"/>
  <c r="AE108" i="9"/>
  <c r="AE107" i="9" s="1"/>
  <c r="AE110" i="9" s="1"/>
  <c r="AE115" i="9" s="1"/>
  <c r="AE117" i="9" s="1"/>
  <c r="AF116" i="9" s="1"/>
  <c r="AE97" i="9"/>
  <c r="AE98" i="9" s="1"/>
  <c r="AF12" i="7" s="1"/>
  <c r="AC10" i="7"/>
  <c r="AB17" i="7"/>
  <c r="AB22" i="7" s="1"/>
  <c r="V25" i="7" s="1"/>
  <c r="AG88" i="9"/>
  <c r="AG14" i="7"/>
  <c r="AG13" i="7" s="1"/>
  <c r="AF89" i="9"/>
  <c r="AF91" i="9" s="1"/>
  <c r="AG12" i="7" l="1"/>
  <c r="Z29" i="7"/>
  <c r="AH88" i="9"/>
  <c r="AH89" i="9" s="1"/>
  <c r="AH91" i="9" s="1"/>
  <c r="AG89" i="9"/>
  <c r="AG91" i="9" s="1"/>
  <c r="AF92" i="9"/>
  <c r="AF108" i="9"/>
  <c r="AF107" i="9" s="1"/>
  <c r="AF110" i="9" s="1"/>
  <c r="AF115" i="9" s="1"/>
  <c r="AF117" i="9" s="1"/>
  <c r="AG116" i="9" s="1"/>
  <c r="AF97" i="9"/>
  <c r="AF98" i="9" s="1"/>
  <c r="AD10" i="7"/>
  <c r="AC17" i="7"/>
  <c r="AC22" i="7" s="1"/>
  <c r="W25" i="7" s="1"/>
  <c r="AH108" i="9" l="1"/>
  <c r="AH107" i="9" s="1"/>
  <c r="AH110" i="9" s="1"/>
  <c r="AH115" i="9" s="1"/>
  <c r="AH97" i="9"/>
  <c r="AH98" i="9" s="1"/>
  <c r="AA29" i="7"/>
  <c r="B30" i="7"/>
  <c r="AE10" i="7"/>
  <c r="AD17" i="7"/>
  <c r="AD22" i="7" s="1"/>
  <c r="X25" i="7" s="1"/>
  <c r="AG92" i="9"/>
  <c r="AH92" i="9" s="1"/>
  <c r="AG108" i="9"/>
  <c r="AG107" i="9" s="1"/>
  <c r="AG110" i="9" s="1"/>
  <c r="AG115" i="9" s="1"/>
  <c r="AG117" i="9" s="1"/>
  <c r="AH116" i="9" s="1"/>
  <c r="AG97" i="9"/>
  <c r="AG98" i="9" s="1"/>
  <c r="AH117" i="9" l="1"/>
  <c r="AF10" i="7"/>
  <c r="AE17" i="7"/>
  <c r="AE22" i="7" s="1"/>
  <c r="Y25" i="7" s="1"/>
  <c r="AG10" i="7" l="1"/>
  <c r="AG17" i="7" s="1"/>
  <c r="AG22" i="7" s="1"/>
  <c r="AF17" i="7"/>
  <c r="AF22" i="7" s="1"/>
  <c r="Z25" i="7" s="1"/>
  <c r="B26" i="7" l="1"/>
  <c r="AA25" i="7"/>
</calcChain>
</file>

<file path=xl/comments1.xml><?xml version="1.0" encoding="utf-8"?>
<comments xmlns="http://schemas.openxmlformats.org/spreadsheetml/2006/main">
  <authors>
    <author>user3</author>
  </authors>
  <commentList>
    <comment ref="T472" authorId="0" shapeId="0">
      <text>
        <r>
          <rPr>
            <b/>
            <sz val="8"/>
            <color indexed="81"/>
            <rFont val="Tahoma"/>
            <family val="2"/>
          </rPr>
          <t>user3:</t>
        </r>
        <r>
          <rPr>
            <sz val="8"/>
            <color indexed="81"/>
            <rFont val="Tahoma"/>
            <family val="2"/>
          </rPr>
          <t xml:space="preserve">
ME1E</t>
        </r>
      </text>
    </comment>
    <comment ref="V472" authorId="0" shapeId="0">
      <text>
        <r>
          <rPr>
            <b/>
            <sz val="8"/>
            <color indexed="81"/>
            <rFont val="Tahoma"/>
            <family val="2"/>
          </rPr>
          <t>user3:</t>
        </r>
        <r>
          <rPr>
            <sz val="8"/>
            <color indexed="81"/>
            <rFont val="Tahoma"/>
            <family val="2"/>
          </rPr>
          <t xml:space="preserve">
ME1E</t>
        </r>
      </text>
    </comment>
    <comment ref="W472" authorId="0" shapeId="0">
      <text>
        <r>
          <rPr>
            <b/>
            <sz val="8"/>
            <color indexed="81"/>
            <rFont val="Tahoma"/>
            <family val="2"/>
          </rPr>
          <t>user3:</t>
        </r>
        <r>
          <rPr>
            <sz val="8"/>
            <color indexed="81"/>
            <rFont val="Tahoma"/>
            <family val="2"/>
          </rPr>
          <t xml:space="preserve">
ME1E</t>
        </r>
      </text>
    </comment>
  </commentList>
</comments>
</file>

<file path=xl/comments2.xml><?xml version="1.0" encoding="utf-8"?>
<comments xmlns="http://schemas.openxmlformats.org/spreadsheetml/2006/main">
  <authors>
    <author>David S. Garber</author>
  </authors>
  <commentList>
    <comment ref="N25" authorId="0" shapeId="0">
      <text>
        <r>
          <rPr>
            <b/>
            <sz val="8"/>
            <color indexed="81"/>
            <rFont val="Tahoma"/>
            <family val="2"/>
          </rPr>
          <t>MCC:</t>
        </r>
        <r>
          <rPr>
            <sz val="8"/>
            <color indexed="81"/>
            <rFont val="Tahoma"/>
            <family val="2"/>
          </rPr>
          <t xml:space="preserve">
estimated based on similar cities for which there are stats.</t>
        </r>
      </text>
    </comment>
    <comment ref="O25" authorId="0" shapeId="0">
      <text>
        <r>
          <rPr>
            <b/>
            <sz val="8"/>
            <color indexed="81"/>
            <rFont val="Tahoma"/>
            <family val="2"/>
          </rPr>
          <t>MCC:</t>
        </r>
        <r>
          <rPr>
            <sz val="8"/>
            <color indexed="81"/>
            <rFont val="Tahoma"/>
            <family val="2"/>
          </rPr>
          <t xml:space="preserve">
estimated based on similar cities for which there are stats.
</t>
        </r>
      </text>
    </comment>
    <comment ref="P25" authorId="0" shapeId="0">
      <text>
        <r>
          <rPr>
            <b/>
            <sz val="8"/>
            <color indexed="81"/>
            <rFont val="Tahoma"/>
            <family val="2"/>
          </rPr>
          <t>MCC:</t>
        </r>
        <r>
          <rPr>
            <sz val="8"/>
            <color indexed="81"/>
            <rFont val="Tahoma"/>
            <family val="2"/>
          </rPr>
          <t xml:space="preserve">
estimated based on similar cities for which there are stats.
</t>
        </r>
      </text>
    </comment>
    <comment ref="Q25" authorId="0" shapeId="0">
      <text>
        <r>
          <rPr>
            <b/>
            <sz val="8"/>
            <color indexed="81"/>
            <rFont val="Tahoma"/>
            <family val="2"/>
          </rPr>
          <t>MCC:</t>
        </r>
        <r>
          <rPr>
            <sz val="8"/>
            <color indexed="81"/>
            <rFont val="Tahoma"/>
            <family val="2"/>
          </rPr>
          <t xml:space="preserve">
estimated based on similar cities for which there are stats.
</t>
        </r>
      </text>
    </comment>
    <comment ref="A62" authorId="0" shapeId="0">
      <text>
        <r>
          <rPr>
            <b/>
            <sz val="8"/>
            <color indexed="81"/>
            <rFont val="Tahoma"/>
            <family val="2"/>
          </rPr>
          <t>MCC:</t>
        </r>
        <r>
          <rPr>
            <sz val="8"/>
            <color indexed="81"/>
            <rFont val="Tahoma"/>
            <family val="2"/>
          </rPr>
          <t xml:space="preserve">
assumes preference for beef over chicken, change in kg cons chicken decreases double that of beef (in proportional terms)</t>
        </r>
      </text>
    </comment>
  </commentList>
</comments>
</file>

<file path=xl/sharedStrings.xml><?xml version="1.0" encoding="utf-8"?>
<sst xmlns="http://schemas.openxmlformats.org/spreadsheetml/2006/main" count="1668" uniqueCount="1256">
  <si>
    <t>0 - 50%</t>
  </si>
  <si>
    <r>
      <t xml:space="preserve">   </t>
    </r>
    <r>
      <rPr>
        <u/>
        <sz val="10"/>
        <color indexed="12"/>
        <rFont val="Arial"/>
        <family val="2"/>
        <charset val="204"/>
      </rPr>
      <t>Activity Description</t>
    </r>
  </si>
  <si>
    <r>
      <t xml:space="preserve">   </t>
    </r>
    <r>
      <rPr>
        <u/>
        <sz val="10"/>
        <color indexed="12"/>
        <rFont val="Arial"/>
        <family val="2"/>
        <charset val="204"/>
      </rPr>
      <t>User's Guide</t>
    </r>
  </si>
  <si>
    <r>
      <t xml:space="preserve">MCC Estimated ERR </t>
    </r>
    <r>
      <rPr>
        <b/>
        <sz val="8"/>
        <rFont val="Arial"/>
        <family val="2"/>
      </rPr>
      <t>(as of 7/12/2007)</t>
    </r>
    <r>
      <rPr>
        <b/>
        <sz val="10"/>
        <rFont val="Arial"/>
        <family val="2"/>
      </rPr>
      <t>:</t>
    </r>
  </si>
  <si>
    <t>% of wholesalers that currently in informal sector, before project</t>
  </si>
  <si>
    <t>ERR</t>
  </si>
  <si>
    <t>Such wholesalers evade taxes and once brought into the project will be paying taxes on the entire volume sold.</t>
  </si>
  <si>
    <t>% of Quality Increase in Price captured by wholesaler</t>
  </si>
  <si>
    <t>% of Quality Increase in Price captured by owner</t>
  </si>
  <si>
    <t>% of Quality Increase in Price caputered by retailer</t>
  </si>
  <si>
    <t>Tax Rate on Wholesaler Purchases</t>
  </si>
  <si>
    <t>Tax Rate on Wholesaler Participation in Wholesale Market</t>
  </si>
  <si>
    <t xml:space="preserve">Total Cash Flow </t>
  </si>
  <si>
    <t>Cost Economic Parameters on Wholesaler</t>
  </si>
  <si>
    <t>Ville:</t>
  </si>
  <si>
    <t>AlHoceima</t>
  </si>
  <si>
    <t>Tanger</t>
  </si>
  <si>
    <t>Casablanca</t>
  </si>
  <si>
    <t>Agadir</t>
  </si>
  <si>
    <t>Fes</t>
  </si>
  <si>
    <t>Oujda</t>
  </si>
  <si>
    <t>Marrakech</t>
  </si>
  <si>
    <t>Taza</t>
  </si>
  <si>
    <t>Errachidia</t>
  </si>
  <si>
    <t>Maroc</t>
  </si>
  <si>
    <t>Beni Mellal</t>
  </si>
  <si>
    <t>Rabat</t>
  </si>
  <si>
    <t>Tetouan</t>
  </si>
  <si>
    <t>Meknes</t>
  </si>
  <si>
    <t>distance to nearest port (km)</t>
  </si>
  <si>
    <t>700+</t>
  </si>
  <si>
    <t>na</t>
  </si>
  <si>
    <t>total</t>
  </si>
  <si>
    <t>Type of City:           1= cotiere,         2=non-cotiere, 3=non-cot, eloignee</t>
  </si>
  <si>
    <t>bolded indicates part of project proposal</t>
  </si>
  <si>
    <t>$$ (millions)</t>
  </si>
  <si>
    <t>present price of pellagics/kg (retail, est., DH/kg.)</t>
  </si>
  <si>
    <t>Project</t>
  </si>
  <si>
    <t>est. present retail value in thousands of DH</t>
  </si>
  <si>
    <t>% augmentation between 1998 and 2007</t>
  </si>
  <si>
    <t>for beef, 1998</t>
  </si>
  <si>
    <t>for poultry, 1998</t>
  </si>
  <si>
    <t>% meat budget on beef, 2007</t>
  </si>
  <si>
    <t>%  meat budget on poutlry 2007</t>
  </si>
  <si>
    <t>% meat budget on fish, 2007</t>
  </si>
  <si>
    <t>Total All Meat Budget, per capita 2007</t>
  </si>
  <si>
    <t>% of GDP/capita on All Meat (14320 DH/year)</t>
  </si>
  <si>
    <t>per cap. Per annum,  fish consommation 1998</t>
  </si>
  <si>
    <t xml:space="preserve">1998 True Statistics on Meat Consumption </t>
  </si>
  <si>
    <t xml:space="preserve">Estimations on 2007 Consumption </t>
  </si>
  <si>
    <t>per cap, per annum, est. cons.  Fish 2007</t>
  </si>
  <si>
    <t>est. cons. 2007 (tonnes of fish)</t>
  </si>
  <si>
    <t>% change in beef consumption</t>
  </si>
  <si>
    <t>final beef consumption per person</t>
  </si>
  <si>
    <t>% change in chicken consumption</t>
  </si>
  <si>
    <t>final chicken consumption per person</t>
  </si>
  <si>
    <t>post-scenario spending on meat/GDP p.c.</t>
  </si>
  <si>
    <t>net gain in grams of protien per cap kg/year</t>
  </si>
  <si>
    <t>City Characteristics</t>
  </si>
  <si>
    <t>per capita income equivalent of gain</t>
  </si>
  <si>
    <t>est. pltry consumption 2007, 24% inc. from 1998</t>
  </si>
  <si>
    <t>est. beef consumption 2007, 24% inc. from 1998</t>
  </si>
  <si>
    <t>Item</t>
  </si>
  <si>
    <t>Initial Investment (000 MDH)</t>
  </si>
  <si>
    <t>final quantity of all meats eaten in kg/person/year</t>
  </si>
  <si>
    <t>pre-project quantity of all meats eaten in kg/cap/yr</t>
  </si>
  <si>
    <t>net gain in all meats consumption per cap kg/year</t>
  </si>
  <si>
    <t>Consumer Welfare Gains from Project Scenario Two (Consumer fixed budget on meat)</t>
  </si>
  <si>
    <t>population total of project</t>
  </si>
  <si>
    <t>% of rural population impacted (assumption)</t>
  </si>
  <si>
    <t>total population implicated (thousands)</t>
  </si>
  <si>
    <t>% of total Moroccan population implicated</t>
  </si>
  <si>
    <t>Estimations on 2007 Level of Poultry and Beef Consumption Habits</t>
  </si>
  <si>
    <t xml:space="preserve">Estimations of 2007 Meat Consumption Habits, Composition </t>
  </si>
  <si>
    <t>supposed % increase in volume of consumption fish</t>
  </si>
  <si>
    <t>resulting consumption per year per person (kg.)</t>
  </si>
  <si>
    <t>post project ave. consumption/person/year (kg.)</t>
  </si>
  <si>
    <t>total regional increase in comsumption (tonnes)</t>
  </si>
  <si>
    <t>post-scenario annual spending on fish per person</t>
  </si>
  <si>
    <t>post-scenario annual spending on poultry per person</t>
  </si>
  <si>
    <t>post-scenario annual spending on beef per person</t>
  </si>
  <si>
    <t>Total Project Gain in 000 Kg. Meat</t>
  </si>
  <si>
    <t>Total Project Gain in 000 G. Protien</t>
  </si>
  <si>
    <t xml:space="preserve">per capita spent poultry, 2007 </t>
  </si>
  <si>
    <t>assumed price of poultry per DH/ kg.</t>
  </si>
  <si>
    <t>assumed price of beef DH/kg.</t>
  </si>
  <si>
    <t xml:space="preserve">value per capita spent beef, 2007 </t>
  </si>
  <si>
    <t xml:space="preserve">est.  present proportion of domestic market (in weight) </t>
  </si>
  <si>
    <t xml:space="preserve">est. present proportion of domestic market (in value) </t>
  </si>
  <si>
    <t>Agent</t>
  </si>
  <si>
    <t>cost/revenue item</t>
  </si>
  <si>
    <t>urban population (thousands) (2004)</t>
  </si>
  <si>
    <t>rural population (thousands) (2004)</t>
  </si>
  <si>
    <t>fish buy price/prix d'achat</t>
  </si>
  <si>
    <r>
      <t xml:space="preserve">Additional </t>
    </r>
    <r>
      <rPr>
        <b/>
        <sz val="10"/>
        <rFont val="Arial"/>
        <family val="2"/>
      </rPr>
      <t>Flow of Revenues and Costs Post-Project</t>
    </r>
  </si>
  <si>
    <t>Quantity  (tons) Transferred from Farine to Domestic Mkt.</t>
  </si>
  <si>
    <t>Fish Sell Price (Farines)/ Prix de Vente a la Farine</t>
  </si>
  <si>
    <t>Fish Sell Price (Domestic Market)/Prix Vente Halle Poissons</t>
  </si>
  <si>
    <t>Rent/Loyer (KDH)</t>
  </si>
  <si>
    <t>wages/frais de personnel (KDH)</t>
  </si>
  <si>
    <t xml:space="preserve"> Fixed Costs/ Couts Fixes Additionels (KDH)</t>
  </si>
  <si>
    <t>Variable Costs/Couts Variables (KDH)</t>
  </si>
  <si>
    <t>Revenues/ Revenues (KDH)</t>
  </si>
  <si>
    <t>Pre-Tax and Debt Profit/ Resultats d'exploitation (KDH)</t>
  </si>
  <si>
    <t>debt service/frais financiers (KDH)</t>
  </si>
  <si>
    <t>Wholesale Market Tax/Taxes utilisation marche de gros (7%)</t>
  </si>
  <si>
    <t>fish buy price/ prix d'achat</t>
  </si>
  <si>
    <t>value of quantity bought/ valeur d'achat (KDH)</t>
  </si>
  <si>
    <t>final sale price (consumer)/prix de vente finale</t>
  </si>
  <si>
    <t>revenues (KDH)</t>
  </si>
  <si>
    <t>Total Costs/ Charges Totales</t>
  </si>
  <si>
    <t>Business Profit Tax/ Impots sur les Profits (35%)</t>
  </si>
  <si>
    <t>Fish Sell Price including Quality-Induced Price Increase</t>
  </si>
  <si>
    <t>%increase in consumption port city (assumption)</t>
  </si>
  <si>
    <t>% increase in consumption near-port city (assumption)</t>
  </si>
  <si>
    <t>% increase in consumption interior city (assumption)</t>
  </si>
  <si>
    <t>Simulation:  port cities see the least increase in consumption rises, interior unserviced areas see largest increases</t>
  </si>
  <si>
    <t>Indice</t>
  </si>
  <si>
    <t>per capita income equiv (priced in fish)</t>
  </si>
  <si>
    <t>Fundamentals</t>
  </si>
  <si>
    <t>Value Added Percentage of Farine (assumed)</t>
  </si>
  <si>
    <t>Subtract out lost VA fish meal industry (KDH)</t>
  </si>
  <si>
    <t>Final Price Farine (DH)/Prix de Vente Farine</t>
  </si>
  <si>
    <t>Final Net Cash Flow Resulting from Project</t>
  </si>
  <si>
    <t>resulting total annual regional consumption (tonnes)</t>
  </si>
  <si>
    <t>Resulting annual increase in Revenues @2DH/kilo gain (million DH)</t>
  </si>
  <si>
    <t>post-scenario annual all-meats budget</t>
  </si>
  <si>
    <t>Hypotheses/ Assumptions</t>
  </si>
  <si>
    <t>rate of substitution %chicken/%beef (assumption)</t>
  </si>
  <si>
    <t>per kg composite price used (moyen pondere)</t>
  </si>
  <si>
    <t>Increase in Retail Price (DH) due to Quality Gains resulting from Wholesale Market</t>
  </si>
  <si>
    <t>value at purchase/valeur d'achat (pre-taxe)</t>
  </si>
  <si>
    <t>Assumed Rate of Spoilage Post-Project</t>
  </si>
  <si>
    <t>Pre-(Tax and Debt) Profit/ Resultats d'exploitation (KDH)</t>
  </si>
  <si>
    <t>quantity sold/quantite de vente (tonnes) after spoilage</t>
  </si>
  <si>
    <t>Final Price of Fish Meal/Farine (DH)</t>
  </si>
  <si>
    <t>Value Added Rate of Fish Meal Production</t>
  </si>
  <si>
    <t>Inflation rate used throughout</t>
  </si>
  <si>
    <t>quantity bought at wholesale/ quantite d'achat (tonnes)</t>
  </si>
  <si>
    <t>Quality Induced Retail Price Change (DH)</t>
  </si>
  <si>
    <t>wholesale sales price/prix de vente en gros(DH)</t>
  </si>
  <si>
    <t>Percentage of Rural Population Impacted</t>
  </si>
  <si>
    <t>Retail Price of Chicken in All Cities in Morocco</t>
  </si>
  <si>
    <t>Retail Price of Beef in All Cities in Morocco</t>
  </si>
  <si>
    <t>Simulation:  % Increase in Consumption for Port Cities</t>
  </si>
  <si>
    <t>Simulation:  % Increase in Consumption for Near-Port Cities</t>
  </si>
  <si>
    <t>Simulation:  % Increase in Consumption for Interior Cities</t>
  </si>
  <si>
    <t>Tax Rate on Vessel Owner's Revenues</t>
  </si>
  <si>
    <t>ONP Example</t>
  </si>
  <si>
    <t>transportation/frais de transport 4.5 KDH/1000Km</t>
  </si>
  <si>
    <t>distance to nearest port</t>
  </si>
  <si>
    <t>insurance/assurances (assumption: 1% of revenues)</t>
  </si>
  <si>
    <t>Gain in Cash Flow, Exterior</t>
  </si>
  <si>
    <t>Office National des Pêches</t>
  </si>
  <si>
    <t>Projet MCA</t>
  </si>
  <si>
    <t>Marché de gros</t>
  </si>
  <si>
    <t xml:space="preserve"> </t>
  </si>
  <si>
    <t>Benimellal</t>
  </si>
  <si>
    <t>Tétouan</t>
  </si>
  <si>
    <t>Meknès</t>
  </si>
  <si>
    <t>Total</t>
  </si>
  <si>
    <t>Terrain</t>
  </si>
  <si>
    <t>Location (000 Dh)</t>
  </si>
  <si>
    <t xml:space="preserve">      • Locations</t>
  </si>
  <si>
    <t xml:space="preserve">      • Maintenance</t>
  </si>
  <si>
    <t>Durée (année)</t>
  </si>
  <si>
    <t>Cash Flow</t>
  </si>
  <si>
    <t>Year:</t>
  </si>
  <si>
    <t>ERR Calculation for Impact on Wholesale Market on Fish Distribution System</t>
  </si>
  <si>
    <t>Total Gain in Cash Flow to System Due to Addition of Wholesale Market</t>
  </si>
  <si>
    <t>Wholesale Market Unit Profitability Analysis</t>
  </si>
  <si>
    <t>Notes</t>
  </si>
  <si>
    <t>The assumption here is x percent of the rural population in the administrative  province of the city concerned will be impacted</t>
  </si>
  <si>
    <t>These three figures form the core of the simulation assumption, that is we will see a greater percentage increase in consumption in previously unserviced administrative cities than in port cities.</t>
  </si>
  <si>
    <t>This is the ratio of substitution rates from poultry to fish versus beef to fish.  It is assumed that the former is greater than the latter for reasons of observable preferences for red meat.</t>
  </si>
  <si>
    <t>These are assumptions on how this quality increase-induced price increase is shared among the three major actors of the marketing chain.</t>
  </si>
  <si>
    <t>This is the spoilage rate post-project.  It can also be looked at as a 50% decrease in pre-project to post-project (10%-5%) rates.</t>
  </si>
  <si>
    <t>% of increase in cash flow to retailer</t>
  </si>
  <si>
    <t>Tableau des flux de Tresorie/ Cash Flow Statement</t>
  </si>
  <si>
    <t>Government Tax Receipts from WM</t>
  </si>
  <si>
    <t>Government Tax Receipts from Primary Beneficiaries</t>
  </si>
  <si>
    <t>Total Government Taxes Collected</t>
  </si>
  <si>
    <t>Categorie de la Ville:  1=cotiere, 2=presque-cotiere, 3= interieure</t>
  </si>
  <si>
    <t>distance au port plus proche</t>
  </si>
  <si>
    <t>population urbaine</t>
  </si>
  <si>
    <t>popluation rurale</t>
  </si>
  <si>
    <t>% population rurale impacte</t>
  </si>
  <si>
    <t>population totale impliquee dans le projet</t>
  </si>
  <si>
    <t>% population marocaine</t>
  </si>
  <si>
    <t>consommation poisson per hab par an (kg.)</t>
  </si>
  <si>
    <t>consommation boef</t>
  </si>
  <si>
    <t>consommation volailles</t>
  </si>
  <si>
    <t>consommation poisson estimee 2007</t>
  </si>
  <si>
    <t>consommation total estimee poisson</t>
  </si>
  <si>
    <t>prix des pellagiques, 2007</t>
  </si>
  <si>
    <t>valeur total au detail 000 DH</t>
  </si>
  <si>
    <t>% du marche total poisson (volume)</t>
  </si>
  <si>
    <t>% du marche total poisson (valeur)</t>
  </si>
  <si>
    <t>consommation volailles estimee, 2007</t>
  </si>
  <si>
    <t>prix volailles 2007</t>
  </si>
  <si>
    <t>depense par hab volaille</t>
  </si>
  <si>
    <t>consommation boeuf estimee 2007</t>
  </si>
  <si>
    <t>prix boeuf 2007</t>
  </si>
  <si>
    <t>depense par hab boeuf</t>
  </si>
  <si>
    <t>wages -- salaires au niveau du MG</t>
  </si>
  <si>
    <t>Cash Flow net</t>
  </si>
  <si>
    <t>x percent of the population in close-by cities will be impacted</t>
  </si>
  <si>
    <t>x percent of the populatin in the rural areas of these close-by cities will be impacted</t>
  </si>
  <si>
    <t>population of nearby cities</t>
  </si>
  <si>
    <t>% of nearby city populatin impacted</t>
  </si>
  <si>
    <t>rural pop. Of nearby cities</t>
  </si>
  <si>
    <t>% of rural pop. Nearby cities impact</t>
  </si>
  <si>
    <t>population of tertiary cities impact</t>
  </si>
  <si>
    <t>% of 3e city population impacted</t>
  </si>
  <si>
    <t>Welfare Gains for Consumers in terms of Protein Gains (composite price valued) (millions DH/$$)</t>
  </si>
  <si>
    <t>Welfare Gains for Consumers (fish-priced value) (mil DH/$$)</t>
  </si>
  <si>
    <t>% of retailers that pay business profit taxes</t>
  </si>
  <si>
    <t>impots sur profit (35%) (KDH) (non-marchands ambulants)</t>
  </si>
  <si>
    <t>Disaggregated by Agent</t>
  </si>
  <si>
    <t>Calculation of Population Impacted:</t>
  </si>
  <si>
    <t>General</t>
  </si>
  <si>
    <t>Figure Used/Chiffre Utilise</t>
  </si>
  <si>
    <t>Statistic</t>
  </si>
  <si>
    <t>Price Differential Transfer Farine/Halle (DH)</t>
  </si>
  <si>
    <t>Total Costs/Charges Totales (KDH)</t>
  </si>
  <si>
    <t>Income Tax/ Impots Benefices (KDH) (35%) (17.5% at Tanger)</t>
  </si>
  <si>
    <t>x percent of the population of further away cities part of the distribution chain will be impacted.</t>
  </si>
  <si>
    <t>The retail price of chicken is fairly uniform throughout the country.</t>
  </si>
  <si>
    <t>The retail price of beef is fairly uniform throughout the country.</t>
  </si>
  <si>
    <t>These are not state taxes.  They are taxes used directly by the Marche de Gros.</t>
  </si>
  <si>
    <t>Only retailers that have their own fixed shops pay such taxes.</t>
  </si>
  <si>
    <t>Employment is created by the Market, so we need to include wages as value added, but only the increase in wages as compared with the next best alternative activity.</t>
  </si>
  <si>
    <t>volume elasticty of wage cost</t>
  </si>
  <si>
    <t>ratio between distance elasticity of wage cost and volume elasticity of wage cost</t>
  </si>
  <si>
    <t>ratio used between volume elasticity of transport costs and distance elasticity of costs</t>
  </si>
  <si>
    <t>distance elasticity of transport costs</t>
  </si>
  <si>
    <t>ratio used between volume elasticity of ice demand and distance elasticity</t>
  </si>
  <si>
    <t xml:space="preserve">distance elasticity of ice demand </t>
  </si>
  <si>
    <t>additional ice costs</t>
  </si>
  <si>
    <t>total taxes collected by central govt. on additional flow</t>
  </si>
  <si>
    <t>Aggregate CPC / P&amp;L par année</t>
  </si>
  <si>
    <t>Percentage of the Population Impacted in Secondary Cities</t>
  </si>
  <si>
    <t>Percentage of the Population of Secondary City Rural Areas Impacted</t>
  </si>
  <si>
    <t>Percentage of the Population in Tertiary Cities Impacted</t>
  </si>
  <si>
    <t>Substitution: % change in poultry consumption to fish /% change in beef consumption to fish</t>
  </si>
  <si>
    <t>This is the assumed increase in average kg. retail price resulting from the quality increase expected from a more centralized dist. System as well as the wholesale market's provisions.</t>
  </si>
  <si>
    <t>Simulation Parameters</t>
  </si>
  <si>
    <t>wage costs are more sensitive to distance traveled than to volume marketed</t>
  </si>
  <si>
    <t>ice demand is more sensitve to volume of fish than to distance traveled</t>
  </si>
  <si>
    <t>ONP Statistic</t>
  </si>
  <si>
    <t>It is assumed that a percentage of national taxes collected is part of the net gain.  However much of these taxes are used to support the fishing industry directly and indirectly.</t>
  </si>
  <si>
    <t>% of national taxes assumed spent on purely non-fishing related endeavors</t>
  </si>
  <si>
    <t>We do not use inflation rates in this present value model.</t>
  </si>
  <si>
    <t>CPC / P&amp;L par MG (all markets operational)</t>
  </si>
  <si>
    <t>note:  I do not include the 30-year reinvestment in calculation as it would be cancelled out by residual value</t>
  </si>
  <si>
    <t>Gain in Cash Flow (net after investments), WM unit</t>
  </si>
  <si>
    <t>Yearly IRR:</t>
  </si>
  <si>
    <t>Ville Destination:</t>
  </si>
  <si>
    <t xml:space="preserve">quantity sold (minus spoilage)/quantite des ventes (moins les pertes) (tonnes) </t>
  </si>
  <si>
    <t>NPV Entire Project (8%)</t>
  </si>
  <si>
    <t>NPV WM Unit (8%)</t>
  </si>
  <si>
    <t xml:space="preserve">additonal fuel costs </t>
  </si>
  <si>
    <r>
      <t xml:space="preserve">Does the model </t>
    </r>
    <r>
      <rPr>
        <u/>
        <sz val="9"/>
        <rFont val="Arial"/>
        <family val="2"/>
      </rPr>
      <t>oblige</t>
    </r>
    <r>
      <rPr>
        <sz val="9"/>
        <rFont val="Arial"/>
        <family val="2"/>
      </rPr>
      <t xml:space="preserve"> the shareholder to reinvest in equipment every 10 years? 1=yes, 0=no</t>
    </r>
  </si>
  <si>
    <t>This doesn't change the overall results very much.</t>
  </si>
  <si>
    <t>Resettlement (assumed for 4 markets)</t>
  </si>
  <si>
    <t>Environmental/Social Mitigation (2% of capital investment)</t>
  </si>
  <si>
    <t>Environmental and Social Capacity Strengthening</t>
  </si>
  <si>
    <t>IRR Wholesale Market Unit (includes ONP admin. Costs)</t>
  </si>
  <si>
    <t>Detailed Summary of Project Cash Flow</t>
  </si>
  <si>
    <t>Cash Flow Wholesale Market Unit</t>
  </si>
  <si>
    <t>Subtotal</t>
  </si>
  <si>
    <t>Total with Consumer Real Income Gains</t>
  </si>
  <si>
    <t>Taxes Collected (% added back in as a net benefit to chain)</t>
  </si>
  <si>
    <t xml:space="preserve">   collected from Wholesale Market itself</t>
  </si>
  <si>
    <t xml:space="preserve">   collected from agents along chain</t>
  </si>
  <si>
    <t xml:space="preserve">   Wages at Wholesale Market (% added back as benefit)</t>
  </si>
  <si>
    <t>Loss to Fish Meal Industry</t>
  </si>
  <si>
    <t>Disaggregated 30 Year ERR</t>
  </si>
  <si>
    <t>Site</t>
  </si>
  <si>
    <t>ERR Tanger</t>
  </si>
  <si>
    <t>ERR Oujda</t>
  </si>
  <si>
    <t>ERR Marrakech</t>
  </si>
  <si>
    <t>ERR Taza</t>
  </si>
  <si>
    <t>BeniMellal</t>
  </si>
  <si>
    <t>ERR BeniMellal</t>
  </si>
  <si>
    <t>ERR Rabat</t>
  </si>
  <si>
    <t>ERR Tetouan</t>
  </si>
  <si>
    <t>ERR Meknes</t>
  </si>
  <si>
    <t>Summary</t>
  </si>
  <si>
    <t>Site:</t>
  </si>
  <si>
    <t>ERR30</t>
  </si>
  <si>
    <r>
      <t xml:space="preserve">ERR30 </t>
    </r>
    <r>
      <rPr>
        <sz val="8"/>
        <rFont val="Arial"/>
        <family val="2"/>
      </rPr>
      <t>avec gains aux consommateurs</t>
    </r>
  </si>
  <si>
    <r>
      <t>Resettlement Costs (</t>
    </r>
    <r>
      <rPr>
        <sz val="10"/>
        <rFont val="Arial"/>
        <family val="2"/>
      </rPr>
      <t>thousands of DH)</t>
    </r>
  </si>
  <si>
    <t>Price sensitivity</t>
  </si>
  <si>
    <t>Last updated: 7/12/2007</t>
  </si>
  <si>
    <t>Amount of MCC funds</t>
  </si>
  <si>
    <t>Project Description</t>
  </si>
  <si>
    <t>Benefit streams included in ERR</t>
  </si>
  <si>
    <t>Incremental net revenues for the following groups:</t>
  </si>
  <si>
    <t xml:space="preserve">     1.   Fishermen</t>
  </si>
  <si>
    <t xml:space="preserve">     2.   Boat owners</t>
  </si>
  <si>
    <t xml:space="preserve">     3.   Wholesalers</t>
  </si>
  <si>
    <t xml:space="preserve">     4.   Exporters</t>
  </si>
  <si>
    <t xml:space="preserve">     5.   Retailers</t>
  </si>
  <si>
    <t>Costs included in ERR (other than costs borne by MCC)</t>
  </si>
  <si>
    <t>Estimated ERR and time horizon</t>
  </si>
  <si>
    <t>ERR &amp; Sensitivity Analysis</t>
  </si>
  <si>
    <t>Value Chain</t>
  </si>
  <si>
    <t>Morocco: Wholesale Fish Markets</t>
  </si>
  <si>
    <t>Specifically, MCC Funding will support:</t>
  </si>
  <si>
    <t xml:space="preserve">     2.   Technical and training assistance to the National Office for the Fishing Sector (Office National des Pêches or “ONP”) and 
              private sector users in management, hygiene and sanitation.</t>
  </si>
  <si>
    <t>Economic Rationale</t>
  </si>
  <si>
    <t>ERR and sensitivity analysis</t>
  </si>
  <si>
    <t>Parameter type</t>
  </si>
  <si>
    <t>Description of key parameters</t>
  </si>
  <si>
    <t>Parameter values</t>
  </si>
  <si>
    <t>User Input</t>
  </si>
  <si>
    <t>MCC Estimate</t>
  </si>
  <si>
    <t>Plausible Range</t>
  </si>
  <si>
    <t xml:space="preserve">Values used in ERR computation </t>
  </si>
  <si>
    <t>All summary parameters set to initial values?</t>
  </si>
  <si>
    <t>Actual costs as a percentage of estimated costs</t>
  </si>
  <si>
    <t>80 - 120%</t>
  </si>
  <si>
    <t>Actual benefits as a percentage of estimated benefits</t>
  </si>
  <si>
    <t>Specific</t>
  </si>
  <si>
    <t xml:space="preserve">   More Info</t>
  </si>
  <si>
    <t xml:space="preserve">Economic rate of return (ERR): </t>
  </si>
  <si>
    <t>Change the "User Input" cells in the table below to see the effect on the compact's Economic Rate of Return (ERR) and net benefits (see chart below).  To reset all values to the default MCC estimates, click the "Reset Parameters" button at right.  Be sure to reset all summary parameters to their original values ("MCC Estimate" values) before changing specific parameters.</t>
  </si>
  <si>
    <t>% Difference between the actual costs of MG and salaries of alternative activities</t>
  </si>
  <si>
    <t>quantity (tons)</t>
  </si>
  <si>
    <t>Increased tax payments on transfer</t>
  </si>
  <si>
    <t>Resulting increased operations (000 Dirhams)</t>
  </si>
  <si>
    <t>Owner</t>
  </si>
  <si>
    <t>Net Gain Profits to Owner</t>
  </si>
  <si>
    <t>Wholesaler</t>
  </si>
  <si>
    <t>Sales tax at the auction hall</t>
  </si>
  <si>
    <t>Final purchase value (cost of purchase)</t>
  </si>
  <si>
    <t>Ice (900kg for 1000km for 6.875 ton truck of sardines, .4DH/kg) (KDH)</t>
  </si>
  <si>
    <t>quality-induced wholesale price increase (DH)</t>
  </si>
  <si>
    <t>Retailer</t>
  </si>
  <si>
    <t>Net Profit/ Resultat Net (Wholesalers) (KDH)</t>
  </si>
  <si>
    <t>Net Profit/ Resultat Net (Retailer) (KDH)</t>
  </si>
  <si>
    <t>Cash Flow (for the entire chain)</t>
  </si>
  <si>
    <t>% of increase in cash flow to owner</t>
  </si>
  <si>
    <t>These are essentially weights used to convert the known statistics on wholesaler costs to estimates of ice and other costs for each of the MG cities depending on the importance of distance and volume to the cost.</t>
  </si>
  <si>
    <t>% of increase in cash flow to wholesaler</t>
  </si>
  <si>
    <t>Investment program</t>
  </si>
  <si>
    <t>Start Year Operating / Operational Matrix (1 = operational)</t>
  </si>
  <si>
    <t>Equipment</t>
  </si>
  <si>
    <t>Construction</t>
  </si>
  <si>
    <t>Model</t>
  </si>
  <si>
    <t>Additional tonnage ('000 kg)</t>
  </si>
  <si>
    <t>Base tonnage (before project)</t>
  </si>
  <si>
    <t>Sale price after project (Dh/kg)</t>
  </si>
  <si>
    <t>Sale price (Dh/kg)</t>
  </si>
  <si>
    <t>Inflation</t>
  </si>
  <si>
    <t>Tax rate MG</t>
  </si>
  <si>
    <t>Number of stores for rent</t>
  </si>
  <si>
    <t>Total income (full year)</t>
  </si>
  <si>
    <t>Size of MG (P=1; M=1,5; G=2)</t>
  </si>
  <si>
    <t xml:space="preserve">      • Electricity, Water</t>
  </si>
  <si>
    <t xml:space="preserve">      • Supplies</t>
  </si>
  <si>
    <t xml:space="preserve">      • Other purchases</t>
  </si>
  <si>
    <t>Purchases</t>
  </si>
  <si>
    <t xml:space="preserve">      • Operation and repairs</t>
  </si>
  <si>
    <t xml:space="preserve">      • Cleaning</t>
  </si>
  <si>
    <t xml:space="preserve">      • Insurance</t>
  </si>
  <si>
    <t xml:space="preserve">      • Telecommunication</t>
  </si>
  <si>
    <t xml:space="preserve">      • Other external charges</t>
  </si>
  <si>
    <t>Other external charges</t>
  </si>
  <si>
    <t xml:space="preserve">      • Other taxes &amp; fees</t>
  </si>
  <si>
    <t>Taxes and fees</t>
  </si>
  <si>
    <t>Workforce</t>
  </si>
  <si>
    <t>Gross annual cost</t>
  </si>
  <si>
    <t>Personnel expenses</t>
  </si>
  <si>
    <t>Management  -- ONP</t>
  </si>
  <si>
    <t>Total operating expenses</t>
  </si>
  <si>
    <t>Depreciation rate</t>
  </si>
  <si>
    <t xml:space="preserve">      • Construction</t>
  </si>
  <si>
    <t xml:space="preserve">      • Equipement</t>
  </si>
  <si>
    <t>IS rate</t>
  </si>
  <si>
    <t>Discount rate</t>
  </si>
  <si>
    <t>• Operating revenue</t>
  </si>
  <si>
    <t>• Operating expenses</t>
  </si>
  <si>
    <t>• Depreciation</t>
  </si>
  <si>
    <t>Operating income</t>
  </si>
  <si>
    <t>• Income tax expense</t>
  </si>
  <si>
    <t>Net profit</t>
  </si>
  <si>
    <t>Total Cash Flow</t>
  </si>
  <si>
    <t>Investment flow</t>
  </si>
  <si>
    <t>• Investment</t>
  </si>
  <si>
    <t>• Reinvestment</t>
  </si>
  <si>
    <t>Operating flow</t>
  </si>
  <si>
    <t>• Operating cash flow</t>
  </si>
  <si>
    <t>• Renewal fund</t>
  </si>
  <si>
    <t>Available funds</t>
  </si>
  <si>
    <t>Flow of funds</t>
  </si>
  <si>
    <t>• MCA grants</t>
  </si>
  <si>
    <t>Cash flow</t>
  </si>
  <si>
    <t>Cash, beginning</t>
  </si>
  <si>
    <t>Cash, end</t>
  </si>
  <si>
    <t>Renewal Fund</t>
  </si>
  <si>
    <t>Balance</t>
  </si>
  <si>
    <t>• Staffing</t>
  </si>
  <si>
    <t>• Use</t>
  </si>
  <si>
    <t>Final balance</t>
  </si>
  <si>
    <t>Fishers</t>
  </si>
  <si>
    <t>Wholesalers</t>
  </si>
  <si>
    <t>Exporters</t>
  </si>
  <si>
    <t>(Consumers)</t>
  </si>
  <si>
    <t>Annual cash flow along the entire value chain ('000 DH)</t>
  </si>
  <si>
    <t>Cash flow corrections</t>
  </si>
  <si>
    <t>Comprehensive cash flow with gains to consumers</t>
  </si>
  <si>
    <t>ERR with Consumer</t>
  </si>
  <si>
    <t>Assumed rate of spoilage, after project</t>
  </si>
  <si>
    <t>2 - 10%</t>
  </si>
  <si>
    <t>20 - 80%</t>
  </si>
  <si>
    <t>This is the assumed percent of revenues from the fish processing industry that can be considered value added.</t>
  </si>
  <si>
    <t>Percentage of the population in nearby cities affected by the project</t>
  </si>
  <si>
    <t>Percentage of the population in distant cities affected by the project</t>
  </si>
  <si>
    <t>Increase in fish consumption in distant cities in Morocco's interior</t>
  </si>
  <si>
    <t>Percentage of the population in rural areas affected by the project</t>
  </si>
  <si>
    <t>30 - 70%</t>
  </si>
  <si>
    <t>EIA/RAPS costs</t>
  </si>
  <si>
    <t>The Small-Scale Fisheries Project targets the transformation of the small-scale fisheries sector by modernizing the means of catching, landing, storing, and marketing fish, thereby improving the quality of the catch, maintaining the value chain, and increasing fishers’ access to both local and export markets. This Project Activity will fund the construction or rehabilitation of up to six modern wholesale fish markets in selected cities.</t>
  </si>
  <si>
    <t>$29.7 million</t>
  </si>
  <si>
    <t>Wages &amp; salaries for wholesale market personnel</t>
  </si>
  <si>
    <t>Higher operating costs for wholesale markets are implicit in wholesale market cash flows</t>
  </si>
  <si>
    <t>ERR Summary</t>
  </si>
  <si>
    <t>Hypotheses - Assumptions</t>
  </si>
  <si>
    <t>MG Unit Model 2</t>
  </si>
  <si>
    <t>Disaggregated ERR</t>
  </si>
  <si>
    <t>This sheet lays out the key assumptions and parameters used in the model.</t>
  </si>
  <si>
    <t>This sheet identifies meat consumption and general city characteristics for a number of recent years.</t>
  </si>
  <si>
    <t>This sheet analyses a wholesale market unit's expected profitability.</t>
  </si>
  <si>
    <t>43.0% over 20 years</t>
  </si>
  <si>
    <t>This sheets notes the annual cash flow for the Project.</t>
  </si>
  <si>
    <t>This sheet portrays the Project's anticipated effects along the related value chain.</t>
  </si>
  <si>
    <t>This sheet denotes the expected ERR for each location considered.</t>
  </si>
  <si>
    <t>Contract #</t>
  </si>
  <si>
    <t>Year one</t>
  </si>
  <si>
    <t>Year two</t>
  </si>
  <si>
    <t>Year three</t>
  </si>
  <si>
    <t>Year four</t>
  </si>
  <si>
    <t>Year five</t>
  </si>
  <si>
    <t>Compact Quarter 1</t>
  </si>
  <si>
    <t>Compact Quarter 2</t>
  </si>
  <si>
    <t>Compact Quarter 3</t>
  </si>
  <si>
    <t>Compact Quarter 4</t>
  </si>
  <si>
    <t>Compact Quarter 5</t>
  </si>
  <si>
    <t>Compact Quarter 6</t>
  </si>
  <si>
    <t xml:space="preserve">Compact Quarter
7 </t>
  </si>
  <si>
    <t>Compact Quarter 8</t>
  </si>
  <si>
    <t>Compact Quarter 9</t>
  </si>
  <si>
    <t>Compact Quarter 10</t>
  </si>
  <si>
    <t>Compact Quarter 11</t>
  </si>
  <si>
    <t>Compact Quarter 12</t>
  </si>
  <si>
    <t>Compact Quarter 13</t>
  </si>
  <si>
    <t>Compact Quarter 14</t>
  </si>
  <si>
    <t>Compact Quarter 15</t>
  </si>
  <si>
    <t>Compact Quarter 16</t>
  </si>
  <si>
    <t>Compact Quarter 17</t>
  </si>
  <si>
    <t>Compact Quarter 18</t>
  </si>
  <si>
    <t xml:space="preserve">Projected Commitments during Current Period </t>
  </si>
  <si>
    <t>Total Compact Quarter 20</t>
  </si>
  <si>
    <t>Likely not to be paid/Not allocated</t>
  </si>
  <si>
    <t>Cash Disbursements As Currently Forecasted</t>
  </si>
  <si>
    <t>As Per Current Approved Multi-Year Financial Plan (From QFR Schedule B - Column 5)</t>
  </si>
  <si>
    <t>Projection vs. Approved Plan Under / (Over)
Budget
Difference</t>
  </si>
  <si>
    <t>Calendar Month/Quarter -&gt;</t>
  </si>
  <si>
    <t>Oct '08
Dec '08</t>
  </si>
  <si>
    <t>Jan '09
Mar '09</t>
  </si>
  <si>
    <t>Apr '09
Jun '09</t>
  </si>
  <si>
    <t>Jul '09
Sep '09</t>
  </si>
  <si>
    <t>Oct '09
Dec '09</t>
  </si>
  <si>
    <t>Jan '10
Mar '10</t>
  </si>
  <si>
    <t>Apr '10
Jun '10</t>
  </si>
  <si>
    <t>Jul '10
Sep '10</t>
  </si>
  <si>
    <t>Oct '10
Dec '10</t>
  </si>
  <si>
    <t>Jan '11
Mar '11</t>
  </si>
  <si>
    <t>Apr '11
Jun '11</t>
  </si>
  <si>
    <t>Jul '11
Sep '11</t>
  </si>
  <si>
    <t>Oct '11
Dec '11</t>
  </si>
  <si>
    <t>Jan '12
Mar '12</t>
  </si>
  <si>
    <t>Apr '12
Jun '12</t>
  </si>
  <si>
    <t>Jul '12
Sep '12</t>
  </si>
  <si>
    <t>Oct '12
Dec '12</t>
  </si>
  <si>
    <t>Jan '13
Mar '13</t>
  </si>
  <si>
    <t>Apr '13
Jun '13</t>
  </si>
  <si>
    <t>Jul '13
Jan '14</t>
  </si>
  <si>
    <t>M&amp;E admin share:</t>
  </si>
  <si>
    <t>Column 5</t>
  </si>
  <si>
    <t>Column 9</t>
  </si>
  <si>
    <t>Column 13</t>
  </si>
  <si>
    <t>Column 17</t>
  </si>
  <si>
    <t>Column 21</t>
  </si>
  <si>
    <t>Column 25</t>
  </si>
  <si>
    <t>Column 29</t>
  </si>
  <si>
    <t>Column 33</t>
  </si>
  <si>
    <t>Column 37</t>
  </si>
  <si>
    <t>Column 41</t>
  </si>
  <si>
    <t>Column 45</t>
  </si>
  <si>
    <t>Column 49</t>
  </si>
  <si>
    <t>Column 53</t>
  </si>
  <si>
    <t>Column 57</t>
  </si>
  <si>
    <t>Column 61</t>
  </si>
  <si>
    <t>Column 65</t>
  </si>
  <si>
    <t>Column 69</t>
  </si>
  <si>
    <t>Column 73</t>
  </si>
  <si>
    <t>Column 77</t>
  </si>
  <si>
    <t>Column 81</t>
  </si>
  <si>
    <t>Column 80</t>
  </si>
  <si>
    <t>Column 82</t>
  </si>
  <si>
    <t>Column 83</t>
  </si>
  <si>
    <t>Column 84</t>
  </si>
  <si>
    <t>1. Fruit Tree Productivity Project</t>
  </si>
  <si>
    <t>A. Rain-fed Olive, Almond and Fig Tree Intensification and Expansion</t>
  </si>
  <si>
    <t>TC-01A,3A,5A</t>
  </si>
  <si>
    <t>Strategic Envrironmental Assessment and Feasibility Studies</t>
  </si>
  <si>
    <t>TC-01A</t>
  </si>
  <si>
    <t>Mitigation and Management of Environmental and Social Impacts</t>
  </si>
  <si>
    <t>TC-G-01A1</t>
  </si>
  <si>
    <t>Training of Beneficiaries and their Professional Organizations</t>
  </si>
  <si>
    <t>TC-05A</t>
  </si>
  <si>
    <t>Expansion of plantings in rainfed areas (120,000 Ha)</t>
  </si>
  <si>
    <t>TC-03AP, 03A1-3</t>
  </si>
  <si>
    <t>TC-03AP</t>
  </si>
  <si>
    <t>TC-03A1</t>
  </si>
  <si>
    <t>TC-03A1 bis Oliviers</t>
  </si>
  <si>
    <t>TC-03A1 bis Amendiers</t>
  </si>
  <si>
    <t>TC-03A2.1</t>
  </si>
  <si>
    <t>TC-03A2.2</t>
  </si>
  <si>
    <t>TC-03A2.3</t>
  </si>
  <si>
    <t>TC-03A3</t>
  </si>
  <si>
    <t>Technical Assistance for the rehabilitation of plantings in rainfed areas (55,000Ha)</t>
  </si>
  <si>
    <t>Contract Revaluation Balance</t>
  </si>
  <si>
    <t>Budget not committed 
   (to achieve full Comact budget)</t>
  </si>
  <si>
    <t>Cost Contingency &amp; Non-contracted expenses</t>
  </si>
  <si>
    <t>B. Olive Tree Irrigation and Intensification</t>
  </si>
  <si>
    <t>TC-01B,03B,05A</t>
  </si>
  <si>
    <t>Strategic Envrironmental Assessment, Feasibility Studies &amp; Construction Supervision Services</t>
  </si>
  <si>
    <t>TC-01B</t>
  </si>
  <si>
    <t>Construction of irrigation works and rehabilitation of plantations in PMH zones</t>
  </si>
  <si>
    <t>TC-03B/TC-05A</t>
  </si>
  <si>
    <t>Irrigation construction works</t>
  </si>
  <si>
    <t>TC-03B</t>
  </si>
  <si>
    <t>Irrigation construction works - 1st Tranche</t>
  </si>
  <si>
    <t>TC-03B1</t>
  </si>
  <si>
    <t>Irrigation construction works - 2nd Tranche</t>
  </si>
  <si>
    <t>TC-03B2</t>
  </si>
  <si>
    <t>Irrigation construction works - 3rd Tranche</t>
  </si>
  <si>
    <t>TC-03B3</t>
  </si>
  <si>
    <t>Irrigation construction works - 2nd Tranche BIS</t>
  </si>
  <si>
    <t>TC-03B2bis</t>
  </si>
  <si>
    <t>Irrigation construction works - 3rd Tranche BIS</t>
  </si>
  <si>
    <t>TC-03B3bis</t>
  </si>
  <si>
    <t>Technical assistance for rehabilitation</t>
  </si>
  <si>
    <t>C. Date Tree Irrigation and Intensification</t>
  </si>
  <si>
    <t>TC-01B,3B1-2,5B,6A.1-2,8</t>
  </si>
  <si>
    <t xml:space="preserve">Construction of irrigation works and rehabiliation of palm groves in oases </t>
  </si>
  <si>
    <t>TC-03B,05B,06A,08</t>
  </si>
  <si>
    <t>'Irrigation construction works</t>
  </si>
  <si>
    <t>Irrigatation construction works - 1st Tranche</t>
  </si>
  <si>
    <t>Irrigatation construction works - 2nd Tranche</t>
  </si>
  <si>
    <t>Irrigatation construction works - 3nd Tranche</t>
  </si>
  <si>
    <t>Irrigatation construction works - 2nd Tranche BIS</t>
  </si>
  <si>
    <t>Regeneration and rehabilitation of palm groves</t>
  </si>
  <si>
    <t>TC-06A.1-2</t>
  </si>
  <si>
    <t>In-planting (in-vitro and shoots)</t>
  </si>
  <si>
    <t>TC-06A.1</t>
  </si>
  <si>
    <t>Rehabilitation (thinning suckers)</t>
  </si>
  <si>
    <t>TC-06A.2</t>
  </si>
  <si>
    <t>TC-06A2bis</t>
  </si>
  <si>
    <t>TC-05B</t>
  </si>
  <si>
    <t>D. Fruit Tree Sector Services</t>
  </si>
  <si>
    <t>TC-02A/B,4A,5A/B,6B,7A</t>
  </si>
  <si>
    <t>Support and Development of Service and Value-Adding Service organizations</t>
  </si>
  <si>
    <t>TC-05A,05B</t>
  </si>
  <si>
    <t>Market information system</t>
  </si>
  <si>
    <t>Olives, Almonds, and Figs</t>
  </si>
  <si>
    <t>Dates</t>
  </si>
  <si>
    <t xml:space="preserve">Training (upstream and downstream value chain operators) </t>
  </si>
  <si>
    <t>Certification program</t>
  </si>
  <si>
    <t>TC-05A1.1</t>
  </si>
  <si>
    <t>TC-05A1.2</t>
  </si>
  <si>
    <t>Environmental impact evaluation (support for olive processors for impact evaluation)</t>
  </si>
  <si>
    <t>Support secondary cooperatives and professional organizations</t>
  </si>
  <si>
    <t>TC-06B</t>
  </si>
  <si>
    <t>TC-06B1</t>
  </si>
  <si>
    <t>TC-06B1bis</t>
  </si>
  <si>
    <t>TC-06B2</t>
  </si>
  <si>
    <t>TC-06B3</t>
  </si>
  <si>
    <t>TC-06B4</t>
  </si>
  <si>
    <t>TC-06B5</t>
  </si>
  <si>
    <t>TC-06B7</t>
  </si>
  <si>
    <t xml:space="preserve">Support for marketing activities </t>
  </si>
  <si>
    <t>TC-05A-C</t>
  </si>
  <si>
    <t xml:space="preserve">TC-05A2 </t>
  </si>
  <si>
    <t>TC-05B2</t>
  </si>
  <si>
    <t>Marketing &amp; Investment Promotion Expert</t>
  </si>
  <si>
    <t>TC-05C</t>
  </si>
  <si>
    <t xml:space="preserve">Training needs assessment of different actors (plans and training activities) </t>
  </si>
  <si>
    <t>TC-02A</t>
  </si>
  <si>
    <t>Strengthening the environmental and social (assessment and management) capacities (MinAg)</t>
  </si>
  <si>
    <t>TC-02B</t>
  </si>
  <si>
    <t>Research /Scientific Support</t>
  </si>
  <si>
    <t>TC-04A,07A</t>
  </si>
  <si>
    <t>Applied research</t>
  </si>
  <si>
    <t>TC-04A</t>
  </si>
  <si>
    <t>TC-G-04.A1</t>
  </si>
  <si>
    <t>Applied research (ST Consultants)</t>
  </si>
  <si>
    <t>TC-04A.2</t>
  </si>
  <si>
    <t>Applied research (Conferences &amp; Seminars)</t>
  </si>
  <si>
    <t>TC-04A.3</t>
  </si>
  <si>
    <t>Carbon financing assessment</t>
  </si>
  <si>
    <t>TC-07</t>
  </si>
  <si>
    <t>Strengthening women's organizations (assessment and integration plan)</t>
  </si>
  <si>
    <t>TC-G-05A3,05B3</t>
  </si>
  <si>
    <t>Strengthening women's organizations (assessment and integration plan for Olives, Almonds, and Figs)</t>
  </si>
  <si>
    <t>TC-G-05A3</t>
  </si>
  <si>
    <t>Strengthening women's organizations (assessment and integration plan for Dates)</t>
  </si>
  <si>
    <t>TC-G-05B3</t>
  </si>
  <si>
    <t>E. Catalyst Fund</t>
  </si>
  <si>
    <t>TC-09/TC-G</t>
  </si>
  <si>
    <t>Investment Fund</t>
  </si>
  <si>
    <t>TC-G-09.3</t>
  </si>
  <si>
    <t>Consultant on the Public-Private Partnership</t>
  </si>
  <si>
    <t>TC-09.1</t>
  </si>
  <si>
    <t>Avenant TC-5A</t>
  </si>
  <si>
    <t>Etudes, suivi et contrôle</t>
  </si>
  <si>
    <t>TC-09.4</t>
  </si>
  <si>
    <t>Salaries &amp; Per Diem</t>
  </si>
  <si>
    <t>TC-?</t>
  </si>
  <si>
    <t>Admin</t>
  </si>
  <si>
    <t xml:space="preserve">Equipment </t>
  </si>
  <si>
    <t>Travel</t>
  </si>
  <si>
    <t>Events</t>
  </si>
  <si>
    <t>F. MAPM Admin</t>
  </si>
  <si>
    <t>ADMIN</t>
  </si>
  <si>
    <t>Salaries</t>
  </si>
  <si>
    <t xml:space="preserve">Admin Expenses </t>
  </si>
  <si>
    <t>TOTAL - Fruit Tree Productivity</t>
  </si>
  <si>
    <t>2. Small-scale Fisheries Project</t>
  </si>
  <si>
    <t>A. Development of Fish Landing Sites and Port Facilities</t>
  </si>
  <si>
    <t>AF-1-3,7-10,20-22</t>
  </si>
  <si>
    <t>Construction of 20 fish landing sites (PDA's) and 13 ports</t>
  </si>
  <si>
    <t>AF-01,08,10</t>
  </si>
  <si>
    <t>Studies</t>
  </si>
  <si>
    <t>AF-01</t>
  </si>
  <si>
    <t>Contrôle des études et travaux</t>
  </si>
  <si>
    <t>AF-01.2</t>
  </si>
  <si>
    <t>Construction - QS</t>
  </si>
  <si>
    <t>AF-08.1</t>
  </si>
  <si>
    <t>Construction -Tranche 1</t>
  </si>
  <si>
    <t>AF-08.2</t>
  </si>
  <si>
    <t>Construction -Tranche 2</t>
  </si>
  <si>
    <t>AF-08.3</t>
  </si>
  <si>
    <t>Construction -Tranche 3</t>
  </si>
  <si>
    <t>AF-08.4</t>
  </si>
  <si>
    <t>Construction -Tranche 4</t>
  </si>
  <si>
    <t>AF-08.5</t>
  </si>
  <si>
    <t>Construction -Tranche 5</t>
  </si>
  <si>
    <t>AF-08.6</t>
  </si>
  <si>
    <t>Construction -Tranche 6</t>
  </si>
  <si>
    <t>AF-08.7</t>
  </si>
  <si>
    <t>Construction  mur de clôture</t>
  </si>
  <si>
    <t>AF-08.8</t>
  </si>
  <si>
    <t>Sites Equipment QS</t>
  </si>
  <si>
    <t>AF-10.1</t>
  </si>
  <si>
    <t>Sites Equipment - Tranche 1</t>
  </si>
  <si>
    <t>AF-10.2</t>
  </si>
  <si>
    <t>Telephone Equipment</t>
  </si>
  <si>
    <t>AF-10,4</t>
  </si>
  <si>
    <t>Equipment for compliance to Quality centers</t>
  </si>
  <si>
    <t>AF-10,5</t>
  </si>
  <si>
    <t>Communication material</t>
  </si>
  <si>
    <t>AF-10,6</t>
  </si>
  <si>
    <t xml:space="preserve">Construction of facilities at 13 ports </t>
  </si>
  <si>
    <t>AF-01;08;10</t>
  </si>
  <si>
    <t>Training fishers at PDA sites and ports</t>
  </si>
  <si>
    <t>AF-20,22</t>
  </si>
  <si>
    <t>Development of TOR for training</t>
  </si>
  <si>
    <t>AF-20</t>
  </si>
  <si>
    <t>AF-G-22</t>
  </si>
  <si>
    <t>Acquisition de caisson hyper bar</t>
  </si>
  <si>
    <t>AF-G-23</t>
  </si>
  <si>
    <t>Gender Assessment and Integration Plan</t>
  </si>
  <si>
    <t>AF-G-09</t>
  </si>
  <si>
    <t>Technical Assistance</t>
  </si>
  <si>
    <t>AF-G-09.1</t>
  </si>
  <si>
    <t>Fonds disponible pour démarrage des projets genre</t>
  </si>
  <si>
    <t>AF-09.2.C</t>
  </si>
  <si>
    <t>Construction works of  gender unit in Sidi Ifni</t>
  </si>
  <si>
    <t>AF-09.2.A</t>
  </si>
  <si>
    <t>Equipment of gender units in Sidi Ifni and Sidi Abed</t>
  </si>
  <si>
    <t>AF-09.2.B</t>
  </si>
  <si>
    <t>Awarness Campaign on HIV/AIDS</t>
  </si>
  <si>
    <t>AF-G-11</t>
  </si>
  <si>
    <t xml:space="preserve">Implementation </t>
  </si>
  <si>
    <t>Resource Sustainability</t>
  </si>
  <si>
    <t>AF-07,21</t>
  </si>
  <si>
    <t>MPA - Service Providers</t>
  </si>
  <si>
    <t>AF-07.1</t>
  </si>
  <si>
    <t>MPA Implementation</t>
  </si>
  <si>
    <t>AF-07.11</t>
  </si>
  <si>
    <t>Development of TOR for research</t>
  </si>
  <si>
    <t>AF-21</t>
  </si>
  <si>
    <t>Fisheries Research (INRH)</t>
  </si>
  <si>
    <t>AF-G-07.2</t>
  </si>
  <si>
    <t>B. Development of Wholesale Fish Markets</t>
  </si>
  <si>
    <t>AF-1,2,5,6,8,10</t>
  </si>
  <si>
    <t>Construction of 6 wholesale fish markets</t>
  </si>
  <si>
    <t>AF-1/AF-1.2/AF-2</t>
  </si>
  <si>
    <t>Construction - Tranche 7</t>
  </si>
  <si>
    <t>Washing Tunnels</t>
  </si>
  <si>
    <t>AF-10,3</t>
  </si>
  <si>
    <t xml:space="preserve">Training wholesale market managers and users </t>
  </si>
  <si>
    <t>AF-06</t>
  </si>
  <si>
    <t>Training support and training</t>
  </si>
  <si>
    <t>C. Support to Mobile Fish Vendors</t>
  </si>
  <si>
    <t>AF-04 - 06</t>
  </si>
  <si>
    <t>Technical Assistance to Mobile Fish Vendors and Market Managers</t>
  </si>
  <si>
    <t>Program design and baseline studies</t>
  </si>
  <si>
    <t>AF-05</t>
  </si>
  <si>
    <t>Acquisition of Equipment</t>
  </si>
  <si>
    <t>AF-G-04</t>
  </si>
  <si>
    <t>D. ONP Admin</t>
  </si>
  <si>
    <t>E. DPM Admin</t>
  </si>
  <si>
    <t>TOTAL - Small-scale Fisheries</t>
  </si>
  <si>
    <t>3. Artisan and Fez Medina Project</t>
  </si>
  <si>
    <t>A. Literacy and Vocational Education</t>
  </si>
  <si>
    <t>AFM-30-46</t>
  </si>
  <si>
    <t>Program Mgmt (Sub-activity 1,2,3)</t>
  </si>
  <si>
    <t>AFM-30</t>
  </si>
  <si>
    <t>Fixed Cost Fees</t>
  </si>
  <si>
    <t>Reimbursable Costs</t>
  </si>
  <si>
    <t>Functional Literacy</t>
  </si>
  <si>
    <t>AFM-31-33,38-42</t>
  </si>
  <si>
    <t>Curriculum Development Consultant</t>
  </si>
  <si>
    <t>AFM-G-31</t>
  </si>
  <si>
    <t xml:space="preserve">Classroom Equipment </t>
  </si>
  <si>
    <t>AFM-32</t>
  </si>
  <si>
    <t>Communications Consultant</t>
  </si>
  <si>
    <t>AFM-33</t>
  </si>
  <si>
    <t>Awareness Campaign</t>
  </si>
  <si>
    <t>AFM-41</t>
  </si>
  <si>
    <t>Printing - First Level Guides</t>
  </si>
  <si>
    <t>AFM-42</t>
  </si>
  <si>
    <t>Artisan Literacy Trainings</t>
  </si>
  <si>
    <t>AFM-G-39</t>
  </si>
  <si>
    <t>Agriculture and Fisheries Literacy Trainings</t>
  </si>
  <si>
    <t>AFM-40</t>
  </si>
  <si>
    <t>Consultant Support</t>
  </si>
  <si>
    <t>AFM-38</t>
  </si>
  <si>
    <t xml:space="preserve">Vocational Training </t>
  </si>
  <si>
    <t>AFM-34-37, 44-46</t>
  </si>
  <si>
    <t>AFM-34</t>
  </si>
  <si>
    <t>Training Equipment Vendor</t>
  </si>
  <si>
    <t>AFM-35</t>
  </si>
  <si>
    <t>Vocational Training Consultant</t>
  </si>
  <si>
    <t>AFM-36</t>
  </si>
  <si>
    <t>AFM-37</t>
  </si>
  <si>
    <t>System Governance Study</t>
  </si>
  <si>
    <t>AFM-44</t>
  </si>
  <si>
    <t xml:space="preserve">Consultant for Strategic Management Plans </t>
  </si>
  <si>
    <t>AFM-45</t>
  </si>
  <si>
    <t>Institutionalization and Sustainability Studies</t>
  </si>
  <si>
    <t>AFM-46</t>
  </si>
  <si>
    <t>Communication/Impressions Publications</t>
  </si>
  <si>
    <t>AFM-47</t>
  </si>
  <si>
    <t xml:space="preserve">Small Grants Program </t>
  </si>
  <si>
    <t>AFM-43</t>
  </si>
  <si>
    <t>Other Grants Projects Artisan</t>
  </si>
  <si>
    <t>AFM-G-43b</t>
  </si>
  <si>
    <t>Other Grants Projects Agriculture &amp; Fisheries</t>
  </si>
  <si>
    <t>AFM-G-43c</t>
  </si>
  <si>
    <t>Administration Literacy &amp; Voc. Training</t>
  </si>
  <si>
    <t>AFM-UGA</t>
  </si>
  <si>
    <t>AFM-UGA1</t>
  </si>
  <si>
    <t>Travel, Equipment and Workshops</t>
  </si>
  <si>
    <t>AFM-UGA2</t>
  </si>
  <si>
    <t>B. Artisan Production</t>
  </si>
  <si>
    <t>AFM-1,2,17</t>
  </si>
  <si>
    <t>Kiln ESIA study</t>
  </si>
  <si>
    <t>AFM-17</t>
  </si>
  <si>
    <t>Ind. Consultant to finalize the Kiln Acquisition procedure</t>
  </si>
  <si>
    <t>AFM-02P</t>
  </si>
  <si>
    <t>Kilns - Acquisition</t>
  </si>
  <si>
    <t>AFM-G-02</t>
  </si>
  <si>
    <t>Kilns - Project Mgmt /Demonstration</t>
  </si>
  <si>
    <t>AFM-01/AFM-01K</t>
  </si>
  <si>
    <t>Acquisition of Kilns for demonstration</t>
  </si>
  <si>
    <t>AFM-01K</t>
  </si>
  <si>
    <t>Kilns - Project Mgmt Consultant</t>
  </si>
  <si>
    <t>AFM-01</t>
  </si>
  <si>
    <t>Service supplémentaires pour la réinstallation des fours à gaz</t>
  </si>
  <si>
    <t>AFM-01K1</t>
  </si>
  <si>
    <t>Enviromental and Social Mitigations Costs</t>
  </si>
  <si>
    <t>AFM-17M</t>
  </si>
  <si>
    <t xml:space="preserve">Acquisition of individual and collective security &amp; protection equipment </t>
  </si>
  <si>
    <t>AFM-17ME Lot1</t>
  </si>
  <si>
    <t>AFM-17ME Lot2</t>
  </si>
  <si>
    <t>AFM-17ME Lot3</t>
  </si>
  <si>
    <t>Technical Assistance for Certification of Gas Kilns</t>
  </si>
  <si>
    <t>AFM-02C</t>
  </si>
  <si>
    <t>C. Fez Medina</t>
  </si>
  <si>
    <t>AFM-7-16,18-21</t>
  </si>
  <si>
    <t>Feasibility/design studies, project management, ESIA, RAP</t>
  </si>
  <si>
    <t>AFM-7,21</t>
  </si>
  <si>
    <t>AFM-07B</t>
  </si>
  <si>
    <t>Bureau de Contrôle pour Fondouks et Ain Nokbi</t>
  </si>
  <si>
    <t>AFM-07B1</t>
  </si>
  <si>
    <t>TOR for AFM - 7</t>
  </si>
  <si>
    <t>AFM-07B2</t>
  </si>
  <si>
    <t>AFM Consultant Juridique</t>
  </si>
  <si>
    <t>AFM-21</t>
  </si>
  <si>
    <t xml:space="preserve">AFM Consultant </t>
  </si>
  <si>
    <t>AFM-07BC</t>
  </si>
  <si>
    <t>Bureau de Contrôle for PLY</t>
  </si>
  <si>
    <t>AFM-07B3</t>
  </si>
  <si>
    <t>Etude de Faisabilité sur les osmoseurs</t>
  </si>
  <si>
    <t>AFM-07R9</t>
  </si>
  <si>
    <t>Bureau spécialisé en étude de sécurité</t>
  </si>
  <si>
    <t>AFM-07B9</t>
  </si>
  <si>
    <t xml:space="preserve">Laboratoire </t>
  </si>
  <si>
    <t>AFM-07B1/07B2bis</t>
  </si>
  <si>
    <t>Mise en œuvre du RAP et du ESMP</t>
  </si>
  <si>
    <t>AFM-D-43, 07R</t>
  </si>
  <si>
    <t>Notaire (1)</t>
  </si>
  <si>
    <t>AFM-D-43.1</t>
  </si>
  <si>
    <t>Notaire (2)</t>
  </si>
  <si>
    <t>AFM-D-43.2</t>
  </si>
  <si>
    <t>Adouls (2 adouls)</t>
  </si>
  <si>
    <t>AFM-07R3</t>
  </si>
  <si>
    <t>Consultant Evaluateur</t>
  </si>
  <si>
    <t>AFM-07R4</t>
  </si>
  <si>
    <t>Consultant Expert en Réinstallation</t>
  </si>
  <si>
    <t>AFM-07R5</t>
  </si>
  <si>
    <t>ONG Sensibilisation Environnementale et Accompagnement des Populations</t>
  </si>
  <si>
    <t>AFM-G-07R-6</t>
  </si>
  <si>
    <t>ONG Accompagnement Social pour la mise en œuvre du RAP</t>
  </si>
  <si>
    <t>AFM-G-07R6.1</t>
  </si>
  <si>
    <t xml:space="preserve">ONG Sensibilisation Environnementale </t>
  </si>
  <si>
    <t>AFM-G-07R6.2</t>
  </si>
  <si>
    <t>Dépenses prévues pour la mise en œuvre du RAP (Wilaya/APP)</t>
  </si>
  <si>
    <t>AFM-07R8</t>
  </si>
  <si>
    <t>Avocat Accompagnement Juridique et Administratif</t>
  </si>
  <si>
    <t>AFM-07R10</t>
  </si>
  <si>
    <t>Rehabilitation, construction and contingency for Fondouks</t>
  </si>
  <si>
    <t>AFM-08</t>
  </si>
  <si>
    <t>Construction et réhabilitation des foundouks Chemmaïne/Sbtriyyine (Lot Unique)</t>
  </si>
  <si>
    <t>AFM-08A</t>
  </si>
  <si>
    <t>Restauration et réhabilitation du foundouk Barka</t>
  </si>
  <si>
    <t>AFM-08B</t>
  </si>
  <si>
    <t>Restauration et réhabilitation du foundouk Staouniyyine</t>
  </si>
  <si>
    <t>AFM-08C</t>
  </si>
  <si>
    <t>Gardiennage des sites</t>
  </si>
  <si>
    <t>AFM-08D</t>
  </si>
  <si>
    <t>Formation des femmes artisanes à Barka</t>
  </si>
  <si>
    <t>AFM-10.3</t>
  </si>
  <si>
    <t>Preparation TDR pour la structure de gestion des sites</t>
  </si>
  <si>
    <t>AFM-10.4</t>
  </si>
  <si>
    <t>Ain Nokbi Works</t>
  </si>
  <si>
    <t>AFM-09</t>
  </si>
  <si>
    <t>Lot 1 Infrastructure</t>
  </si>
  <si>
    <t>AFM-09.1</t>
  </si>
  <si>
    <t>Lot 2 Foundouk</t>
  </si>
  <si>
    <t>AFM-09.2</t>
  </si>
  <si>
    <t>Lot 3 Unité de production</t>
  </si>
  <si>
    <t>AFM-09.3</t>
  </si>
  <si>
    <t>Lot 4 Unité de production</t>
  </si>
  <si>
    <t>AFM-09.4</t>
  </si>
  <si>
    <t>Market study</t>
  </si>
  <si>
    <t>AFM-10</t>
  </si>
  <si>
    <t>Consultant - Market study</t>
  </si>
  <si>
    <t>AFM-10.1</t>
  </si>
  <si>
    <t>Consultant Services to develop management tools for future sites</t>
  </si>
  <si>
    <t>AFM-10.2</t>
  </si>
  <si>
    <t xml:space="preserve">International Design Competition for PLY Consultant </t>
  </si>
  <si>
    <t>AFM-11</t>
  </si>
  <si>
    <t>AFM-11B</t>
  </si>
  <si>
    <t>International Design Competition for PLY (Global)</t>
  </si>
  <si>
    <t>Event Manager/PR Manager</t>
  </si>
  <si>
    <t>AFM-11E</t>
  </si>
  <si>
    <t>Feasibility/design studies (post-competition)</t>
  </si>
  <si>
    <t>AFM-19A</t>
  </si>
  <si>
    <t>Conduct feasibility studies, finalize design plans, and draft bidding documents; EIA of design competition (PLY)</t>
  </si>
  <si>
    <t>Construction and physical contingency</t>
  </si>
  <si>
    <t>AFM-13</t>
  </si>
  <si>
    <t>Construction and physical contingency (PLY)</t>
  </si>
  <si>
    <t>Travaux de démolition pour PLY</t>
  </si>
  <si>
    <t>AFM-13 DEM</t>
  </si>
  <si>
    <t>Gardiennage PLY</t>
  </si>
  <si>
    <t>AFM-13 GAR</t>
  </si>
  <si>
    <t>Resettlement</t>
  </si>
  <si>
    <t>AFM-G-15A,C</t>
  </si>
  <si>
    <t>Resettlement PLY</t>
  </si>
  <si>
    <t>AFM-G-15A</t>
  </si>
  <si>
    <t>Resettlement Fondouks</t>
  </si>
  <si>
    <t>AFM-G-15C</t>
  </si>
  <si>
    <t>Formation centre Batha</t>
  </si>
  <si>
    <t>AFM-G-16</t>
  </si>
  <si>
    <t>Recrutement UGP</t>
  </si>
  <si>
    <t>AFM-HR</t>
  </si>
  <si>
    <t>Recrutement d'un consultant environnement à l'UGP</t>
  </si>
  <si>
    <t>AFM-HR 02</t>
  </si>
  <si>
    <t>Recrutement de société d'intérim pour le renforcement de l'UGP</t>
  </si>
  <si>
    <t>AFM-HR 03</t>
  </si>
  <si>
    <t>Contingency PTR</t>
  </si>
  <si>
    <t>D. Artisan Promotion</t>
  </si>
  <si>
    <t>AFM-3-6</t>
  </si>
  <si>
    <t>Study to determine needs for artisan promotion</t>
  </si>
  <si>
    <t>AFM-03B</t>
  </si>
  <si>
    <t>Advertising firm for mono-artisan and SME promotion</t>
  </si>
  <si>
    <t>AFM-04</t>
  </si>
  <si>
    <t>Individual Consultant for ToRs for AFM4</t>
  </si>
  <si>
    <t>AFM-04A</t>
  </si>
  <si>
    <t>Advertising firm for national label</t>
  </si>
  <si>
    <t>AFM-05</t>
  </si>
  <si>
    <t>Individual Consultant for ToRs for AFM5</t>
  </si>
  <si>
    <t>AFM-05A</t>
  </si>
  <si>
    <t>Advertising firm for tourist circuits</t>
  </si>
  <si>
    <t>AFM-06</t>
  </si>
  <si>
    <t>Individual Consultant for ToRs for AFM6</t>
  </si>
  <si>
    <t>AFM-06A</t>
  </si>
  <si>
    <t>Marketing &amp; Publicity Promotion</t>
  </si>
  <si>
    <t>AFM-456</t>
  </si>
  <si>
    <t>E. SECA Admin</t>
  </si>
  <si>
    <t>F. ADER Admin</t>
  </si>
  <si>
    <t>TOTAL - Artisan and Fez Medina</t>
  </si>
  <si>
    <t>4. Financial Services Project</t>
  </si>
  <si>
    <t>A. Access to Funds for Microfinance</t>
  </si>
  <si>
    <t>FS-JA,3.1,3.2</t>
  </si>
  <si>
    <t>Jaida Loan Agreement (total)</t>
  </si>
  <si>
    <t>FS-JA</t>
  </si>
  <si>
    <t>Jaida Loan Agreement</t>
  </si>
  <si>
    <t>Jaida Loan Agreement TPE</t>
  </si>
  <si>
    <t>FS-JA1</t>
  </si>
  <si>
    <t xml:space="preserve"> ESA Training for Jaida Loan:</t>
  </si>
  <si>
    <t>FS-03.1, 03.2</t>
  </si>
  <si>
    <t xml:space="preserve"> ESA Training for Jaida Loan: module preparation </t>
  </si>
  <si>
    <t>FS-03.1</t>
  </si>
  <si>
    <t>ESA Formation des formateurs</t>
  </si>
  <si>
    <t>FS-03.1.1</t>
  </si>
  <si>
    <t xml:space="preserve"> ESA Training for Jaida Loan: partenership for implementation</t>
  </si>
  <si>
    <t>FS-03.2</t>
  </si>
  <si>
    <t xml:space="preserve"> ESA Training for Jaida Loan: Perdiem</t>
  </si>
  <si>
    <t>FS-03.2.1</t>
  </si>
  <si>
    <t>B. New Financial Product Development</t>
  </si>
  <si>
    <t>FS-01, 02</t>
  </si>
  <si>
    <t>C. Improvement of Operating Efficiency and Transparency</t>
  </si>
  <si>
    <t>FS-04 - 08</t>
  </si>
  <si>
    <t>Sub-activity 1 (Technology Facility)</t>
  </si>
  <si>
    <t>FS-G-06</t>
  </si>
  <si>
    <t>Sub-activity 1 (Technology Facility) : Lot N°1</t>
  </si>
  <si>
    <t>FS-G-06.1</t>
  </si>
  <si>
    <t>Al Amana Business Intelligence</t>
  </si>
  <si>
    <t>Fondep Scoring</t>
  </si>
  <si>
    <t>Fondep Business Intelligence</t>
  </si>
  <si>
    <t>Fondation Banque Populaire Scoring</t>
  </si>
  <si>
    <t>AMSSF Mobile</t>
  </si>
  <si>
    <t>Sub-activity 1 (Technology Facility) : Lot N°2</t>
  </si>
  <si>
    <t>FS-G-06.2</t>
  </si>
  <si>
    <t>Sub-activity 2 (Credit Bureau Prep)</t>
  </si>
  <si>
    <t>FS-05</t>
  </si>
  <si>
    <t>Sub-activity 2 (Credit Bureau Prep) : needs assessment</t>
  </si>
  <si>
    <t>FS-05.1</t>
  </si>
  <si>
    <t>Sub-activity 2 (Credit Bureau Prep) : needs assessment bis</t>
  </si>
  <si>
    <t>FS-05.1.1</t>
  </si>
  <si>
    <t>Sub-activity 2 (Credit Bureau Prep) : SIG</t>
  </si>
  <si>
    <t>FS-05.2</t>
  </si>
  <si>
    <t>Assistance à Maitrise d'Ouvrage SIG</t>
  </si>
  <si>
    <t>FS-G-05.2.1</t>
  </si>
  <si>
    <t>Goods</t>
  </si>
  <si>
    <t>FS-G-05.2.2</t>
  </si>
  <si>
    <t>FS-05.3</t>
  </si>
  <si>
    <t>Sub-activity 3 (Mobile Branches)</t>
  </si>
  <si>
    <t>FS-G-04</t>
  </si>
  <si>
    <t>Sub-activity 3 (Mobile Branches) Lot 1</t>
  </si>
  <si>
    <t>FS-G-04.1</t>
  </si>
  <si>
    <t>Sub-activity 3 (Mobile Branches) Lot 2</t>
  </si>
  <si>
    <t>FS-G-04.2</t>
  </si>
  <si>
    <t>Sub-activity 5 (Ratings)</t>
  </si>
  <si>
    <t>FS-G-08</t>
  </si>
  <si>
    <t>TOTAL - Financial Services</t>
  </si>
  <si>
    <t>5. Enterprise Support Project</t>
  </si>
  <si>
    <t>A. ANPME Training</t>
  </si>
  <si>
    <t>ES-01 - 05</t>
  </si>
  <si>
    <t>1. Capacity building Moukawalati network</t>
  </si>
  <si>
    <t>ES-01</t>
  </si>
  <si>
    <t>1.1. Methodological report</t>
  </si>
  <si>
    <t xml:space="preserve">1.2. Training program for staff </t>
  </si>
  <si>
    <t xml:space="preserve">1.3. Manual of tools for Moukawalati network </t>
  </si>
  <si>
    <t>1.4.  Manual of tools for Moukawalati network- editing</t>
  </si>
  <si>
    <t>1.5 Other</t>
  </si>
  <si>
    <t>2. National and Regional communication (Moukawalati/Entrepreneurs)</t>
  </si>
  <si>
    <t>ES-05</t>
  </si>
  <si>
    <t>2.1 Food, rent premises, suitcases, other</t>
  </si>
  <si>
    <t>2.2 Lodging, transportation, perdiem of Moukawalati Offices</t>
  </si>
  <si>
    <t>2.3 Contribution to administrative costs of Moukawsalati Offices</t>
  </si>
  <si>
    <t>3. Operational communication tools</t>
  </si>
  <si>
    <t>4. Institutional Support</t>
  </si>
  <si>
    <t>ES-02 - 04</t>
  </si>
  <si>
    <t>4.1 Post start up support of enterprises "ANPME approach" provided by expertise consortium</t>
  </si>
  <si>
    <t xml:space="preserve">ES-02 </t>
  </si>
  <si>
    <t xml:space="preserve"> 4.1.1 "ANPME approach" - Methodlogical Report</t>
  </si>
  <si>
    <t>4.1.2 "ANPME approach" -  1st &amp; 2nd Diagnostics</t>
  </si>
  <si>
    <t xml:space="preserve"> 4.1.3 "ANPME approach" - Post start up of enterprises</t>
  </si>
  <si>
    <t xml:space="preserve">4.1.4 "ANPME approach" - Final Report </t>
  </si>
  <si>
    <t xml:space="preserve">4.2 Information System Development </t>
  </si>
  <si>
    <t>ES-03.1</t>
  </si>
  <si>
    <t>4.3 Equipment of ANPME and Moukawati network</t>
  </si>
  <si>
    <t>ES-03.2</t>
  </si>
  <si>
    <t>4.4 Consutant to analyse the business opportunities study in 5 régions (specific to the ANPME)</t>
  </si>
  <si>
    <t>ES-04</t>
  </si>
  <si>
    <t>Financial &amp; Administrative Assessment of ES-2</t>
  </si>
  <si>
    <t>ES-02A</t>
  </si>
  <si>
    <t>Participation à Hub Africa Events</t>
  </si>
  <si>
    <t>ES-06</t>
  </si>
  <si>
    <t>5. IEA - ANPME</t>
  </si>
  <si>
    <t>ES-AN</t>
  </si>
  <si>
    <t>5.1 Salaries, Logistics and Administrative Costs</t>
  </si>
  <si>
    <t>ES-AN-P</t>
  </si>
  <si>
    <t>5.2 Perdiem, transportation UGP</t>
  </si>
  <si>
    <t>5.3 Communication Tools</t>
  </si>
  <si>
    <t>ES-AN-C</t>
  </si>
  <si>
    <t>B. OFPPT Training</t>
  </si>
  <si>
    <t>ES-01 - 03, 05</t>
  </si>
  <si>
    <t>1. Capacity building for Moukawalati network</t>
  </si>
  <si>
    <t>1.2. Training Program</t>
  </si>
  <si>
    <t>1.3. Manual of tools for Moukawalati network</t>
  </si>
  <si>
    <t>1.4. Manual of tools for Moukawalati network - editing</t>
  </si>
  <si>
    <t>2.1 Food, rent permises, suitcases, other</t>
  </si>
  <si>
    <t>2.3 National and Regional communication (Moukawalati/Entrepreneurs)</t>
  </si>
  <si>
    <t>3. National and Regional communication (Moukawalati/Entrepreneurs)</t>
  </si>
  <si>
    <t>ES-02, 03.1 - 2</t>
  </si>
  <si>
    <t>4.1 Post start up support of enterprises "OFPPT approach" provided by expertise consortium</t>
  </si>
  <si>
    <t xml:space="preserve"> 4.1.1 "OFPPT approach" - Methodlogical Report</t>
  </si>
  <si>
    <t>4.1.2 "OFPPT approach" -  1st &amp; 2nd Diagnostics</t>
  </si>
  <si>
    <t xml:space="preserve"> 4.1.3 "OFPPT approach" - Post start up of enterprises</t>
  </si>
  <si>
    <t xml:space="preserve">4.1.4 "OFPPT approach" - Final Report </t>
  </si>
  <si>
    <t>4.3 Equipment of OFPPT</t>
  </si>
  <si>
    <t>Achat Platforme pour Duplication Système d'Information</t>
  </si>
  <si>
    <t>ES-03.1A</t>
  </si>
  <si>
    <t>5. IEA - OFPPT</t>
  </si>
  <si>
    <t>ES-OF</t>
  </si>
  <si>
    <t>ES-OF-S</t>
  </si>
  <si>
    <t>5.2 perdiem transportation UGP</t>
  </si>
  <si>
    <t>ES-OF-P</t>
  </si>
  <si>
    <t xml:space="preserve">5.3 communication tools </t>
  </si>
  <si>
    <t>ES-OF-C</t>
  </si>
  <si>
    <t>C. INDH Training</t>
  </si>
  <si>
    <t>1. Capacity builiding INDH network</t>
  </si>
  <si>
    <t>1.3. Manual of tools for INDH network</t>
  </si>
  <si>
    <t>1.4. Manual of tools for INDH network - editing</t>
  </si>
  <si>
    <t xml:space="preserve">1.5 Other </t>
  </si>
  <si>
    <t>2. National and Regional communication (DAS/Entrepreneurs)</t>
  </si>
  <si>
    <t>2.1 Food, Lodging, transportation, perdiem of Moukawalati Offices</t>
  </si>
  <si>
    <t>3. Institutional Support</t>
  </si>
  <si>
    <t>ES-02/ES-03.1</t>
  </si>
  <si>
    <t>3.1 Post start up support of enterprises "OFPPT approach" provided by expertise consortium</t>
  </si>
  <si>
    <t>3.1.1 "INDH approach" - Methodlogical Report</t>
  </si>
  <si>
    <t>3.1.2 "INDH approach" - 1st &amp; 2nd Diagnostics</t>
  </si>
  <si>
    <t xml:space="preserve">3.1.3 "INDH approach" - Post start up of enterprises </t>
  </si>
  <si>
    <t xml:space="preserve">3.1.4 "INDH approach" - Final Report </t>
  </si>
  <si>
    <t xml:space="preserve">3.2 Information System Development </t>
  </si>
  <si>
    <t>3.3 Equipment of INDH</t>
  </si>
  <si>
    <t>ES-03.1B</t>
  </si>
  <si>
    <t>4. IEA - INDH</t>
  </si>
  <si>
    <t>ES-IN</t>
  </si>
  <si>
    <t>4.1 Salaries, Logistics and Administrative Costs</t>
  </si>
  <si>
    <t>ES-IN-P</t>
  </si>
  <si>
    <t>4.2 Perdiem, transportation UGP</t>
  </si>
  <si>
    <t>4.3 Communication Tools</t>
  </si>
  <si>
    <t>ES-IN-C</t>
  </si>
  <si>
    <t>TOTAL - Enterprise Support</t>
  </si>
  <si>
    <t>6. Monitoring and Evaluation</t>
  </si>
  <si>
    <t>Monitoring System</t>
  </si>
  <si>
    <t>ME-5,6,13,15</t>
  </si>
  <si>
    <t xml:space="preserve">ME-05 </t>
  </si>
  <si>
    <t>ME-05 divers</t>
  </si>
  <si>
    <t>Consultant pour élaboration du rapport d'achèvement du programme</t>
  </si>
  <si>
    <t>ME-05N1</t>
  </si>
  <si>
    <t>Consultant pour évaluation de l'activité extension des plantations</t>
  </si>
  <si>
    <t>ME-05Q</t>
  </si>
  <si>
    <t>Evaluation IRR de ES Project</t>
  </si>
  <si>
    <t>ME-05L</t>
  </si>
  <si>
    <t>ME-05Hbis</t>
  </si>
  <si>
    <t xml:space="preserve">Manuals, workshops and training </t>
  </si>
  <si>
    <t>ME-13A - D</t>
  </si>
  <si>
    <t>Consultant to conduct training on M&amp;E Plan</t>
  </si>
  <si>
    <t>ME-13A</t>
  </si>
  <si>
    <t>Participant Costs</t>
  </si>
  <si>
    <t>ME-13B</t>
  </si>
  <si>
    <t>Manuals</t>
  </si>
  <si>
    <t>ME-13C</t>
  </si>
  <si>
    <t>Workshops</t>
  </si>
  <si>
    <t>ME-13D</t>
  </si>
  <si>
    <t xml:space="preserve">MIS and equipment </t>
  </si>
  <si>
    <t>ME-06</t>
  </si>
  <si>
    <t>Contract M7&amp;Opteamar</t>
  </si>
  <si>
    <t>ME-06B</t>
  </si>
  <si>
    <t>Contract Creative Technologies</t>
  </si>
  <si>
    <t>ME-06C5</t>
  </si>
  <si>
    <t>Contract Meditel</t>
  </si>
  <si>
    <t>ME-06C3</t>
  </si>
  <si>
    <t>MIS for Vocational Training Centers</t>
  </si>
  <si>
    <t>ME-06E</t>
  </si>
  <si>
    <t>IT System Restructuring</t>
  </si>
  <si>
    <t>ME-06J</t>
  </si>
  <si>
    <t>Mise en place d'un système d'information Géographique pour le projet PAF</t>
  </si>
  <si>
    <t>ME-06C07</t>
  </si>
  <si>
    <t>Acquisition de 15 licences du logiciel ArcGis</t>
  </si>
  <si>
    <t>ME-06C08</t>
  </si>
  <si>
    <t>Acquisition d'extension du logiciel ArcGis</t>
  </si>
  <si>
    <t>ME-06C08.A</t>
  </si>
  <si>
    <t>Acquisition d'équipement pour le GIS</t>
  </si>
  <si>
    <t>ME-06C09</t>
  </si>
  <si>
    <t>Acquisition de 7 Licences du logiciel @Risk</t>
  </si>
  <si>
    <t>ME-06C10</t>
  </si>
  <si>
    <t>Logiciel Global Mapper</t>
  </si>
  <si>
    <t>ME-06C12</t>
  </si>
  <si>
    <t>Contrat sole source pour l'extension du SIG du SECA et de l'OFPPT</t>
  </si>
  <si>
    <t>ME-06L</t>
  </si>
  <si>
    <t>ME-6 Other Contracts</t>
  </si>
  <si>
    <t>ME-06 Other</t>
  </si>
  <si>
    <t xml:space="preserve">Reviews and Reporting </t>
  </si>
  <si>
    <t>ME-15</t>
  </si>
  <si>
    <t>Final Review</t>
  </si>
  <si>
    <t>ME-16</t>
  </si>
  <si>
    <t>Data Quality Audits</t>
  </si>
  <si>
    <t>ME-11</t>
  </si>
  <si>
    <t>Surveys</t>
  </si>
  <si>
    <t>ME-01, 07</t>
  </si>
  <si>
    <t>Baseline Surveys</t>
  </si>
  <si>
    <t>ME-01</t>
  </si>
  <si>
    <t>Contract Agriconsulting Maroc</t>
  </si>
  <si>
    <t>ME-01A</t>
  </si>
  <si>
    <t>Contract Agrer Canaest</t>
  </si>
  <si>
    <t>ME-01B</t>
  </si>
  <si>
    <t>Contract Edesat</t>
  </si>
  <si>
    <t>ME-01C</t>
  </si>
  <si>
    <t>Contract Fellah Conseil</t>
  </si>
  <si>
    <t>ME-01E</t>
  </si>
  <si>
    <t>ME-1 Other Contracts</t>
  </si>
  <si>
    <t>ME-01 Other</t>
  </si>
  <si>
    <t>Follow-up Surveys</t>
  </si>
  <si>
    <t>ME-07</t>
  </si>
  <si>
    <t>Enquete Supplémentaire pour le Projet TC</t>
  </si>
  <si>
    <t>ME-07A/B</t>
  </si>
  <si>
    <t>Evaluations</t>
  </si>
  <si>
    <t>ME-2-4,8,10,12,14</t>
  </si>
  <si>
    <t>Data Analysis/Special Studies</t>
  </si>
  <si>
    <t>ME-12A - C</t>
  </si>
  <si>
    <t>Contract Phytoconsulting</t>
  </si>
  <si>
    <t>ME-12A</t>
  </si>
  <si>
    <t>Contract Agland &amp; Fellah Conseil</t>
  </si>
  <si>
    <t>ME-12B</t>
  </si>
  <si>
    <t>Contract Cofrepeche</t>
  </si>
  <si>
    <t>ME-12C</t>
  </si>
  <si>
    <t>Elaboration de Calcul de la VA Agricole et Construction du SAM</t>
  </si>
  <si>
    <t>ME-12E</t>
  </si>
  <si>
    <t>Impact Evaluations</t>
  </si>
  <si>
    <t>ME-2-4,8,10,14</t>
  </si>
  <si>
    <t>Fruit tree TA Impact Eval</t>
  </si>
  <si>
    <t>ME-02</t>
  </si>
  <si>
    <t>Suivie &amp; Evaluation Projet Pilot Genre PAF &amp; AF</t>
  </si>
  <si>
    <t>ME-08</t>
  </si>
  <si>
    <t>Ent Support Pilot Eval</t>
  </si>
  <si>
    <t xml:space="preserve">ME-04 </t>
  </si>
  <si>
    <t>Impact Evaluation Marchands Ambulants Oujda</t>
  </si>
  <si>
    <t>ME-09</t>
  </si>
  <si>
    <t>Developpement Base de Donnée TPE AGR</t>
  </si>
  <si>
    <t>ME-04B</t>
  </si>
  <si>
    <t xml:space="preserve">TOTAL - Monitoring and Evaluation </t>
  </si>
  <si>
    <t>7. Program Administration and Oversight</t>
  </si>
  <si>
    <t>MCA-Morocco &amp; Implementing Entities</t>
  </si>
  <si>
    <t>MCA-Morocco (APP)</t>
  </si>
  <si>
    <t>Staff salaries and benefits</t>
  </si>
  <si>
    <t xml:space="preserve">Sr. Mgmt </t>
  </si>
  <si>
    <t xml:space="preserve">Mid-Level Mgmt. </t>
  </si>
  <si>
    <t>Support Staff</t>
  </si>
  <si>
    <t>Benefits</t>
  </si>
  <si>
    <t>Bonus</t>
  </si>
  <si>
    <t>Administrative expenses</t>
  </si>
  <si>
    <t xml:space="preserve">Office </t>
  </si>
  <si>
    <t>Cars</t>
  </si>
  <si>
    <t>Training and Conferences</t>
  </si>
  <si>
    <t xml:space="preserve">Communication </t>
  </si>
  <si>
    <t xml:space="preserve">Consulting </t>
  </si>
  <si>
    <t xml:space="preserve">Other </t>
  </si>
  <si>
    <t>Capital expenditures</t>
  </si>
  <si>
    <t>IT Equipment</t>
  </si>
  <si>
    <t>Office Equipment</t>
  </si>
  <si>
    <t>Office Furniture</t>
  </si>
  <si>
    <t>Office Modication - Cable, Modification</t>
  </si>
  <si>
    <t>Vehicles</t>
  </si>
  <si>
    <t>Implementing Entities</t>
  </si>
  <si>
    <t>Ministry of Agriculture</t>
  </si>
  <si>
    <t>Office National des Peches</t>
  </si>
  <si>
    <t>Ministry of Artisanat</t>
  </si>
  <si>
    <t>ADER</t>
  </si>
  <si>
    <t>Fiscal Agent</t>
  </si>
  <si>
    <t>External Fiscal Agent Services</t>
  </si>
  <si>
    <t>ADM-01</t>
  </si>
  <si>
    <t>Procurement Agents</t>
  </si>
  <si>
    <t>Standby Procurement Agent</t>
  </si>
  <si>
    <t>MCC-07-0152-CON-93/ TO 01; 02</t>
  </si>
  <si>
    <t>Procurement Agent/POAA</t>
  </si>
  <si>
    <t>ADM-02</t>
  </si>
  <si>
    <t>Auditing</t>
  </si>
  <si>
    <t xml:space="preserve"> Contract </t>
  </si>
  <si>
    <t xml:space="preserve">ADM-31 </t>
  </si>
  <si>
    <t>TOTAL - Program Administration &amp; Oversight</t>
  </si>
  <si>
    <t xml:space="preserve">GRAND TOTAL </t>
  </si>
  <si>
    <t>M&amp;E + Admin:</t>
  </si>
  <si>
    <t>M&amp;E+Admin:</t>
  </si>
  <si>
    <t>CIF</t>
  </si>
  <si>
    <t>Dirham/$:</t>
  </si>
  <si>
    <t>Costs from ooc2 DFP ($):</t>
  </si>
  <si>
    <t>dirhams:</t>
  </si>
  <si>
    <t>Wholesale share of M&amp;E+admin:</t>
  </si>
  <si>
    <t>in dirhams:</t>
  </si>
  <si>
    <t>Last updated: 1/30/2014</t>
  </si>
  <si>
    <t>ERR Version</t>
  </si>
  <si>
    <t>Original ERR</t>
  </si>
  <si>
    <t>Closeout ERR</t>
  </si>
  <si>
    <t>Date of ERR</t>
  </si>
  <si>
    <t>Project description</t>
  </si>
  <si>
    <t>Table of Contents</t>
  </si>
  <si>
    <t>One should read this sheet first, as it offers a summary of the project, a list of components, and states the economic rationale for the project.</t>
  </si>
  <si>
    <t>This worksheet highlights key assumptions and summarizes how the ERR may change due to varying costs and benefits.</t>
  </si>
  <si>
    <t>Cost Benefit Summary</t>
  </si>
  <si>
    <t>This worksheet presents the aggregated costs and benefits from the project activities year-by-year, calculating a combined ERR</t>
  </si>
  <si>
    <t>Total amount of MCC funds (for User's Guide):</t>
  </si>
  <si>
    <t>Detailed summary of ERR calculation</t>
  </si>
  <si>
    <t>Ooc2 DFP</t>
  </si>
  <si>
    <t>Second out of cycle detailed financial plan, used for closeout costs.</t>
  </si>
  <si>
    <t>The Small-Scale Fisheries Project targets the transformation of the small-scale fisheries sector by modernizing the means of catching, landing, storing, and marketing fish, thereby improving the quality of the catch, maintaining the value chain, and increasing fishers’ access to both local and export markets. This Project Activity funded the construction or rehabilitation of five modern wholesale fish markets in selected cities.</t>
  </si>
  <si>
    <t>Activity Design History</t>
  </si>
  <si>
    <t>Original Design</t>
  </si>
  <si>
    <t xml:space="preserve">     The Small-Scale Fisheries Project targets the transformation of the small-scale fisheries sector by modernizing the means of catching, landing, storing, and marketing fish, thereby improving the quality of the catch, maintaining the value chain, and increasing fishers’ access to both local and export markets. This Project Activity was originally intended to fund the construction or rehabilitation of up to six modern wholesale fish markets in selected cities.</t>
  </si>
  <si>
    <t>Activity Components</t>
  </si>
  <si>
    <t>Closeout</t>
  </si>
  <si>
    <t xml:space="preserve">     1.   Construction or rehabilitation of 5 wholesale fish markets in major cities (Marrakech, Meknes, Taza, Beni-
              Mellal, and Rabat)</t>
  </si>
  <si>
    <t xml:space="preserve">     The construction and modernization of 5 wholesale markets mostly in the interior of the country will strengthen market integration. A revitalized network of wholesale markets will lead to increased spatial integration of the Moroccan fish market and facilitate an increase in the number of buyers and sellers, due in part to reduced search costs. These deeper markets will result in increased market-clearing quantities and a more efficient market price. As a result, we expect that a greater share of fish will be channeled for domestic consumption rather than low-value fish meal. Further, investments to maintain standards of hygiene, handling and preservation of the cold chain will contribute to the maintenance of the value of fish sold through the wholesale market network and will increase the effective number of sales opportunities available to sellers. Finally, a more efficient and transparent wholesale network will contribute to the distribution of a more affordable protein source to the interior of the country where a high level of poverty exists.</t>
  </si>
  <si>
    <t>The original plan was to build up to construct or rehabilitate 6 wholesale fish markets. Due to cost considerations, the project was restructured to build 5 wholesale markets. No impact evaluation data was available at closeout. The ERR was updated with the latest cost data from the second out of cycle detailed financial plan.</t>
  </si>
  <si>
    <t>Last updated:  1/30/2014</t>
  </si>
  <si>
    <t>Compact Year</t>
  </si>
  <si>
    <t>Total Costs ($s)</t>
  </si>
  <si>
    <t>Total Benefits ($s)</t>
  </si>
  <si>
    <t>Net Benefits</t>
  </si>
  <si>
    <t>Undisbursed (from Tim Mooney email):</t>
  </si>
  <si>
    <t>Grand total - undisbursed - (M&amp;E+Admin):</t>
  </si>
  <si>
    <t>$44.8 million</t>
  </si>
  <si>
    <t>16.7% over 20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</si>
</sst>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6" formatCode="&quot;$&quot;#,##0_);[Red]\(&quot;$&quot;#,##0\)"/>
    <numFmt numFmtId="44" formatCode="_(&quot;$&quot;* #,##0.00_);_(&quot;$&quot;* \(#,##0.00\);_(&quot;$&quot;* &quot;-&quot;??_);_(@_)"/>
    <numFmt numFmtId="43" formatCode="_(* #,##0.00_);_(* \(#,##0.00\);_(* &quot;-&quot;??_);_(@_)"/>
    <numFmt numFmtId="164" formatCode="&quot;$&quot;#,##0.00"/>
    <numFmt numFmtId="165" formatCode="General_)"/>
    <numFmt numFmtId="166" formatCode="0.000"/>
    <numFmt numFmtId="167" formatCode="0.0%"/>
    <numFmt numFmtId="168" formatCode="_-* #,##0.00\ [$€]_-;\-* #,##0.00\ [$€]_-;_-* &quot;-&quot;??\ [$€]_-;_-@_-"/>
    <numFmt numFmtId="169" formatCode="#,##0.0_);\(#,##0.0\)"/>
    <numFmt numFmtId="170" formatCode="#,##0\ &quot;Dh&quot;"/>
    <numFmt numFmtId="171" formatCode="[$MAD]\ #,##0.00_);[Red]\([$MAD]\ #,##0.00\)"/>
    <numFmt numFmtId="172" formatCode="_(&quot;$&quot;* #,##0_);_(&quot;$&quot;* \(#,##0\);_(&quot;$&quot;* &quot;-&quot;??_);_(@_)"/>
    <numFmt numFmtId="173" formatCode="[$-409]mmm\-yy;@"/>
    <numFmt numFmtId="174" formatCode="_(* #,##0_);_(* \(#,##0\);_(* &quot;-&quot;??_);_(@_)"/>
    <numFmt numFmtId="175" formatCode="_-* #,##0.00\ _€_-;\-* #,##0.00\ _€_-;_-* &quot;-&quot;??\ _€_-;_-@_-"/>
    <numFmt numFmtId="176" formatCode="_-* #,##0\ _€_-;\-* #,##0\ _€_-;_-* &quot;-&quot;??\ _€_-;_-@_-"/>
  </numFmts>
  <fonts count="78">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4"/>
      <name val="Arial"/>
      <family val="2"/>
    </font>
    <font>
      <sz val="8"/>
      <name val="Arial"/>
      <family val="2"/>
    </font>
    <font>
      <sz val="8"/>
      <color indexed="81"/>
      <name val="Tahoma"/>
      <family val="2"/>
    </font>
    <font>
      <b/>
      <sz val="8"/>
      <color indexed="81"/>
      <name val="Tahoma"/>
      <family val="2"/>
    </font>
    <font>
      <b/>
      <u/>
      <sz val="10"/>
      <name val="Arial"/>
      <family val="2"/>
    </font>
    <font>
      <sz val="10"/>
      <name val="Arial"/>
      <family val="2"/>
    </font>
    <font>
      <b/>
      <sz val="12"/>
      <name val="Arial"/>
      <family val="2"/>
    </font>
    <font>
      <sz val="14"/>
      <name val="Arial"/>
      <family val="2"/>
    </font>
    <font>
      <u/>
      <sz val="10"/>
      <name val="Arial"/>
      <family val="2"/>
    </font>
    <font>
      <sz val="10"/>
      <color indexed="9"/>
      <name val="Arial"/>
      <family val="2"/>
    </font>
    <font>
      <sz val="10"/>
      <name val="Courier"/>
      <family val="3"/>
    </font>
    <font>
      <b/>
      <sz val="10"/>
      <color indexed="10"/>
      <name val="Arial"/>
      <family val="2"/>
    </font>
    <font>
      <sz val="10"/>
      <color indexed="41"/>
      <name val="Arial"/>
      <family val="2"/>
    </font>
    <font>
      <sz val="8"/>
      <name val="Arial"/>
      <family val="2"/>
    </font>
    <font>
      <sz val="10"/>
      <color indexed="42"/>
      <name val="Arial"/>
      <family val="2"/>
    </font>
    <font>
      <b/>
      <sz val="10"/>
      <color indexed="42"/>
      <name val="Arial"/>
      <family val="2"/>
    </font>
    <font>
      <sz val="10"/>
      <color indexed="44"/>
      <name val="Arial"/>
      <family val="2"/>
    </font>
    <font>
      <i/>
      <sz val="10"/>
      <name val="Arial"/>
      <family val="2"/>
    </font>
    <font>
      <sz val="13"/>
      <name val="Times New Roman"/>
      <family val="1"/>
    </font>
    <font>
      <u/>
      <sz val="10"/>
      <color indexed="12"/>
      <name val="Arial"/>
      <family val="2"/>
    </font>
    <font>
      <sz val="10"/>
      <name val="Courier"/>
      <family val="3"/>
    </font>
    <font>
      <sz val="10"/>
      <name val="Geneva"/>
    </font>
    <font>
      <sz val="10"/>
      <name val="MS Sans Serif"/>
      <family val="2"/>
    </font>
    <font>
      <sz val="10"/>
      <name val="Times New Roman"/>
      <family val="1"/>
    </font>
    <font>
      <sz val="13"/>
      <name val="Arial"/>
      <family val="2"/>
    </font>
    <font>
      <b/>
      <sz val="8"/>
      <name val="Arial"/>
      <family val="2"/>
    </font>
    <font>
      <sz val="10"/>
      <color indexed="10"/>
      <name val="Arial"/>
      <family val="2"/>
    </font>
    <font>
      <u/>
      <sz val="10"/>
      <name val="Arial"/>
      <family val="2"/>
    </font>
    <font>
      <sz val="12"/>
      <name val="Arial"/>
      <family val="2"/>
    </font>
    <font>
      <b/>
      <sz val="12"/>
      <name val="Arial"/>
      <family val="2"/>
    </font>
    <font>
      <sz val="14"/>
      <name val="Arial"/>
      <family val="2"/>
    </font>
    <font>
      <sz val="9"/>
      <name val="Arial"/>
      <family val="2"/>
    </font>
    <font>
      <u/>
      <sz val="9"/>
      <name val="Arial"/>
      <family val="2"/>
    </font>
    <font>
      <b/>
      <sz val="10"/>
      <name val="Arial"/>
      <family val="2"/>
    </font>
    <font>
      <b/>
      <sz val="9"/>
      <name val="Arial"/>
      <family val="2"/>
    </font>
    <font>
      <sz val="12"/>
      <name val="Arial"/>
      <family val="2"/>
    </font>
    <font>
      <sz val="8"/>
      <color indexed="17"/>
      <name val="Arial"/>
      <family val="2"/>
    </font>
    <font>
      <b/>
      <sz val="16"/>
      <name val="Arial"/>
      <family val="2"/>
    </font>
    <font>
      <sz val="10"/>
      <color indexed="63"/>
      <name val="Arial"/>
      <family val="2"/>
    </font>
    <font>
      <b/>
      <sz val="10"/>
      <color indexed="12"/>
      <name val="Arial"/>
      <family val="2"/>
    </font>
    <font>
      <sz val="10"/>
      <color indexed="23"/>
      <name val="Arial"/>
      <family val="2"/>
    </font>
    <font>
      <b/>
      <sz val="10"/>
      <color indexed="55"/>
      <name val="Arial"/>
      <family val="2"/>
    </font>
    <font>
      <sz val="10"/>
      <color indexed="9"/>
      <name val="Arial"/>
      <family val="2"/>
    </font>
    <font>
      <sz val="9"/>
      <color indexed="55"/>
      <name val="Arial"/>
      <family val="2"/>
    </font>
    <font>
      <sz val="10"/>
      <color indexed="12"/>
      <name val="Arial"/>
      <family val="2"/>
    </font>
    <font>
      <u/>
      <sz val="10"/>
      <color indexed="12"/>
      <name val="Arial"/>
      <family val="2"/>
      <charset val="204"/>
    </font>
    <font>
      <b/>
      <sz val="10"/>
      <name val="Arial"/>
      <family val="2"/>
      <charset val="204"/>
    </font>
    <font>
      <b/>
      <sz val="10"/>
      <color indexed="9"/>
      <name val="Arial"/>
      <family val="2"/>
    </font>
    <font>
      <u/>
      <sz val="16"/>
      <name val="Arial"/>
      <family val="2"/>
    </font>
    <font>
      <u/>
      <sz val="16"/>
      <name val="Arial"/>
      <family val="2"/>
    </font>
    <font>
      <sz val="10"/>
      <name val="Arial"/>
      <family val="2"/>
    </font>
    <font>
      <i/>
      <u/>
      <sz val="10"/>
      <name val="Arial"/>
      <family val="2"/>
    </font>
    <font>
      <sz val="10"/>
      <name val="Arial"/>
      <family val="2"/>
    </font>
    <font>
      <b/>
      <i/>
      <sz val="8"/>
      <name val="Arial"/>
      <family val="2"/>
    </font>
    <font>
      <b/>
      <sz val="18"/>
      <name val="Arial"/>
      <family val="2"/>
    </font>
    <font>
      <sz val="10"/>
      <color indexed="12"/>
      <name val="Arial"/>
      <family val="2"/>
    </font>
    <font>
      <b/>
      <sz val="10"/>
      <color rgb="FF0000FF"/>
      <name val="Arial"/>
      <family val="2"/>
    </font>
    <font>
      <b/>
      <sz val="16"/>
      <color theme="0"/>
      <name val="Arial Narrow"/>
      <family val="2"/>
    </font>
    <font>
      <b/>
      <sz val="10"/>
      <name val="Arial Narrow"/>
      <family val="2"/>
    </font>
    <font>
      <b/>
      <sz val="10"/>
      <color theme="1"/>
      <name val="Arial Narrow"/>
      <family val="2"/>
    </font>
    <font>
      <sz val="10"/>
      <name val="Arial Narrow"/>
      <family val="2"/>
    </font>
    <font>
      <b/>
      <i/>
      <sz val="10"/>
      <name val="Arial Narrow"/>
      <family val="2"/>
    </font>
    <font>
      <b/>
      <sz val="10"/>
      <color theme="0"/>
      <name val="Arial Narrow"/>
      <family val="2"/>
    </font>
    <font>
      <sz val="10"/>
      <color rgb="FFFF0000"/>
      <name val="Arial Narrow"/>
      <family val="2"/>
    </font>
    <font>
      <i/>
      <sz val="10"/>
      <name val="Arial Narrow"/>
      <family val="2"/>
    </font>
    <font>
      <i/>
      <sz val="10"/>
      <color rgb="FFFF0000"/>
      <name val="Arial Narrow"/>
      <family val="2"/>
    </font>
    <font>
      <sz val="10"/>
      <color theme="1"/>
      <name val="Arial Narrow"/>
      <family val="2"/>
    </font>
    <font>
      <sz val="10"/>
      <color theme="1"/>
      <name val="Calibri"/>
      <family val="2"/>
      <scheme val="minor"/>
    </font>
    <font>
      <sz val="10"/>
      <color theme="1"/>
      <name val="Arial"/>
      <family val="2"/>
    </font>
    <font>
      <b/>
      <sz val="10"/>
      <color theme="0" tint="-0.499984740745262"/>
      <name val="Arial"/>
      <family val="2"/>
    </font>
    <font>
      <sz val="10"/>
      <color theme="0" tint="-0.34998626667073579"/>
      <name val="Arial"/>
      <family val="2"/>
    </font>
    <font>
      <b/>
      <sz val="10"/>
      <color indexed="18"/>
      <name val="Arial"/>
      <family val="2"/>
    </font>
    <font>
      <sz val="12"/>
      <color theme="1"/>
      <name val="Calibri"/>
      <family val="2"/>
      <scheme val="minor"/>
    </font>
  </fonts>
  <fills count="23">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10"/>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rgb="FFFF99FF"/>
        <bgColor indexed="64"/>
      </patternFill>
    </fill>
    <fill>
      <patternFill patternType="solid">
        <fgColor rgb="FFCCFF66"/>
        <bgColor indexed="64"/>
      </patternFill>
    </fill>
    <fill>
      <patternFill patternType="solid">
        <fgColor rgb="FF99CCFF"/>
        <bgColor indexed="64"/>
      </patternFill>
    </fill>
    <fill>
      <patternFill patternType="solid">
        <fgColor theme="8" tint="0.79998168889431442"/>
        <bgColor indexed="64"/>
      </patternFill>
    </fill>
    <fill>
      <patternFill patternType="solid">
        <fgColor indexed="44"/>
        <bgColor indexed="64"/>
      </patternFill>
    </fill>
    <fill>
      <patternFill patternType="solid">
        <fgColor indexed="44"/>
        <bgColor indexed="55"/>
      </patternFill>
    </fill>
    <fill>
      <patternFill patternType="solid">
        <fgColor theme="0" tint="-0.249977111117893"/>
        <bgColor indexed="64"/>
      </patternFill>
    </fill>
    <fill>
      <patternFill patternType="solid">
        <fgColor theme="6" tint="0.59999389629810485"/>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theme="6" tint="0.79998168889431442"/>
        <bgColor indexed="64"/>
      </patternFill>
    </fill>
    <fill>
      <patternFill patternType="solid">
        <fgColor rgb="FFCCFFCC"/>
        <bgColor indexed="64"/>
      </patternFill>
    </fill>
  </fills>
  <borders count="72">
    <border>
      <left/>
      <right/>
      <top/>
      <bottom/>
      <diagonal/>
    </border>
    <border>
      <left/>
      <right/>
      <top style="thin">
        <color indexed="64"/>
      </top>
      <bottom style="double">
        <color indexed="64"/>
      </bottom>
      <diagonal/>
    </border>
    <border>
      <left/>
      <right/>
      <top/>
      <bottom style="double">
        <color indexed="64"/>
      </bottom>
      <diagonal/>
    </border>
    <border>
      <left/>
      <right/>
      <top/>
      <bottom style="thick">
        <color indexed="64"/>
      </bottom>
      <diagonal/>
    </border>
    <border>
      <left style="thin">
        <color indexed="64"/>
      </left>
      <right/>
      <top/>
      <bottom/>
      <diagonal/>
    </border>
    <border>
      <left/>
      <right style="medium">
        <color indexed="64"/>
      </right>
      <top style="medium">
        <color indexed="64"/>
      </top>
      <bottom style="medium">
        <color indexed="64"/>
      </bottom>
      <diagonal/>
    </border>
    <border>
      <left/>
      <right style="double">
        <color indexed="64"/>
      </right>
      <top/>
      <bottom/>
      <diagonal/>
    </border>
    <border>
      <left/>
      <right/>
      <top style="double">
        <color indexed="64"/>
      </top>
      <bottom/>
      <diagonal/>
    </border>
    <border>
      <left/>
      <right style="double">
        <color indexed="64"/>
      </right>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ck">
        <color indexed="64"/>
      </top>
      <bottom/>
      <diagonal/>
    </border>
    <border>
      <left/>
      <right/>
      <top style="medium">
        <color indexed="64"/>
      </top>
      <bottom style="medium">
        <color indexed="64"/>
      </bottom>
      <diagonal/>
    </border>
    <border>
      <left/>
      <right style="double">
        <color indexed="64"/>
      </right>
      <top style="double">
        <color indexed="64"/>
      </top>
      <bottom/>
      <diagonal/>
    </border>
    <border>
      <left/>
      <right/>
      <top style="double">
        <color indexed="64"/>
      </top>
      <bottom style="double">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medium">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style="medium">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double">
        <color indexed="64"/>
      </left>
      <right/>
      <top/>
      <bottom/>
      <diagonal/>
    </border>
    <border>
      <left style="thin">
        <color indexed="64"/>
      </left>
      <right style="thin">
        <color indexed="64"/>
      </right>
      <top/>
      <bottom style="medium">
        <color indexed="64"/>
      </bottom>
      <diagonal/>
    </border>
    <border>
      <left/>
      <right style="thin">
        <color indexed="64"/>
      </right>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ashed">
        <color indexed="9"/>
      </left>
      <right style="dashed">
        <color indexed="9"/>
      </right>
      <top style="dashed">
        <color indexed="9"/>
      </top>
      <bottom style="dashed">
        <color indexed="9"/>
      </bottom>
      <diagonal/>
    </border>
    <border>
      <left style="medium">
        <color indexed="9"/>
      </left>
      <right style="medium">
        <color indexed="9"/>
      </right>
      <top/>
      <bottom style="medium">
        <color indexed="9"/>
      </bottom>
      <diagonal/>
    </border>
    <border>
      <left style="medium">
        <color indexed="9"/>
      </left>
      <right/>
      <top/>
      <bottom style="medium">
        <color indexed="9"/>
      </bottom>
      <diagonal/>
    </border>
    <border>
      <left/>
      <right style="medium">
        <color indexed="9"/>
      </right>
      <top/>
      <bottom style="medium">
        <color indexed="9"/>
      </bottom>
      <diagonal/>
    </border>
    <border>
      <left style="medium">
        <color indexed="9"/>
      </left>
      <right/>
      <top/>
      <bottom/>
      <diagonal/>
    </border>
    <border>
      <left/>
      <right style="medium">
        <color indexed="9"/>
      </right>
      <top/>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
      <left/>
      <right style="medium">
        <color indexed="9"/>
      </right>
      <top style="medium">
        <color indexed="9"/>
      </top>
      <bottom/>
      <diagonal/>
    </border>
    <border>
      <left style="medium">
        <color indexed="9"/>
      </left>
      <right style="medium">
        <color indexed="9"/>
      </right>
      <top style="medium">
        <color indexed="9"/>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9"/>
      </left>
      <right style="thin">
        <color indexed="9"/>
      </right>
      <top style="thin">
        <color indexed="9"/>
      </top>
      <bottom style="thin">
        <color indexed="9"/>
      </bottom>
      <diagonal/>
    </border>
  </borders>
  <cellStyleXfs count="25">
    <xf numFmtId="0" fontId="0" fillId="0" borderId="0" applyFont="0" applyFill="0" applyBorder="0" applyAlignment="0" applyProtection="0"/>
    <xf numFmtId="168" fontId="23" fillId="0" borderId="0" applyFont="0" applyFill="0" applyBorder="0" applyAlignment="0" applyProtection="0"/>
    <xf numFmtId="0" fontId="24" fillId="0" borderId="0" applyNumberFormat="0" applyFill="0" applyBorder="0" applyAlignment="0" applyProtection="0">
      <alignment vertical="top"/>
      <protection locked="0"/>
    </xf>
    <xf numFmtId="0" fontId="25" fillId="0" borderId="0"/>
    <xf numFmtId="37" fontId="23" fillId="0" borderId="0"/>
    <xf numFmtId="0" fontId="26" fillId="0" borderId="0"/>
    <xf numFmtId="0" fontId="3" fillId="0" borderId="0"/>
    <xf numFmtId="0" fontId="27" fillId="0" borderId="0"/>
    <xf numFmtId="0" fontId="28" fillId="0" borderId="0"/>
    <xf numFmtId="0" fontId="3" fillId="0" borderId="0"/>
    <xf numFmtId="9" fontId="3" fillId="0" borderId="0" applyFont="0" applyFill="0" applyBorder="0" applyAlignment="0" applyProtection="0"/>
    <xf numFmtId="165" fontId="15" fillId="0" borderId="0"/>
    <xf numFmtId="43" fontId="3" fillId="0" borderId="0" applyFont="0" applyFill="0" applyBorder="0" applyAlignment="0" applyProtection="0"/>
    <xf numFmtId="44" fontId="3" fillId="0" borderId="0" applyFont="0" applyFill="0" applyBorder="0" applyAlignment="0" applyProtection="0"/>
    <xf numFmtId="0" fontId="2" fillId="0" borderId="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0" fontId="3" fillId="0" borderId="0"/>
    <xf numFmtId="0" fontId="3" fillId="0" borderId="0"/>
    <xf numFmtId="0" fontId="3" fillId="0" borderId="0"/>
    <xf numFmtId="0" fontId="28" fillId="0" borderId="0"/>
    <xf numFmtId="43" fontId="77" fillId="0" borderId="0" applyFont="0" applyFill="0" applyBorder="0" applyAlignment="0" applyProtection="0"/>
    <xf numFmtId="175" fontId="3" fillId="0" borderId="0" applyFont="0" applyFill="0" applyBorder="0" applyAlignment="0" applyProtection="0"/>
    <xf numFmtId="0" fontId="1" fillId="0" borderId="0"/>
  </cellStyleXfs>
  <cellXfs count="688">
    <xf numFmtId="0" fontId="0" fillId="0" borderId="0" xfId="0"/>
    <xf numFmtId="0" fontId="4" fillId="0" borderId="0" xfId="0" applyFont="1"/>
    <xf numFmtId="2" fontId="4" fillId="0" borderId="0" xfId="0" applyNumberFormat="1" applyFont="1"/>
    <xf numFmtId="0" fontId="0" fillId="0" borderId="0" xfId="0" applyAlignment="1">
      <alignment wrapText="1"/>
    </xf>
    <xf numFmtId="2" fontId="4" fillId="0" borderId="0" xfId="0" applyNumberFormat="1" applyFont="1" applyAlignment="1">
      <alignment wrapText="1"/>
    </xf>
    <xf numFmtId="2" fontId="0" fillId="0" borderId="0" xfId="0" applyNumberFormat="1"/>
    <xf numFmtId="2" fontId="0" fillId="0" borderId="0" xfId="0" applyNumberFormat="1" applyAlignment="1">
      <alignment wrapText="1"/>
    </xf>
    <xf numFmtId="0" fontId="4" fillId="0" borderId="0" xfId="0" applyFont="1" applyAlignment="1">
      <alignment wrapText="1"/>
    </xf>
    <xf numFmtId="10" fontId="0" fillId="0" borderId="0" xfId="0" applyNumberFormat="1"/>
    <xf numFmtId="10" fontId="0" fillId="0" borderId="0" xfId="0" applyNumberFormat="1" applyAlignment="1">
      <alignment wrapText="1"/>
    </xf>
    <xf numFmtId="0" fontId="9" fillId="0" borderId="0" xfId="0" applyFont="1"/>
    <xf numFmtId="0" fontId="10" fillId="0" borderId="0" xfId="0" applyFont="1"/>
    <xf numFmtId="0" fontId="0" fillId="0" borderId="1" xfId="0" applyBorder="1" applyAlignment="1">
      <alignment wrapText="1"/>
    </xf>
    <xf numFmtId="0" fontId="0" fillId="0" borderId="1" xfId="0" applyBorder="1"/>
    <xf numFmtId="0" fontId="0" fillId="0" borderId="0" xfId="0" applyBorder="1" applyAlignment="1">
      <alignment wrapText="1"/>
    </xf>
    <xf numFmtId="0" fontId="0" fillId="0" borderId="0" xfId="0" applyBorder="1"/>
    <xf numFmtId="3" fontId="0" fillId="0" borderId="0" xfId="0" applyNumberFormat="1"/>
    <xf numFmtId="0" fontId="0" fillId="0" borderId="2" xfId="0" applyBorder="1" applyAlignment="1">
      <alignment wrapText="1"/>
    </xf>
    <xf numFmtId="0" fontId="0" fillId="0" borderId="2" xfId="0" applyBorder="1"/>
    <xf numFmtId="10" fontId="0" fillId="0" borderId="0" xfId="0" applyNumberFormat="1" applyBorder="1" applyAlignment="1">
      <alignment wrapText="1"/>
    </xf>
    <xf numFmtId="10" fontId="0" fillId="0" borderId="0" xfId="0" applyNumberFormat="1" applyBorder="1"/>
    <xf numFmtId="10" fontId="0" fillId="0" borderId="2" xfId="0" applyNumberFormat="1" applyBorder="1" applyAlignment="1">
      <alignment wrapText="1"/>
    </xf>
    <xf numFmtId="10" fontId="0" fillId="0" borderId="2" xfId="0" applyNumberFormat="1" applyBorder="1"/>
    <xf numFmtId="0" fontId="4" fillId="0" borderId="0" xfId="0" applyFont="1" applyBorder="1" applyAlignment="1">
      <alignment wrapText="1"/>
    </xf>
    <xf numFmtId="2" fontId="10" fillId="0" borderId="0" xfId="0" applyNumberFormat="1" applyFont="1"/>
    <xf numFmtId="0" fontId="4" fillId="0" borderId="2" xfId="0" applyFont="1" applyBorder="1"/>
    <xf numFmtId="0" fontId="10" fillId="0" borderId="3" xfId="0" applyFont="1" applyBorder="1"/>
    <xf numFmtId="0" fontId="0" fillId="0" borderId="3" xfId="0" applyBorder="1"/>
    <xf numFmtId="0" fontId="4" fillId="0" borderId="0" xfId="0" applyFont="1" applyBorder="1"/>
    <xf numFmtId="0" fontId="10" fillId="0" borderId="0" xfId="0" applyFont="1" applyBorder="1"/>
    <xf numFmtId="2" fontId="10" fillId="0" borderId="4" xfId="0" applyNumberFormat="1" applyFont="1" applyBorder="1"/>
    <xf numFmtId="0" fontId="10" fillId="0" borderId="4" xfId="0" applyFont="1" applyBorder="1"/>
    <xf numFmtId="0" fontId="4" fillId="0" borderId="4" xfId="0" applyFont="1" applyBorder="1" applyAlignment="1">
      <alignment wrapText="1"/>
    </xf>
    <xf numFmtId="0" fontId="5" fillId="0" borderId="5" xfId="0" applyFont="1" applyBorder="1"/>
    <xf numFmtId="164" fontId="4" fillId="0" borderId="3" xfId="0" applyNumberFormat="1" applyFont="1" applyBorder="1"/>
    <xf numFmtId="10" fontId="4" fillId="0" borderId="0" xfId="0" applyNumberFormat="1" applyFont="1"/>
    <xf numFmtId="0" fontId="14" fillId="0" borderId="0" xfId="0" applyFont="1"/>
    <xf numFmtId="0" fontId="16" fillId="0" borderId="2" xfId="0" applyFont="1" applyBorder="1"/>
    <xf numFmtId="2" fontId="0" fillId="0" borderId="0" xfId="0" applyNumberFormat="1" applyBorder="1" applyAlignment="1">
      <alignment wrapText="1"/>
    </xf>
    <xf numFmtId="2" fontId="0" fillId="0" borderId="0" xfId="0" applyNumberFormat="1" applyBorder="1"/>
    <xf numFmtId="2" fontId="0" fillId="0" borderId="0" xfId="0" applyNumberFormat="1" applyFill="1" applyBorder="1"/>
    <xf numFmtId="2" fontId="0" fillId="0" borderId="2" xfId="0" applyNumberFormat="1" applyBorder="1" applyAlignment="1">
      <alignment wrapText="1"/>
    </xf>
    <xf numFmtId="2" fontId="0" fillId="0" borderId="2" xfId="0" applyNumberFormat="1" applyBorder="1"/>
    <xf numFmtId="0" fontId="17" fillId="0" borderId="0" xfId="0" applyFont="1"/>
    <xf numFmtId="2" fontId="17" fillId="0" borderId="0" xfId="0" applyNumberFormat="1" applyFont="1" applyBorder="1"/>
    <xf numFmtId="0" fontId="0" fillId="0" borderId="6" xfId="0" applyBorder="1"/>
    <xf numFmtId="166" fontId="0" fillId="0" borderId="0" xfId="0" applyNumberFormat="1"/>
    <xf numFmtId="166" fontId="13" fillId="0" borderId="6" xfId="0" applyNumberFormat="1" applyFont="1" applyBorder="1"/>
    <xf numFmtId="0" fontId="6" fillId="0" borderId="6" xfId="0" applyFont="1" applyBorder="1"/>
    <xf numFmtId="0" fontId="18" fillId="0" borderId="6" xfId="0" applyFont="1" applyBorder="1"/>
    <xf numFmtId="0" fontId="3" fillId="0" borderId="6" xfId="0" applyFont="1" applyBorder="1"/>
    <xf numFmtId="0" fontId="13" fillId="0" borderId="6" xfId="0" applyFont="1" applyBorder="1"/>
    <xf numFmtId="0" fontId="10" fillId="0" borderId="6" xfId="0" applyFont="1" applyBorder="1"/>
    <xf numFmtId="0" fontId="10" fillId="0" borderId="6" xfId="0" applyFont="1" applyBorder="1" applyAlignment="1">
      <alignment wrapText="1"/>
    </xf>
    <xf numFmtId="0" fontId="4" fillId="0" borderId="6" xfId="0" applyFont="1" applyBorder="1"/>
    <xf numFmtId="0" fontId="0" fillId="0" borderId="6" xfId="0" applyBorder="1" applyAlignment="1">
      <alignment wrapText="1"/>
    </xf>
    <xf numFmtId="0" fontId="5" fillId="0" borderId="0" xfId="0" applyFont="1" applyBorder="1" applyAlignment="1">
      <alignment horizontal="center" wrapText="1"/>
    </xf>
    <xf numFmtId="0" fontId="4" fillId="0" borderId="0" xfId="0" applyFont="1" applyBorder="1" applyAlignment="1">
      <alignment horizontal="center" wrapText="1"/>
    </xf>
    <xf numFmtId="9" fontId="4" fillId="0" borderId="0" xfId="0" applyNumberFormat="1" applyFont="1" applyBorder="1" applyAlignment="1">
      <alignment horizontal="center" wrapText="1"/>
    </xf>
    <xf numFmtId="0" fontId="9" fillId="0" borderId="2" xfId="0" applyFont="1" applyBorder="1"/>
    <xf numFmtId="0" fontId="3" fillId="0" borderId="0" xfId="0" applyFont="1"/>
    <xf numFmtId="0" fontId="19" fillId="0" borderId="0" xfId="0" applyFont="1" applyAlignment="1">
      <alignment wrapText="1"/>
    </xf>
    <xf numFmtId="0" fontId="19" fillId="0" borderId="0" xfId="0" applyFont="1"/>
    <xf numFmtId="0" fontId="20" fillId="0" borderId="0" xfId="0" applyFont="1"/>
    <xf numFmtId="2" fontId="19" fillId="0" borderId="0" xfId="0" applyNumberFormat="1" applyFont="1" applyBorder="1"/>
    <xf numFmtId="0" fontId="4" fillId="0" borderId="7" xfId="0" applyFont="1" applyBorder="1"/>
    <xf numFmtId="0" fontId="0" fillId="0" borderId="7" xfId="0" applyBorder="1"/>
    <xf numFmtId="0" fontId="4" fillId="0" borderId="8" xfId="0" applyFont="1" applyBorder="1"/>
    <xf numFmtId="2" fontId="4" fillId="0" borderId="2" xfId="0" applyNumberFormat="1" applyFont="1" applyBorder="1"/>
    <xf numFmtId="0" fontId="21" fillId="0" borderId="0" xfId="0" applyFont="1"/>
    <xf numFmtId="0" fontId="22" fillId="0" borderId="0" xfId="0" applyFont="1"/>
    <xf numFmtId="0" fontId="3" fillId="0" borderId="0" xfId="9"/>
    <xf numFmtId="0" fontId="13" fillId="0" borderId="0" xfId="9" applyFont="1"/>
    <xf numFmtId="0" fontId="4" fillId="0" borderId="0" xfId="9" applyFont="1"/>
    <xf numFmtId="3" fontId="4" fillId="0" borderId="0" xfId="9" applyNumberFormat="1" applyFont="1"/>
    <xf numFmtId="3" fontId="3" fillId="0" borderId="0" xfId="9" applyNumberFormat="1"/>
    <xf numFmtId="2" fontId="3" fillId="0" borderId="0" xfId="9" applyNumberFormat="1"/>
    <xf numFmtId="0" fontId="3" fillId="0" borderId="0" xfId="9" applyFill="1"/>
    <xf numFmtId="9" fontId="3" fillId="0" borderId="0" xfId="10"/>
    <xf numFmtId="0" fontId="18" fillId="0" borderId="0" xfId="8" applyFont="1" applyAlignment="1">
      <alignment horizontal="centerContinuous" vertical="center"/>
    </xf>
    <xf numFmtId="170" fontId="18" fillId="0" borderId="0" xfId="8" applyNumberFormat="1" applyFont="1" applyAlignment="1">
      <alignment horizontal="centerContinuous" vertical="center"/>
    </xf>
    <xf numFmtId="37" fontId="29" fillId="0" borderId="0" xfId="4" applyFont="1"/>
    <xf numFmtId="0" fontId="30" fillId="0" borderId="0" xfId="5" applyFont="1" applyAlignment="1">
      <alignment horizontal="centerContinuous" vertical="center"/>
    </xf>
    <xf numFmtId="0" fontId="18" fillId="0" borderId="0" xfId="5" applyFont="1" applyAlignment="1">
      <alignment horizontal="centerContinuous"/>
    </xf>
    <xf numFmtId="37" fontId="4" fillId="0" borderId="0" xfId="4" applyFont="1"/>
    <xf numFmtId="37" fontId="10" fillId="0" borderId="0" xfId="4" applyFont="1"/>
    <xf numFmtId="37" fontId="4" fillId="2" borderId="9" xfId="4" applyFont="1" applyFill="1" applyBorder="1" applyAlignment="1">
      <alignment horizontal="center" wrapText="1"/>
    </xf>
    <xf numFmtId="37" fontId="10" fillId="0" borderId="0" xfId="4" applyFont="1" applyFill="1" applyBorder="1" applyAlignment="1">
      <alignment wrapText="1"/>
    </xf>
    <xf numFmtId="3" fontId="10" fillId="0" borderId="0" xfId="4" applyNumberFormat="1" applyFont="1" applyFill="1" applyBorder="1" applyAlignment="1">
      <alignment wrapText="1"/>
    </xf>
    <xf numFmtId="3" fontId="10" fillId="3" borderId="0" xfId="4" applyNumberFormat="1" applyFont="1" applyFill="1" applyBorder="1" applyAlignment="1">
      <alignment wrapText="1"/>
    </xf>
    <xf numFmtId="37" fontId="10" fillId="3" borderId="0" xfId="4" applyFont="1" applyFill="1" applyBorder="1" applyAlignment="1">
      <alignment wrapText="1"/>
    </xf>
    <xf numFmtId="37" fontId="4" fillId="2" borderId="10" xfId="4" applyFont="1" applyFill="1" applyBorder="1" applyAlignment="1">
      <alignment wrapText="1"/>
    </xf>
    <xf numFmtId="3" fontId="4" fillId="2" borderId="10" xfId="4" applyNumberFormat="1" applyFont="1" applyFill="1" applyBorder="1" applyAlignment="1">
      <alignment wrapText="1"/>
    </xf>
    <xf numFmtId="9" fontId="10" fillId="3" borderId="0" xfId="10" applyFont="1" applyFill="1" applyBorder="1" applyAlignment="1">
      <alignment wrapText="1"/>
    </xf>
    <xf numFmtId="9" fontId="10" fillId="0" borderId="0" xfId="10" applyFont="1" applyFill="1" applyBorder="1" applyAlignment="1">
      <alignment wrapText="1"/>
    </xf>
    <xf numFmtId="169" fontId="10" fillId="3" borderId="0" xfId="4" applyNumberFormat="1" applyFont="1" applyFill="1" applyBorder="1" applyAlignment="1">
      <alignment wrapText="1"/>
    </xf>
    <xf numFmtId="169" fontId="10" fillId="0" borderId="0" xfId="4" applyNumberFormat="1" applyFont="1" applyFill="1" applyBorder="1" applyAlignment="1">
      <alignment wrapText="1"/>
    </xf>
    <xf numFmtId="4" fontId="10" fillId="3" borderId="0" xfId="4" applyNumberFormat="1" applyFont="1" applyFill="1" applyBorder="1" applyAlignment="1">
      <alignment wrapText="1"/>
    </xf>
    <xf numFmtId="4" fontId="10" fillId="0" borderId="0" xfId="4" applyNumberFormat="1" applyFont="1" applyFill="1" applyBorder="1" applyAlignment="1">
      <alignment wrapText="1"/>
    </xf>
    <xf numFmtId="37" fontId="4" fillId="0" borderId="0" xfId="4" applyFont="1" applyFill="1" applyBorder="1" applyAlignment="1">
      <alignment wrapText="1"/>
    </xf>
    <xf numFmtId="37" fontId="10" fillId="0" borderId="0" xfId="4" applyFont="1" applyFill="1" applyBorder="1" applyAlignment="1">
      <alignment horizontal="center" wrapText="1"/>
    </xf>
    <xf numFmtId="4" fontId="10" fillId="3" borderId="0" xfId="10" applyNumberFormat="1" applyFont="1" applyFill="1" applyBorder="1" applyAlignment="1">
      <alignment wrapText="1"/>
    </xf>
    <xf numFmtId="9" fontId="10" fillId="3" borderId="0" xfId="10" applyFont="1" applyFill="1" applyBorder="1" applyAlignment="1">
      <alignment horizontal="center" wrapText="1"/>
    </xf>
    <xf numFmtId="37" fontId="10" fillId="0" borderId="0" xfId="4" applyNumberFormat="1" applyFont="1" applyFill="1" applyBorder="1" applyAlignment="1">
      <alignment wrapText="1"/>
    </xf>
    <xf numFmtId="37" fontId="4" fillId="0" borderId="10" xfId="4" applyFont="1" applyFill="1" applyBorder="1" applyAlignment="1">
      <alignment wrapText="1"/>
    </xf>
    <xf numFmtId="37" fontId="4" fillId="0" borderId="10" xfId="4" applyNumberFormat="1" applyFont="1" applyFill="1" applyBorder="1" applyAlignment="1">
      <alignment wrapText="1"/>
    </xf>
    <xf numFmtId="37" fontId="4" fillId="2" borderId="10" xfId="4" applyNumberFormat="1" applyFont="1" applyFill="1" applyBorder="1" applyAlignment="1">
      <alignment wrapText="1"/>
    </xf>
    <xf numFmtId="3" fontId="4" fillId="0" borderId="10" xfId="4" applyNumberFormat="1" applyFont="1" applyFill="1" applyBorder="1" applyAlignment="1">
      <alignment wrapText="1"/>
    </xf>
    <xf numFmtId="0" fontId="3" fillId="0" borderId="0" xfId="9" applyFont="1"/>
    <xf numFmtId="0" fontId="21" fillId="0" borderId="0" xfId="9" applyFont="1"/>
    <xf numFmtId="167" fontId="10" fillId="3" borderId="0" xfId="4" applyNumberFormat="1" applyFont="1" applyFill="1" applyBorder="1" applyAlignment="1">
      <alignment wrapText="1"/>
    </xf>
    <xf numFmtId="167" fontId="10" fillId="0" borderId="0" xfId="4" applyNumberFormat="1" applyFont="1" applyFill="1" applyBorder="1" applyAlignment="1">
      <alignment wrapText="1"/>
    </xf>
    <xf numFmtId="0" fontId="0" fillId="0" borderId="0" xfId="0" applyFill="1" applyBorder="1"/>
    <xf numFmtId="37" fontId="4" fillId="0" borderId="0" xfId="4" applyNumberFormat="1" applyFont="1" applyFill="1" applyBorder="1" applyAlignment="1">
      <alignment wrapText="1"/>
    </xf>
    <xf numFmtId="2" fontId="31" fillId="0" borderId="0" xfId="0" applyNumberFormat="1" applyFont="1"/>
    <xf numFmtId="0" fontId="31" fillId="0" borderId="0" xfId="0" applyFont="1"/>
    <xf numFmtId="164" fontId="4" fillId="0" borderId="11" xfId="0" applyNumberFormat="1" applyFont="1" applyBorder="1"/>
    <xf numFmtId="2" fontId="4" fillId="0" borderId="12" xfId="0" applyNumberFormat="1" applyFont="1" applyBorder="1" applyAlignment="1">
      <alignment wrapText="1"/>
    </xf>
    <xf numFmtId="2" fontId="4" fillId="0" borderId="5" xfId="0" applyNumberFormat="1" applyFont="1" applyBorder="1"/>
    <xf numFmtId="0" fontId="0" fillId="0" borderId="13" xfId="0" applyBorder="1" applyAlignment="1">
      <alignment horizontal="left"/>
    </xf>
    <xf numFmtId="2" fontId="9" fillId="0" borderId="0" xfId="0" applyNumberFormat="1" applyFont="1"/>
    <xf numFmtId="0" fontId="6" fillId="0" borderId="0" xfId="9" applyFont="1"/>
    <xf numFmtId="3" fontId="3" fillId="0" borderId="0" xfId="9" applyNumberFormat="1" applyFill="1"/>
    <xf numFmtId="3" fontId="3" fillId="0" borderId="0" xfId="9" applyNumberFormat="1" applyFont="1" applyFill="1"/>
    <xf numFmtId="3" fontId="6" fillId="0" borderId="0" xfId="9" applyNumberFormat="1" applyFont="1" applyFill="1"/>
    <xf numFmtId="0" fontId="3" fillId="0" borderId="2" xfId="9" applyFont="1" applyBorder="1"/>
    <xf numFmtId="0" fontId="3" fillId="0" borderId="2" xfId="9" applyBorder="1"/>
    <xf numFmtId="3" fontId="3" fillId="0" borderId="2" xfId="9" applyNumberFormat="1" applyFill="1" applyBorder="1"/>
    <xf numFmtId="0" fontId="4" fillId="0" borderId="14" xfId="9" applyFont="1" applyBorder="1" applyAlignment="1">
      <alignment wrapText="1"/>
    </xf>
    <xf numFmtId="0" fontId="3" fillId="0" borderId="14" xfId="9" applyBorder="1"/>
    <xf numFmtId="3" fontId="3" fillId="0" borderId="14" xfId="9" applyNumberFormat="1" applyBorder="1"/>
    <xf numFmtId="3" fontId="3" fillId="0" borderId="2" xfId="9" applyNumberFormat="1" applyBorder="1"/>
    <xf numFmtId="37" fontId="10" fillId="0" borderId="15" xfId="4" applyFont="1" applyFill="1" applyBorder="1" applyAlignment="1">
      <alignment wrapText="1"/>
    </xf>
    <xf numFmtId="9" fontId="10" fillId="3" borderId="15" xfId="10" applyFont="1" applyFill="1" applyBorder="1" applyAlignment="1">
      <alignment horizontal="center" wrapText="1"/>
    </xf>
    <xf numFmtId="37" fontId="10" fillId="0" borderId="15" xfId="4" applyFont="1" applyBorder="1"/>
    <xf numFmtId="37" fontId="10" fillId="0" borderId="0" xfId="4" applyFont="1" applyBorder="1"/>
    <xf numFmtId="9" fontId="3" fillId="0" borderId="0" xfId="9" applyNumberFormat="1"/>
    <xf numFmtId="0" fontId="3" fillId="3" borderId="16" xfId="9" applyFill="1" applyBorder="1"/>
    <xf numFmtId="1" fontId="3" fillId="3" borderId="16" xfId="10" applyNumberFormat="1" applyFill="1" applyBorder="1"/>
    <xf numFmtId="9" fontId="3" fillId="3" borderId="16" xfId="9" applyNumberFormat="1" applyFill="1" applyBorder="1"/>
    <xf numFmtId="0" fontId="3" fillId="3" borderId="17" xfId="9" applyFont="1" applyFill="1" applyBorder="1"/>
    <xf numFmtId="9" fontId="3" fillId="3" borderId="18" xfId="9" applyNumberFormat="1" applyFill="1" applyBorder="1"/>
    <xf numFmtId="0" fontId="35" fillId="3" borderId="17" xfId="9" applyFont="1" applyFill="1" applyBorder="1"/>
    <xf numFmtId="0" fontId="4" fillId="0" borderId="19" xfId="9" applyFont="1" applyBorder="1"/>
    <xf numFmtId="0" fontId="3" fillId="0" borderId="19" xfId="9" applyBorder="1"/>
    <xf numFmtId="3" fontId="3" fillId="0" borderId="19" xfId="9" applyNumberFormat="1" applyBorder="1"/>
    <xf numFmtId="0" fontId="0" fillId="3" borderId="20" xfId="0" applyFill="1" applyBorder="1"/>
    <xf numFmtId="0" fontId="4" fillId="3" borderId="21" xfId="0" applyFont="1" applyFill="1" applyBorder="1"/>
    <xf numFmtId="2" fontId="0" fillId="3" borderId="20" xfId="0" applyNumberFormat="1" applyFill="1" applyBorder="1"/>
    <xf numFmtId="2" fontId="4" fillId="3" borderId="20" xfId="0" applyNumberFormat="1" applyFont="1" applyFill="1" applyBorder="1"/>
    <xf numFmtId="0" fontId="0" fillId="0" borderId="20" xfId="0" applyFill="1" applyBorder="1"/>
    <xf numFmtId="0" fontId="4" fillId="0" borderId="21" xfId="0" applyFont="1" applyFill="1" applyBorder="1"/>
    <xf numFmtId="2" fontId="0" fillId="0" borderId="20" xfId="0" applyNumberFormat="1" applyFill="1" applyBorder="1"/>
    <xf numFmtId="9" fontId="3" fillId="0" borderId="0" xfId="9" applyNumberFormat="1" applyFill="1" applyBorder="1"/>
    <xf numFmtId="171" fontId="3" fillId="0" borderId="0" xfId="9" applyNumberFormat="1"/>
    <xf numFmtId="0" fontId="34" fillId="3" borderId="22" xfId="0" applyFont="1" applyFill="1" applyBorder="1"/>
    <xf numFmtId="0" fontId="33" fillId="3" borderId="15" xfId="0" applyFont="1" applyFill="1" applyBorder="1"/>
    <xf numFmtId="2" fontId="34" fillId="3" borderId="15" xfId="0" applyNumberFormat="1" applyFont="1" applyFill="1" applyBorder="1"/>
    <xf numFmtId="2" fontId="33" fillId="3" borderId="15" xfId="0" applyNumberFormat="1" applyFont="1" applyFill="1" applyBorder="1"/>
    <xf numFmtId="0" fontId="0" fillId="0" borderId="22" xfId="0" applyBorder="1"/>
    <xf numFmtId="0" fontId="0" fillId="0" borderId="15" xfId="0" applyBorder="1"/>
    <xf numFmtId="2" fontId="0" fillId="0" borderId="15" xfId="0" applyNumberFormat="1" applyBorder="1"/>
    <xf numFmtId="0" fontId="10" fillId="0" borderId="0" xfId="9" applyFont="1"/>
    <xf numFmtId="3" fontId="10" fillId="0" borderId="0" xfId="9" applyNumberFormat="1" applyFont="1"/>
    <xf numFmtId="37" fontId="39" fillId="3" borderId="23" xfId="4" applyFont="1" applyFill="1" applyBorder="1" applyAlignment="1">
      <alignment horizontal="center" wrapText="1"/>
    </xf>
    <xf numFmtId="0" fontId="39" fillId="3" borderId="23" xfId="0" applyFont="1" applyFill="1" applyBorder="1" applyAlignment="1">
      <alignment wrapText="1" shrinkToFit="1"/>
    </xf>
    <xf numFmtId="3" fontId="30" fillId="0" borderId="0" xfId="0" applyNumberFormat="1" applyFont="1"/>
    <xf numFmtId="0" fontId="40" fillId="3" borderId="20" xfId="0" applyFont="1" applyFill="1" applyBorder="1"/>
    <xf numFmtId="37" fontId="39" fillId="3" borderId="24" xfId="4" applyFont="1" applyFill="1" applyBorder="1" applyAlignment="1">
      <alignment horizontal="center" wrapText="1"/>
    </xf>
    <xf numFmtId="0" fontId="0" fillId="0" borderId="25" xfId="0" applyBorder="1"/>
    <xf numFmtId="0" fontId="4" fillId="0" borderId="26" xfId="0" applyFont="1" applyBorder="1"/>
    <xf numFmtId="3" fontId="30" fillId="0" borderId="0" xfId="0" applyNumberFormat="1" applyFont="1" applyBorder="1"/>
    <xf numFmtId="3" fontId="30" fillId="0" borderId="25" xfId="0" applyNumberFormat="1" applyFont="1" applyBorder="1"/>
    <xf numFmtId="0" fontId="10" fillId="0" borderId="26" xfId="0" applyFont="1" applyBorder="1" applyAlignment="1">
      <alignment horizontal="left" indent="1"/>
    </xf>
    <xf numFmtId="3" fontId="18" fillId="0" borderId="0" xfId="0" applyNumberFormat="1" applyFont="1" applyBorder="1"/>
    <xf numFmtId="3" fontId="18" fillId="0" borderId="25" xfId="0" applyNumberFormat="1" applyFont="1" applyBorder="1"/>
    <xf numFmtId="0" fontId="4" fillId="0" borderId="26" xfId="0" applyFont="1" applyBorder="1" applyAlignment="1">
      <alignment horizontal="left" indent="1"/>
    </xf>
    <xf numFmtId="0" fontId="4" fillId="0" borderId="26" xfId="0" applyFont="1" applyBorder="1" applyAlignment="1">
      <alignment horizontal="left"/>
    </xf>
    <xf numFmtId="0" fontId="11" fillId="3" borderId="27" xfId="0" applyFont="1" applyFill="1" applyBorder="1"/>
    <xf numFmtId="3" fontId="11" fillId="3" borderId="10" xfId="0" applyNumberFormat="1" applyFont="1" applyFill="1" applyBorder="1"/>
    <xf numFmtId="3" fontId="11" fillId="3" borderId="28" xfId="0" applyNumberFormat="1" applyFont="1" applyFill="1" applyBorder="1"/>
    <xf numFmtId="0" fontId="13" fillId="0" borderId="0" xfId="0" applyFont="1" applyAlignment="1">
      <alignment horizontal="center"/>
    </xf>
    <xf numFmtId="9" fontId="0" fillId="0" borderId="0" xfId="0" applyNumberFormat="1"/>
    <xf numFmtId="0" fontId="35" fillId="0" borderId="0" xfId="0" applyFont="1" applyFill="1" applyBorder="1" applyAlignment="1">
      <alignment horizontal="center"/>
    </xf>
    <xf numFmtId="0" fontId="10" fillId="0" borderId="0" xfId="0" applyFont="1" applyFill="1" applyBorder="1" applyAlignment="1">
      <alignment horizontal="center"/>
    </xf>
    <xf numFmtId="0" fontId="3" fillId="0" borderId="0" xfId="0" applyFont="1" applyFill="1" applyBorder="1" applyAlignment="1">
      <alignment horizontal="center"/>
    </xf>
    <xf numFmtId="0" fontId="3" fillId="3" borderId="29" xfId="0" applyFont="1" applyFill="1" applyBorder="1" applyAlignment="1">
      <alignment horizontal="center"/>
    </xf>
    <xf numFmtId="0" fontId="35" fillId="0" borderId="23" xfId="0" applyFont="1" applyFill="1" applyBorder="1" applyAlignment="1">
      <alignment horizontal="center"/>
    </xf>
    <xf numFmtId="9" fontId="3" fillId="3" borderId="30" xfId="0" applyNumberFormat="1" applyFont="1" applyFill="1" applyBorder="1" applyAlignment="1">
      <alignment horizontal="center"/>
    </xf>
    <xf numFmtId="0" fontId="10" fillId="3" borderId="17" xfId="0" applyFont="1" applyFill="1" applyBorder="1" applyAlignment="1">
      <alignment horizontal="center"/>
    </xf>
    <xf numFmtId="0" fontId="3" fillId="3" borderId="18" xfId="0" applyFont="1" applyFill="1" applyBorder="1" applyAlignment="1">
      <alignment horizontal="center"/>
    </xf>
    <xf numFmtId="0" fontId="13" fillId="4" borderId="31" xfId="0" applyFont="1" applyFill="1" applyBorder="1"/>
    <xf numFmtId="0" fontId="0" fillId="4" borderId="32" xfId="0" applyFill="1" applyBorder="1"/>
    <xf numFmtId="0" fontId="0" fillId="4" borderId="33" xfId="0" applyFill="1" applyBorder="1"/>
    <xf numFmtId="0" fontId="0" fillId="4" borderId="4" xfId="0" applyFill="1" applyBorder="1"/>
    <xf numFmtId="0" fontId="0" fillId="4" borderId="0" xfId="0" applyFill="1" applyBorder="1"/>
    <xf numFmtId="0" fontId="0" fillId="4" borderId="34" xfId="0" applyFill="1" applyBorder="1"/>
    <xf numFmtId="0" fontId="0" fillId="4" borderId="35" xfId="0" applyFill="1" applyBorder="1"/>
    <xf numFmtId="0" fontId="0" fillId="4" borderId="23" xfId="0" applyFill="1" applyBorder="1"/>
    <xf numFmtId="0" fontId="0" fillId="4" borderId="36" xfId="0" applyFill="1" applyBorder="1"/>
    <xf numFmtId="9" fontId="3" fillId="3" borderId="20" xfId="9" applyNumberFormat="1" applyFill="1" applyBorder="1"/>
    <xf numFmtId="0" fontId="3" fillId="3" borderId="30" xfId="9" applyFill="1" applyBorder="1"/>
    <xf numFmtId="10" fontId="3" fillId="3" borderId="37" xfId="9" applyNumberFormat="1" applyFill="1" applyBorder="1"/>
    <xf numFmtId="0" fontId="31" fillId="0" borderId="0" xfId="9" applyFont="1"/>
    <xf numFmtId="0" fontId="0" fillId="0" borderId="0" xfId="0" applyAlignment="1">
      <alignment vertical="center" wrapText="1"/>
    </xf>
    <xf numFmtId="0" fontId="41" fillId="0" borderId="0" xfId="0" applyFont="1" applyAlignment="1">
      <alignment horizontal="right" vertical="center" wrapText="1"/>
    </xf>
    <xf numFmtId="0" fontId="55" fillId="0" borderId="0" xfId="0" applyFont="1" applyBorder="1" applyAlignment="1">
      <alignment wrapText="1"/>
    </xf>
    <xf numFmtId="0" fontId="42" fillId="0" borderId="0" xfId="0" applyFont="1" applyAlignment="1">
      <alignment vertical="center" wrapText="1"/>
    </xf>
    <xf numFmtId="0" fontId="12" fillId="0" borderId="0" xfId="0" applyFont="1" applyAlignment="1">
      <alignment vertical="center" wrapText="1"/>
    </xf>
    <xf numFmtId="0" fontId="4" fillId="0" borderId="0" xfId="0" applyFont="1" applyAlignment="1">
      <alignment vertical="center" wrapText="1"/>
    </xf>
    <xf numFmtId="0" fontId="41" fillId="0" borderId="0" xfId="0" applyFont="1" applyAlignment="1">
      <alignment horizontal="right" vertical="center"/>
    </xf>
    <xf numFmtId="0" fontId="44" fillId="0" borderId="42"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45" fillId="0" borderId="30" xfId="0" applyFont="1" applyBorder="1" applyAlignment="1">
      <alignment horizontal="center" vertical="center" wrapText="1"/>
    </xf>
    <xf numFmtId="0" fontId="0" fillId="0" borderId="44" xfId="0" applyFill="1" applyBorder="1" applyAlignment="1">
      <alignment vertical="center"/>
    </xf>
    <xf numFmtId="0" fontId="0" fillId="0" borderId="0" xfId="0" applyBorder="1" applyAlignment="1">
      <alignment vertical="center" wrapText="1"/>
    </xf>
    <xf numFmtId="9" fontId="44" fillId="3" borderId="4" xfId="0" applyNumberFormat="1" applyFont="1" applyFill="1" applyBorder="1" applyAlignment="1">
      <alignment horizontal="center" vertical="center"/>
    </xf>
    <xf numFmtId="9" fontId="0" fillId="0" borderId="44" xfId="0" applyNumberFormat="1" applyBorder="1" applyAlignment="1">
      <alignment horizontal="center" vertical="center"/>
    </xf>
    <xf numFmtId="0" fontId="0" fillId="0" borderId="34" xfId="0" applyBorder="1" applyAlignment="1">
      <alignment horizontal="center" vertical="center"/>
    </xf>
    <xf numFmtId="9" fontId="10" fillId="5" borderId="44" xfId="0" applyNumberFormat="1" applyFont="1" applyFill="1" applyBorder="1" applyAlignment="1">
      <alignment horizontal="center" vertical="center"/>
    </xf>
    <xf numFmtId="0" fontId="46" fillId="0" borderId="29" xfId="0" applyFont="1" applyFill="1" applyBorder="1" applyAlignment="1">
      <alignment horizontal="center" vertical="center" wrapText="1"/>
    </xf>
    <xf numFmtId="0" fontId="0" fillId="0" borderId="29" xfId="0" applyFill="1" applyBorder="1" applyAlignment="1">
      <alignment vertical="center"/>
    </xf>
    <xf numFmtId="0" fontId="0" fillId="0" borderId="23" xfId="0" applyBorder="1" applyAlignment="1">
      <alignment vertical="center" wrapText="1"/>
    </xf>
    <xf numFmtId="9" fontId="44" fillId="3" borderId="35" xfId="0" applyNumberFormat="1" applyFont="1" applyFill="1" applyBorder="1" applyAlignment="1">
      <alignment horizontal="center" vertical="center"/>
    </xf>
    <xf numFmtId="9" fontId="0" fillId="0" borderId="29" xfId="0" applyNumberFormat="1" applyBorder="1" applyAlignment="1">
      <alignment horizontal="center" vertical="center"/>
    </xf>
    <xf numFmtId="0" fontId="0" fillId="0" borderId="36" xfId="0" applyBorder="1" applyAlignment="1">
      <alignment horizontal="center" vertical="center"/>
    </xf>
    <xf numFmtId="9" fontId="10" fillId="5" borderId="29" xfId="0" applyNumberFormat="1" applyFont="1" applyFill="1" applyBorder="1" applyAlignment="1">
      <alignment horizontal="center" vertical="center"/>
    </xf>
    <xf numFmtId="0" fontId="47" fillId="0" borderId="0" xfId="0" applyFont="1" applyAlignment="1">
      <alignment horizontal="center" vertical="center"/>
    </xf>
    <xf numFmtId="0" fontId="4" fillId="0" borderId="20" xfId="0" applyFont="1" applyFill="1" applyBorder="1" applyAlignment="1">
      <alignment vertical="center" wrapText="1"/>
    </xf>
    <xf numFmtId="0" fontId="4" fillId="0" borderId="32" xfId="0" applyFont="1" applyFill="1" applyBorder="1" applyAlignment="1">
      <alignment vertical="center" wrapText="1"/>
    </xf>
    <xf numFmtId="0" fontId="0" fillId="0" borderId="31" xfId="0" applyBorder="1" applyAlignment="1">
      <alignment vertical="center"/>
    </xf>
    <xf numFmtId="9" fontId="44" fillId="3" borderId="30" xfId="10" applyNumberFormat="1" applyFont="1" applyFill="1" applyBorder="1" applyAlignment="1">
      <alignment horizontal="center" vertical="center"/>
    </xf>
    <xf numFmtId="9" fontId="3" fillId="0" borderId="32" xfId="10" applyNumberFormat="1" applyBorder="1" applyAlignment="1">
      <alignment horizontal="center" vertical="center"/>
    </xf>
    <xf numFmtId="1" fontId="3" fillId="0" borderId="31" xfId="6" applyNumberFormat="1" applyFont="1" applyBorder="1" applyAlignment="1">
      <alignment horizontal="center" vertical="center"/>
    </xf>
    <xf numFmtId="9" fontId="10" fillId="5" borderId="30" xfId="10" applyNumberFormat="1" applyFont="1" applyFill="1" applyBorder="1" applyAlignment="1">
      <alignment horizontal="center" vertical="center"/>
    </xf>
    <xf numFmtId="0" fontId="4" fillId="0" borderId="16" xfId="0" applyFont="1" applyBorder="1" applyAlignment="1">
      <alignment horizontal="left" vertical="center"/>
    </xf>
    <xf numFmtId="0" fontId="0" fillId="0" borderId="4" xfId="0" applyBorder="1" applyAlignment="1">
      <alignment vertical="center"/>
    </xf>
    <xf numFmtId="9" fontId="44" fillId="3" borderId="44" xfId="10" applyNumberFormat="1" applyFont="1" applyFill="1" applyBorder="1" applyAlignment="1">
      <alignment horizontal="center" vertical="center"/>
    </xf>
    <xf numFmtId="9" fontId="3" fillId="0" borderId="0" xfId="10" applyNumberFormat="1" applyBorder="1" applyAlignment="1">
      <alignment horizontal="center" vertical="center"/>
    </xf>
    <xf numFmtId="1" fontId="3" fillId="0" borderId="4" xfId="6" applyNumberFormat="1" applyFont="1" applyBorder="1" applyAlignment="1">
      <alignment horizontal="center" vertical="center"/>
    </xf>
    <xf numFmtId="9" fontId="10" fillId="5" borderId="44" xfId="10" applyNumberFormat="1" applyFont="1" applyFill="1" applyBorder="1" applyAlignment="1">
      <alignment horizontal="center" vertical="center"/>
    </xf>
    <xf numFmtId="0" fontId="49" fillId="0" borderId="44" xfId="2" applyFont="1" applyBorder="1" applyAlignment="1" applyProtection="1">
      <alignment vertical="center"/>
    </xf>
    <xf numFmtId="9" fontId="44" fillId="3" borderId="44" xfId="10" applyFont="1" applyFill="1" applyBorder="1" applyAlignment="1">
      <alignment horizontal="center" vertical="center"/>
    </xf>
    <xf numFmtId="9" fontId="3" fillId="0" borderId="0" xfId="10" applyBorder="1" applyAlignment="1">
      <alignment horizontal="center" vertical="center"/>
    </xf>
    <xf numFmtId="0" fontId="3" fillId="0" borderId="4" xfId="6" applyFont="1" applyBorder="1" applyAlignment="1">
      <alignment horizontal="center" vertical="center"/>
    </xf>
    <xf numFmtId="0" fontId="49" fillId="0" borderId="29" xfId="2" applyFont="1" applyBorder="1" applyAlignment="1" applyProtection="1">
      <alignment vertical="center"/>
    </xf>
    <xf numFmtId="0" fontId="0" fillId="0" borderId="35" xfId="0" applyBorder="1" applyAlignment="1">
      <alignment vertical="center"/>
    </xf>
    <xf numFmtId="9" fontId="44" fillId="3" borderId="29" xfId="10" applyNumberFormat="1" applyFont="1" applyFill="1" applyBorder="1" applyAlignment="1">
      <alignment horizontal="center" vertical="center"/>
    </xf>
    <xf numFmtId="9" fontId="3" fillId="0" borderId="23" xfId="10" applyNumberFormat="1" applyBorder="1" applyAlignment="1">
      <alignment horizontal="center" vertical="center"/>
    </xf>
    <xf numFmtId="9" fontId="3" fillId="0" borderId="35" xfId="6" applyNumberFormat="1" applyFont="1" applyBorder="1" applyAlignment="1">
      <alignment horizontal="center" vertical="center"/>
    </xf>
    <xf numFmtId="9" fontId="10" fillId="5" borderId="29" xfId="10" applyNumberFormat="1" applyFont="1" applyFill="1" applyBorder="1" applyAlignment="1">
      <alignment horizontal="center" vertical="center"/>
    </xf>
    <xf numFmtId="0" fontId="51" fillId="0" borderId="0" xfId="0" applyFont="1" applyFill="1" applyAlignment="1">
      <alignment vertical="center" wrapText="1"/>
    </xf>
    <xf numFmtId="0" fontId="4" fillId="0" borderId="0" xfId="0" applyFont="1" applyFill="1" applyAlignment="1">
      <alignment horizontal="left" vertical="center" wrapText="1"/>
    </xf>
    <xf numFmtId="0" fontId="4" fillId="0" borderId="0" xfId="0" applyFont="1" applyAlignment="1">
      <alignment horizontal="right" vertical="center"/>
    </xf>
    <xf numFmtId="167" fontId="52" fillId="6" borderId="16" xfId="10" applyNumberFormat="1" applyFont="1" applyFill="1" applyBorder="1" applyAlignment="1">
      <alignment horizontal="center" vertical="center" wrapText="1"/>
    </xf>
    <xf numFmtId="0" fontId="3" fillId="4" borderId="0" xfId="9" applyFill="1"/>
    <xf numFmtId="0" fontId="0" fillId="5" borderId="0" xfId="0" applyFill="1" applyBorder="1"/>
    <xf numFmtId="0" fontId="13" fillId="3" borderId="17" xfId="0" applyFont="1" applyFill="1" applyBorder="1"/>
    <xf numFmtId="0" fontId="13" fillId="3" borderId="17" xfId="0" applyFont="1" applyFill="1" applyBorder="1" applyAlignment="1">
      <alignment horizontal="left"/>
    </xf>
    <xf numFmtId="0" fontId="55" fillId="0" borderId="0" xfId="0" applyFont="1"/>
    <xf numFmtId="0" fontId="55" fillId="5" borderId="20" xfId="0" applyFont="1" applyFill="1" applyBorder="1"/>
    <xf numFmtId="0" fontId="55" fillId="0" borderId="4" xfId="0" applyFont="1" applyBorder="1"/>
    <xf numFmtId="0" fontId="55" fillId="0" borderId="0" xfId="0" applyFont="1" applyBorder="1"/>
    <xf numFmtId="0" fontId="35" fillId="0" borderId="0" xfId="0" applyFont="1" applyBorder="1" applyAlignment="1">
      <alignment horizontal="center"/>
    </xf>
    <xf numFmtId="0" fontId="35" fillId="0" borderId="34" xfId="0" applyFont="1" applyBorder="1" applyAlignment="1">
      <alignment horizontal="center"/>
    </xf>
    <xf numFmtId="0" fontId="55" fillId="3" borderId="20" xfId="0" applyFont="1" applyFill="1" applyBorder="1"/>
    <xf numFmtId="0" fontId="55" fillId="3" borderId="23" xfId="0" applyFont="1" applyFill="1" applyBorder="1"/>
    <xf numFmtId="0" fontId="55" fillId="3" borderId="16" xfId="0" applyFont="1" applyFill="1" applyBorder="1"/>
    <xf numFmtId="0" fontId="35" fillId="3" borderId="23" xfId="0" applyFont="1" applyFill="1" applyBorder="1" applyAlignment="1">
      <alignment horizontal="center"/>
    </xf>
    <xf numFmtId="0" fontId="35" fillId="3" borderId="36" xfId="0" applyFont="1" applyFill="1" applyBorder="1" applyAlignment="1">
      <alignment horizontal="center"/>
    </xf>
    <xf numFmtId="0" fontId="55" fillId="0" borderId="31" xfId="0" applyFont="1" applyBorder="1"/>
    <xf numFmtId="0" fontId="55" fillId="0" borderId="32" xfId="0" applyFont="1" applyBorder="1"/>
    <xf numFmtId="0" fontId="55" fillId="0" borderId="30" xfId="0" applyFont="1" applyBorder="1"/>
    <xf numFmtId="0" fontId="35" fillId="0" borderId="32" xfId="0" applyFont="1" applyBorder="1" applyAlignment="1">
      <alignment horizontal="center"/>
    </xf>
    <xf numFmtId="0" fontId="35" fillId="0" borderId="33" xfId="0" applyFont="1" applyBorder="1" applyAlignment="1">
      <alignment horizontal="center"/>
    </xf>
    <xf numFmtId="0" fontId="56" fillId="0" borderId="4" xfId="0" applyFont="1" applyBorder="1"/>
    <xf numFmtId="0" fontId="57" fillId="0" borderId="0" xfId="0" applyFont="1" applyBorder="1"/>
    <xf numFmtId="0" fontId="57" fillId="0" borderId="44" xfId="0" applyFont="1" applyBorder="1"/>
    <xf numFmtId="9" fontId="55" fillId="0" borderId="44" xfId="0" applyNumberFormat="1" applyFont="1" applyBorder="1"/>
    <xf numFmtId="0" fontId="55" fillId="0" borderId="34" xfId="0" applyFont="1" applyBorder="1" applyAlignment="1">
      <alignment wrapText="1"/>
    </xf>
    <xf numFmtId="0" fontId="55" fillId="0" borderId="44" xfId="0" applyFont="1" applyBorder="1"/>
    <xf numFmtId="0" fontId="55" fillId="0" borderId="34" xfId="0" applyFont="1" applyBorder="1"/>
    <xf numFmtId="0" fontId="57" fillId="0" borderId="34" xfId="0" applyFont="1" applyBorder="1"/>
    <xf numFmtId="0" fontId="57" fillId="0" borderId="0" xfId="0" applyFont="1"/>
    <xf numFmtId="0" fontId="57" fillId="0" borderId="4" xfId="0" applyFont="1" applyBorder="1"/>
    <xf numFmtId="9" fontId="57" fillId="0" borderId="44" xfId="0" applyNumberFormat="1" applyFont="1" applyBorder="1"/>
    <xf numFmtId="0" fontId="57" fillId="0" borderId="0" xfId="0" applyFont="1" applyBorder="1" applyAlignment="1">
      <alignment wrapText="1"/>
    </xf>
    <xf numFmtId="0" fontId="57" fillId="0" borderId="34" xfId="0" applyFont="1" applyBorder="1" applyAlignment="1">
      <alignment wrapText="1"/>
    </xf>
    <xf numFmtId="10" fontId="57" fillId="0" borderId="44" xfId="0" applyNumberFormat="1" applyFont="1" applyBorder="1"/>
    <xf numFmtId="0" fontId="55" fillId="3" borderId="20" xfId="0" applyFont="1" applyFill="1" applyBorder="1" applyAlignment="1">
      <alignment horizontal="left"/>
    </xf>
    <xf numFmtId="0" fontId="55" fillId="3" borderId="18" xfId="0" applyFont="1" applyFill="1" applyBorder="1"/>
    <xf numFmtId="0" fontId="55" fillId="0" borderId="4" xfId="0" applyFont="1" applyBorder="1" applyAlignment="1">
      <alignment horizontal="left"/>
    </xf>
    <xf numFmtId="0" fontId="55" fillId="0" borderId="0" xfId="0" applyFont="1" applyBorder="1" applyAlignment="1">
      <alignment horizontal="left"/>
    </xf>
    <xf numFmtId="167" fontId="55" fillId="0" borderId="44" xfId="0" applyNumberFormat="1" applyFont="1" applyBorder="1"/>
    <xf numFmtId="0" fontId="55" fillId="0" borderId="29" xfId="0" applyFont="1" applyBorder="1"/>
    <xf numFmtId="0" fontId="55" fillId="0" borderId="23" xfId="0" applyFont="1" applyBorder="1"/>
    <xf numFmtId="0" fontId="55" fillId="0" borderId="36" xfId="0" applyFont="1" applyBorder="1"/>
    <xf numFmtId="0" fontId="11" fillId="0" borderId="45" xfId="0" applyFont="1" applyBorder="1" applyAlignment="1">
      <alignment wrapText="1"/>
    </xf>
    <xf numFmtId="0" fontId="32" fillId="5" borderId="29" xfId="0" applyFont="1" applyFill="1" applyBorder="1" applyAlignment="1">
      <alignment horizontal="center"/>
    </xf>
    <xf numFmtId="0" fontId="9" fillId="5" borderId="46" xfId="0" applyFont="1" applyFill="1" applyBorder="1"/>
    <xf numFmtId="0" fontId="0" fillId="5" borderId="4" xfId="0" applyFill="1" applyBorder="1"/>
    <xf numFmtId="0" fontId="0" fillId="5" borderId="25" xfId="0" applyFill="1" applyBorder="1"/>
    <xf numFmtId="37" fontId="4" fillId="3" borderId="23" xfId="4" applyFont="1" applyFill="1" applyBorder="1" applyAlignment="1">
      <alignment horizontal="center" wrapText="1"/>
    </xf>
    <xf numFmtId="37" fontId="4" fillId="3" borderId="47" xfId="4" applyFont="1" applyFill="1" applyBorder="1" applyAlignment="1">
      <alignment horizontal="center" wrapText="1"/>
    </xf>
    <xf numFmtId="2" fontId="58" fillId="0" borderId="0" xfId="7" applyNumberFormat="1" applyFont="1" applyAlignment="1">
      <alignment horizontal="left"/>
    </xf>
    <xf numFmtId="0" fontId="59" fillId="0" borderId="0" xfId="5" applyFont="1" applyAlignment="1">
      <alignment horizontal="centerContinuous" vertical="center"/>
    </xf>
    <xf numFmtId="169" fontId="18" fillId="0" borderId="0" xfId="4" applyNumberFormat="1" applyFont="1" applyFill="1" applyBorder="1" applyAlignment="1"/>
    <xf numFmtId="0" fontId="55" fillId="0" borderId="0" xfId="0" applyFont="1" applyFill="1" applyBorder="1"/>
    <xf numFmtId="2" fontId="3" fillId="0" borderId="0" xfId="0" applyNumberFormat="1" applyFont="1"/>
    <xf numFmtId="9" fontId="60" fillId="0" borderId="44" xfId="0" applyNumberFormat="1" applyFont="1" applyBorder="1"/>
    <xf numFmtId="0" fontId="55" fillId="0" borderId="4" xfId="0" applyFont="1" applyFill="1" applyBorder="1"/>
    <xf numFmtId="0" fontId="57" fillId="0" borderId="4" xfId="0" applyFont="1" applyFill="1" applyBorder="1"/>
    <xf numFmtId="0" fontId="0" fillId="0" borderId="0" xfId="0" applyAlignment="1">
      <alignment vertical="center"/>
    </xf>
    <xf numFmtId="0" fontId="12"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0" fontId="0" fillId="0" borderId="0" xfId="0" applyAlignment="1">
      <alignment horizontal="left" vertical="center"/>
    </xf>
    <xf numFmtId="0" fontId="0" fillId="0" borderId="32" xfId="0" applyBorder="1" applyAlignment="1">
      <alignment vertical="center"/>
    </xf>
    <xf numFmtId="0" fontId="0" fillId="0" borderId="0" xfId="0" applyBorder="1" applyAlignment="1">
      <alignment vertical="center"/>
    </xf>
    <xf numFmtId="167" fontId="52" fillId="0" borderId="0" xfId="10" applyNumberFormat="1" applyFont="1" applyFill="1" applyBorder="1" applyAlignment="1">
      <alignment horizontal="center" vertical="center"/>
    </xf>
    <xf numFmtId="167" fontId="4" fillId="0" borderId="16" xfId="0" applyNumberFormat="1" applyFont="1" applyBorder="1" applyAlignment="1">
      <alignment horizontal="center" vertical="center"/>
    </xf>
    <xf numFmtId="167" fontId="4" fillId="0" borderId="0" xfId="0" applyNumberFormat="1" applyFont="1" applyBorder="1" applyAlignment="1">
      <alignment horizontal="center" vertical="center"/>
    </xf>
    <xf numFmtId="0" fontId="55" fillId="0" borderId="0" xfId="0" applyFont="1" applyFill="1"/>
    <xf numFmtId="0" fontId="56" fillId="0" borderId="4" xfId="0" applyFont="1" applyFill="1" applyBorder="1"/>
    <xf numFmtId="0" fontId="57" fillId="0" borderId="0" xfId="0" applyFont="1" applyFill="1" applyBorder="1"/>
    <xf numFmtId="0" fontId="57" fillId="0" borderId="0" xfId="0" applyFont="1" applyFill="1"/>
    <xf numFmtId="0" fontId="55" fillId="0" borderId="44" xfId="0" applyFont="1" applyFill="1" applyBorder="1" applyAlignment="1">
      <alignment vertical="center" wrapText="1"/>
    </xf>
    <xf numFmtId="0" fontId="57" fillId="0" borderId="44" xfId="0" applyFont="1" applyFill="1" applyBorder="1" applyAlignment="1">
      <alignment vertical="center" wrapText="1"/>
    </xf>
    <xf numFmtId="0" fontId="55" fillId="0" borderId="29" xfId="0" applyFont="1" applyFill="1" applyBorder="1" applyAlignment="1">
      <alignment vertical="center" wrapText="1"/>
    </xf>
    <xf numFmtId="167" fontId="3" fillId="0" borderId="44" xfId="0" applyNumberFormat="1" applyFont="1" applyBorder="1"/>
    <xf numFmtId="0" fontId="0" fillId="0" borderId="44" xfId="0" applyBorder="1" applyAlignment="1">
      <alignment vertical="center"/>
    </xf>
    <xf numFmtId="9" fontId="3" fillId="0" borderId="44" xfId="0" applyNumberFormat="1" applyFont="1" applyBorder="1"/>
    <xf numFmtId="0" fontId="55" fillId="0" borderId="0" xfId="0" applyFont="1" applyAlignment="1"/>
    <xf numFmtId="3" fontId="31" fillId="0" borderId="0" xfId="9" applyNumberFormat="1" applyFont="1"/>
    <xf numFmtId="172" fontId="3" fillId="0" borderId="0" xfId="13" applyNumberFormat="1"/>
    <xf numFmtId="0" fontId="62" fillId="8" borderId="23" xfId="14" applyFont="1" applyFill="1" applyBorder="1" applyAlignment="1">
      <alignment horizontal="center" vertical="center" wrapText="1"/>
    </xf>
    <xf numFmtId="0" fontId="63" fillId="9" borderId="16" xfId="14" applyFont="1" applyFill="1" applyBorder="1" applyAlignment="1">
      <alignment horizontal="center" vertical="center" wrapText="1"/>
    </xf>
    <xf numFmtId="0" fontId="64" fillId="10" borderId="16" xfId="14" applyFont="1" applyFill="1" applyBorder="1" applyAlignment="1">
      <alignment horizontal="center" vertical="center" wrapText="1"/>
    </xf>
    <xf numFmtId="49" fontId="64" fillId="10" borderId="16" xfId="15" applyNumberFormat="1" applyFont="1" applyFill="1" applyBorder="1" applyAlignment="1">
      <alignment horizontal="center" vertical="center" wrapText="1"/>
    </xf>
    <xf numFmtId="0" fontId="63" fillId="11" borderId="16" xfId="14" applyFont="1" applyFill="1" applyBorder="1" applyAlignment="1">
      <alignment horizontal="center" vertical="center" wrapText="1"/>
    </xf>
    <xf numFmtId="173" fontId="63" fillId="12" borderId="20" xfId="14" applyNumberFormat="1" applyFont="1" applyFill="1" applyBorder="1" applyAlignment="1">
      <alignment horizontal="center" vertical="center" wrapText="1"/>
    </xf>
    <xf numFmtId="173" fontId="63" fillId="13" borderId="32" xfId="14" applyNumberFormat="1" applyFont="1" applyFill="1" applyBorder="1" applyAlignment="1">
      <alignment horizontal="center" vertical="center" wrapText="1"/>
    </xf>
    <xf numFmtId="4" fontId="64" fillId="9" borderId="16" xfId="15" applyNumberFormat="1" applyFont="1" applyFill="1" applyBorder="1" applyAlignment="1">
      <alignment horizontal="center" vertical="center" wrapText="1"/>
    </xf>
    <xf numFmtId="0" fontId="2" fillId="0" borderId="0" xfId="14"/>
    <xf numFmtId="0" fontId="63" fillId="9" borderId="16" xfId="14" applyFont="1" applyFill="1" applyBorder="1" applyAlignment="1">
      <alignment horizontal="left" vertical="center"/>
    </xf>
    <xf numFmtId="0" fontId="63" fillId="9" borderId="35" xfId="14" applyFont="1" applyFill="1" applyBorder="1" applyAlignment="1">
      <alignment horizontal="center" vertical="center"/>
    </xf>
    <xf numFmtId="173" fontId="63" fillId="13" borderId="23" xfId="14" applyNumberFormat="1" applyFont="1" applyFill="1" applyBorder="1" applyAlignment="1">
      <alignment horizontal="center" vertical="center" wrapText="1"/>
    </xf>
    <xf numFmtId="0" fontId="65" fillId="4" borderId="16" xfId="14" applyFont="1" applyFill="1" applyBorder="1" applyAlignment="1">
      <alignment vertical="center"/>
    </xf>
    <xf numFmtId="0" fontId="65" fillId="4" borderId="16" xfId="14" applyFont="1" applyFill="1" applyBorder="1" applyAlignment="1">
      <alignment horizontal="center" vertical="center"/>
    </xf>
    <xf numFmtId="174" fontId="64" fillId="4" borderId="16" xfId="15" applyNumberFormat="1" applyFont="1" applyFill="1" applyBorder="1" applyAlignment="1">
      <alignment horizontal="center"/>
    </xf>
    <xf numFmtId="174" fontId="66" fillId="4" borderId="16" xfId="15" applyNumberFormat="1" applyFont="1" applyFill="1" applyBorder="1" applyAlignment="1">
      <alignment horizontal="center"/>
    </xf>
    <xf numFmtId="174" fontId="63" fillId="4" borderId="16" xfId="15" applyNumberFormat="1" applyFont="1" applyFill="1" applyBorder="1" applyAlignment="1">
      <alignment horizontal="center"/>
    </xf>
    <xf numFmtId="3" fontId="63" fillId="4" borderId="16" xfId="15" applyNumberFormat="1" applyFont="1" applyFill="1" applyBorder="1" applyAlignment="1">
      <alignment horizontal="center"/>
    </xf>
    <xf numFmtId="4" fontId="63" fillId="4" borderId="16" xfId="15" applyNumberFormat="1" applyFont="1" applyFill="1" applyBorder="1" applyAlignment="1">
      <alignment horizontal="center"/>
    </xf>
    <xf numFmtId="0" fontId="67" fillId="8" borderId="17" xfId="14" applyFont="1" applyFill="1" applyBorder="1" applyAlignment="1">
      <alignment vertical="center" wrapText="1"/>
    </xf>
    <xf numFmtId="0" fontId="63" fillId="8" borderId="17" xfId="14" applyFont="1" applyFill="1" applyBorder="1" applyAlignment="1">
      <alignment horizontal="center" vertical="center" wrapText="1"/>
    </xf>
    <xf numFmtId="3" fontId="63" fillId="8" borderId="16" xfId="15" applyNumberFormat="1" applyFont="1" applyFill="1" applyBorder="1" applyAlignment="1">
      <alignment horizontal="center"/>
    </xf>
    <xf numFmtId="3" fontId="66" fillId="8" borderId="16" xfId="15" applyNumberFormat="1" applyFont="1" applyFill="1" applyBorder="1" applyAlignment="1">
      <alignment horizontal="center"/>
    </xf>
    <xf numFmtId="4" fontId="63" fillId="8" borderId="16" xfId="15" applyNumberFormat="1" applyFont="1" applyFill="1" applyBorder="1" applyAlignment="1">
      <alignment horizontal="center"/>
    </xf>
    <xf numFmtId="3" fontId="63" fillId="14" borderId="17" xfId="14" applyNumberFormat="1" applyFont="1" applyFill="1" applyBorder="1" applyAlignment="1">
      <alignment vertical="center" wrapText="1"/>
    </xf>
    <xf numFmtId="3" fontId="63" fillId="14" borderId="17" xfId="14" applyNumberFormat="1" applyFont="1" applyFill="1" applyBorder="1" applyAlignment="1">
      <alignment horizontal="center" vertical="center" wrapText="1"/>
    </xf>
    <xf numFmtId="3" fontId="63" fillId="15" borderId="16" xfId="14" applyNumberFormat="1" applyFont="1" applyFill="1" applyBorder="1" applyAlignment="1">
      <alignment horizontal="right" wrapText="1"/>
    </xf>
    <xf numFmtId="3" fontId="66" fillId="15" borderId="16" xfId="14" applyNumberFormat="1" applyFont="1" applyFill="1" applyBorder="1" applyAlignment="1">
      <alignment horizontal="right" wrapText="1"/>
    </xf>
    <xf numFmtId="3" fontId="63" fillId="14" borderId="16" xfId="15" applyNumberFormat="1" applyFont="1" applyFill="1" applyBorder="1" applyAlignment="1">
      <alignment horizontal="right" wrapText="1"/>
    </xf>
    <xf numFmtId="3" fontId="65" fillId="0" borderId="17" xfId="14" quotePrefix="1" applyNumberFormat="1" applyFont="1" applyBorder="1" applyAlignment="1">
      <alignment horizontal="left" vertical="center" wrapText="1" indent="1"/>
    </xf>
    <xf numFmtId="3" fontId="65" fillId="0" borderId="17" xfId="14" applyNumberFormat="1" applyFont="1" applyBorder="1" applyAlignment="1">
      <alignment horizontal="center" vertical="center" wrapText="1"/>
    </xf>
    <xf numFmtId="3" fontId="65" fillId="0" borderId="16" xfId="14" applyNumberFormat="1" applyFont="1" applyBorder="1" applyAlignment="1">
      <alignment horizontal="right" wrapText="1"/>
    </xf>
    <xf numFmtId="3" fontId="68" fillId="0" borderId="16" xfId="14" applyNumberFormat="1" applyFont="1" applyBorder="1" applyAlignment="1">
      <alignment horizontal="right" wrapText="1"/>
    </xf>
    <xf numFmtId="3" fontId="65" fillId="16" borderId="16" xfId="15" applyNumberFormat="1" applyFont="1" applyFill="1" applyBorder="1" applyAlignment="1">
      <alignment horizontal="right" wrapText="1"/>
    </xf>
    <xf numFmtId="3" fontId="65" fillId="0" borderId="17" xfId="14" quotePrefix="1" applyNumberFormat="1" applyFont="1" applyFill="1" applyBorder="1" applyAlignment="1">
      <alignment horizontal="left" vertical="center" wrapText="1" indent="1"/>
    </xf>
    <xf numFmtId="3" fontId="65" fillId="0" borderId="16" xfId="15" applyNumberFormat="1" applyFont="1" applyFill="1" applyBorder="1" applyAlignment="1">
      <alignment horizontal="right"/>
    </xf>
    <xf numFmtId="3" fontId="68" fillId="0" borderId="16" xfId="15" applyNumberFormat="1" applyFont="1" applyFill="1" applyBorder="1" applyAlignment="1">
      <alignment horizontal="right"/>
    </xf>
    <xf numFmtId="3" fontId="65" fillId="16" borderId="16" xfId="15" applyNumberFormat="1" applyFont="1" applyFill="1" applyBorder="1" applyAlignment="1">
      <alignment horizontal="right"/>
    </xf>
    <xf numFmtId="3" fontId="65" fillId="0" borderId="16" xfId="15" applyNumberFormat="1" applyFont="1" applyBorder="1" applyAlignment="1">
      <alignment horizontal="right"/>
    </xf>
    <xf numFmtId="3" fontId="69" fillId="0" borderId="16" xfId="15" applyNumberFormat="1" applyFont="1" applyBorder="1" applyAlignment="1">
      <alignment horizontal="right"/>
    </xf>
    <xf numFmtId="3" fontId="69" fillId="0" borderId="17" xfId="14" quotePrefix="1" applyNumberFormat="1" applyFont="1" applyFill="1" applyBorder="1" applyAlignment="1">
      <alignment horizontal="left" vertical="center" wrapText="1" indent="2"/>
    </xf>
    <xf numFmtId="3" fontId="69" fillId="0" borderId="17" xfId="14" applyNumberFormat="1" applyFont="1" applyBorder="1" applyAlignment="1">
      <alignment horizontal="center" vertical="center" wrapText="1"/>
    </xf>
    <xf numFmtId="3" fontId="69" fillId="16" borderId="16" xfId="15" applyNumberFormat="1" applyFont="1" applyFill="1" applyBorder="1" applyAlignment="1">
      <alignment horizontal="right"/>
    </xf>
    <xf numFmtId="3" fontId="69" fillId="9" borderId="16" xfId="15" applyNumberFormat="1" applyFont="1" applyFill="1" applyBorder="1" applyAlignment="1">
      <alignment horizontal="right" wrapText="1"/>
    </xf>
    <xf numFmtId="3" fontId="69" fillId="0" borderId="17" xfId="14" applyNumberFormat="1" applyFont="1" applyFill="1" applyBorder="1" applyAlignment="1">
      <alignment horizontal="center" vertical="center" wrapText="1"/>
    </xf>
    <xf numFmtId="3" fontId="70" fillId="0" borderId="16" xfId="15" applyNumberFormat="1" applyFont="1" applyBorder="1" applyAlignment="1">
      <alignment horizontal="right"/>
    </xf>
    <xf numFmtId="3" fontId="65" fillId="0" borderId="17" xfId="14" applyNumberFormat="1" applyFont="1" applyFill="1" applyBorder="1" applyAlignment="1">
      <alignment horizontal="center" vertical="center" wrapText="1"/>
    </xf>
    <xf numFmtId="3" fontId="68" fillId="0" borderId="16" xfId="15" applyNumberFormat="1" applyFont="1" applyBorder="1" applyAlignment="1">
      <alignment horizontal="right"/>
    </xf>
    <xf numFmtId="3" fontId="65" fillId="17" borderId="17" xfId="14" applyNumberFormat="1" applyFont="1" applyFill="1" applyBorder="1" applyAlignment="1">
      <alignment horizontal="left" vertical="center" wrapText="1" indent="1"/>
    </xf>
    <xf numFmtId="3" fontId="65" fillId="17" borderId="17" xfId="14" applyNumberFormat="1" applyFont="1" applyFill="1" applyBorder="1" applyAlignment="1">
      <alignment horizontal="center" vertical="center" wrapText="1"/>
    </xf>
    <xf numFmtId="3" fontId="65" fillId="17" borderId="16" xfId="14" applyNumberFormat="1" applyFont="1" applyFill="1" applyBorder="1" applyAlignment="1">
      <alignment horizontal="right" wrapText="1"/>
    </xf>
    <xf numFmtId="3" fontId="68" fillId="17" borderId="16" xfId="14" applyNumberFormat="1" applyFont="1" applyFill="1" applyBorder="1" applyAlignment="1">
      <alignment horizontal="right" wrapText="1"/>
    </xf>
    <xf numFmtId="3" fontId="63" fillId="14" borderId="16" xfId="14" applyNumberFormat="1" applyFont="1" applyFill="1" applyBorder="1" applyAlignment="1">
      <alignment horizontal="right" wrapText="1"/>
    </xf>
    <xf numFmtId="3" fontId="66" fillId="14" borderId="16" xfId="14" applyNumberFormat="1" applyFont="1" applyFill="1" applyBorder="1" applyAlignment="1">
      <alignment horizontal="right" wrapText="1"/>
    </xf>
    <xf numFmtId="3" fontId="65" fillId="5" borderId="17" xfId="14" quotePrefix="1" applyNumberFormat="1" applyFont="1" applyFill="1" applyBorder="1" applyAlignment="1">
      <alignment horizontal="left" vertical="center" wrapText="1"/>
    </xf>
    <xf numFmtId="3" fontId="65" fillId="5" borderId="17" xfId="14" applyNumberFormat="1" applyFont="1" applyFill="1" applyBorder="1" applyAlignment="1">
      <alignment horizontal="center" vertical="center" wrapText="1"/>
    </xf>
    <xf numFmtId="3" fontId="65" fillId="5" borderId="16" xfId="14" applyNumberFormat="1" applyFont="1" applyFill="1" applyBorder="1" applyAlignment="1">
      <alignment horizontal="right" wrapText="1"/>
    </xf>
    <xf numFmtId="3" fontId="65" fillId="5" borderId="17" xfId="14" applyNumberFormat="1" applyFont="1" applyFill="1" applyBorder="1" applyAlignment="1">
      <alignment horizontal="left" vertical="center" wrapText="1"/>
    </xf>
    <xf numFmtId="3" fontId="65" fillId="5" borderId="16" xfId="15" applyNumberFormat="1" applyFont="1" applyFill="1" applyBorder="1" applyAlignment="1">
      <alignment horizontal="right"/>
    </xf>
    <xf numFmtId="3" fontId="69" fillId="5" borderId="16" xfId="15" applyNumberFormat="1" applyFont="1" applyFill="1" applyBorder="1" applyAlignment="1">
      <alignment horizontal="right"/>
    </xf>
    <xf numFmtId="3" fontId="69" fillId="0" borderId="17" xfId="14" quotePrefix="1" applyNumberFormat="1" applyFont="1" applyBorder="1" applyAlignment="1">
      <alignment horizontal="left" vertical="center" wrapText="1" indent="4"/>
    </xf>
    <xf numFmtId="3" fontId="69" fillId="0" borderId="17" xfId="14" applyNumberFormat="1" applyFont="1" applyFill="1" applyBorder="1" applyAlignment="1">
      <alignment horizontal="center" vertical="center"/>
    </xf>
    <xf numFmtId="3" fontId="69" fillId="9" borderId="16" xfId="15" applyNumberFormat="1" applyFont="1" applyFill="1" applyBorder="1" applyAlignment="1">
      <alignment horizontal="right"/>
    </xf>
    <xf numFmtId="3" fontId="69" fillId="0" borderId="17" xfId="14" applyNumberFormat="1" applyFont="1" applyBorder="1" applyAlignment="1">
      <alignment horizontal="center" vertical="center"/>
    </xf>
    <xf numFmtId="3" fontId="69" fillId="18" borderId="17" xfId="14" quotePrefix="1" applyNumberFormat="1" applyFont="1" applyFill="1" applyBorder="1" applyAlignment="1">
      <alignment horizontal="left" vertical="center" wrapText="1" indent="4"/>
    </xf>
    <xf numFmtId="3" fontId="69" fillId="18" borderId="17" xfId="14" applyNumberFormat="1" applyFont="1" applyFill="1" applyBorder="1" applyAlignment="1">
      <alignment horizontal="center" vertical="center"/>
    </xf>
    <xf numFmtId="3" fontId="63" fillId="14" borderId="17" xfId="14" applyNumberFormat="1" applyFont="1" applyFill="1" applyBorder="1" applyAlignment="1">
      <alignment horizontal="left" vertical="center" wrapText="1"/>
    </xf>
    <xf numFmtId="3" fontId="69" fillId="0" borderId="16" xfId="15" applyNumberFormat="1" applyFont="1" applyFill="1" applyBorder="1" applyAlignment="1">
      <alignment horizontal="right"/>
    </xf>
    <xf numFmtId="3" fontId="65" fillId="0" borderId="16" xfId="15" applyNumberFormat="1" applyFont="1" applyFill="1" applyBorder="1" applyAlignment="1">
      <alignment horizontal="left" vertical="center" wrapText="1" indent="1"/>
    </xf>
    <xf numFmtId="3" fontId="65" fillId="0" borderId="16" xfId="15" applyNumberFormat="1" applyFont="1" applyFill="1" applyBorder="1" applyAlignment="1">
      <alignment horizontal="center" vertical="center"/>
    </xf>
    <xf numFmtId="3" fontId="69" fillId="0" borderId="17" xfId="14" applyNumberFormat="1" applyFont="1" applyFill="1" applyBorder="1" applyAlignment="1">
      <alignment horizontal="left" vertical="center" wrapText="1" indent="3"/>
    </xf>
    <xf numFmtId="3" fontId="69" fillId="5" borderId="16" xfId="14" applyNumberFormat="1" applyFont="1" applyFill="1" applyBorder="1" applyAlignment="1">
      <alignment horizontal="right" wrapText="1"/>
    </xf>
    <xf numFmtId="3" fontId="65" fillId="0" borderId="17" xfId="14" quotePrefix="1" applyNumberFormat="1" applyFont="1" applyFill="1" applyBorder="1" applyAlignment="1">
      <alignment horizontal="left" vertical="center" wrapText="1"/>
    </xf>
    <xf numFmtId="3" fontId="69" fillId="0" borderId="17" xfId="14" applyNumberFormat="1" applyFont="1" applyBorder="1" applyAlignment="1">
      <alignment horizontal="left" vertical="center" wrapText="1" indent="2"/>
    </xf>
    <xf numFmtId="3" fontId="70" fillId="0" borderId="16" xfId="15" applyNumberFormat="1" applyFont="1" applyFill="1" applyBorder="1" applyAlignment="1">
      <alignment horizontal="right"/>
    </xf>
    <xf numFmtId="3" fontId="65" fillId="0" borderId="16" xfId="14" quotePrefix="1" applyNumberFormat="1" applyFont="1" applyFill="1" applyBorder="1" applyAlignment="1">
      <alignment horizontal="left" vertical="center" wrapText="1" indent="1"/>
    </xf>
    <xf numFmtId="3" fontId="65" fillId="0" borderId="16" xfId="14" quotePrefix="1" applyNumberFormat="1" applyFont="1" applyFill="1" applyBorder="1" applyAlignment="1">
      <alignment horizontal="center" vertical="center" wrapText="1"/>
    </xf>
    <xf numFmtId="3" fontId="69" fillId="0" borderId="16" xfId="14" quotePrefix="1" applyNumberFormat="1" applyFont="1" applyFill="1" applyBorder="1" applyAlignment="1">
      <alignment horizontal="left" vertical="center" wrapText="1" indent="5"/>
    </xf>
    <xf numFmtId="3" fontId="65" fillId="0" borderId="0" xfId="14" quotePrefix="1" applyNumberFormat="1" applyFont="1" applyFill="1" applyBorder="1" applyAlignment="1">
      <alignment horizontal="center" vertical="center" wrapText="1"/>
    </xf>
    <xf numFmtId="3" fontId="65" fillId="0" borderId="17" xfId="14" applyNumberFormat="1" applyFont="1" applyBorder="1" applyAlignment="1">
      <alignment horizontal="left" vertical="center" wrapText="1" indent="1"/>
    </xf>
    <xf numFmtId="3" fontId="68" fillId="0" borderId="16" xfId="14" applyNumberFormat="1" applyFont="1" applyFill="1" applyBorder="1" applyAlignment="1">
      <alignment horizontal="right" wrapText="1"/>
    </xf>
    <xf numFmtId="3" fontId="65" fillId="0" borderId="16" xfId="14" applyNumberFormat="1" applyFont="1" applyBorder="1" applyAlignment="1">
      <alignment horizontal="left" vertical="center" wrapText="1" indent="2"/>
    </xf>
    <xf numFmtId="3" fontId="65" fillId="0" borderId="16" xfId="14" applyNumberFormat="1" applyFont="1" applyBorder="1" applyAlignment="1">
      <alignment horizontal="center" vertical="center" wrapText="1"/>
    </xf>
    <xf numFmtId="3" fontId="63" fillId="19" borderId="17" xfId="15" quotePrefix="1" applyNumberFormat="1" applyFont="1" applyFill="1" applyBorder="1" applyAlignment="1">
      <alignment horizontal="left" vertical="center" wrapText="1"/>
    </xf>
    <xf numFmtId="3" fontId="63" fillId="19" borderId="17" xfId="15" quotePrefix="1" applyNumberFormat="1" applyFont="1" applyFill="1" applyBorder="1" applyAlignment="1">
      <alignment horizontal="center" vertical="center" wrapText="1"/>
    </xf>
    <xf numFmtId="3" fontId="63" fillId="19" borderId="16" xfId="15" applyNumberFormat="1" applyFont="1" applyFill="1" applyBorder="1" applyAlignment="1">
      <alignment wrapText="1"/>
    </xf>
    <xf numFmtId="3" fontId="66" fillId="19" borderId="16" xfId="15" applyNumberFormat="1" applyFont="1" applyFill="1" applyBorder="1" applyAlignment="1">
      <alignment wrapText="1"/>
    </xf>
    <xf numFmtId="3" fontId="63" fillId="19" borderId="16" xfId="15" applyNumberFormat="1" applyFont="1" applyFill="1" applyBorder="1" applyAlignment="1">
      <alignment horizontal="right" wrapText="1"/>
    </xf>
    <xf numFmtId="3" fontId="63" fillId="18" borderId="16" xfId="15" applyNumberFormat="1" applyFont="1" applyFill="1" applyBorder="1" applyAlignment="1">
      <alignment wrapText="1"/>
    </xf>
    <xf numFmtId="3" fontId="67" fillId="8" borderId="17" xfId="14" applyNumberFormat="1" applyFont="1" applyFill="1" applyBorder="1" applyAlignment="1">
      <alignment vertical="center" wrapText="1"/>
    </xf>
    <xf numFmtId="3" fontId="63" fillId="8" borderId="17" xfId="14" applyNumberFormat="1" applyFont="1" applyFill="1" applyBorder="1" applyAlignment="1">
      <alignment horizontal="center" vertical="center" wrapText="1"/>
    </xf>
    <xf numFmtId="3" fontId="63" fillId="12" borderId="17" xfId="14" applyNumberFormat="1" applyFont="1" applyFill="1" applyBorder="1" applyAlignment="1">
      <alignment horizontal="center" vertical="center" wrapText="1"/>
    </xf>
    <xf numFmtId="3" fontId="65" fillId="0" borderId="17" xfId="14" applyNumberFormat="1" applyFont="1" applyFill="1" applyBorder="1" applyAlignment="1">
      <alignment horizontal="left" vertical="center" wrapText="1" indent="1"/>
    </xf>
    <xf numFmtId="3" fontId="68" fillId="0" borderId="16" xfId="14" applyNumberFormat="1" applyFont="1" applyBorder="1"/>
    <xf numFmtId="3" fontId="68" fillId="0" borderId="17" xfId="14" applyNumberFormat="1" applyFont="1" applyFill="1" applyBorder="1" applyAlignment="1">
      <alignment horizontal="left" vertical="center" wrapText="1" indent="1"/>
    </xf>
    <xf numFmtId="3" fontId="68" fillId="0" borderId="17" xfId="14" applyNumberFormat="1" applyFont="1" applyBorder="1" applyAlignment="1">
      <alignment horizontal="center" vertical="center" wrapText="1"/>
    </xf>
    <xf numFmtId="3" fontId="65" fillId="7" borderId="17" xfId="14" applyNumberFormat="1" applyFont="1" applyFill="1" applyBorder="1" applyAlignment="1">
      <alignment horizontal="left" vertical="center" wrapText="1" indent="1"/>
    </xf>
    <xf numFmtId="3" fontId="68" fillId="0" borderId="17" xfId="14" applyNumberFormat="1" applyFont="1" applyFill="1" applyBorder="1" applyAlignment="1">
      <alignment horizontal="center" vertical="center" wrapText="1"/>
    </xf>
    <xf numFmtId="3" fontId="63" fillId="14" borderId="17" xfId="14" quotePrefix="1" applyNumberFormat="1" applyFont="1" applyFill="1" applyBorder="1" applyAlignment="1">
      <alignment horizontal="left" vertical="center" wrapText="1"/>
    </xf>
    <xf numFmtId="3" fontId="65" fillId="0" borderId="17" xfId="14" applyNumberFormat="1" applyFont="1" applyBorder="1" applyAlignment="1">
      <alignment horizontal="left" vertical="center" wrapText="1" indent="2"/>
    </xf>
    <xf numFmtId="3" fontId="63" fillId="19" borderId="17" xfId="15" quotePrefix="1" applyNumberFormat="1" applyFont="1" applyFill="1" applyBorder="1" applyAlignment="1">
      <alignment horizontal="left" vertical="center"/>
    </xf>
    <xf numFmtId="3" fontId="66" fillId="19" borderId="16" xfId="15" applyNumberFormat="1" applyFont="1" applyFill="1" applyBorder="1" applyAlignment="1">
      <alignment horizontal="right" wrapText="1"/>
    </xf>
    <xf numFmtId="3" fontId="63" fillId="8" borderId="35" xfId="14" applyNumberFormat="1" applyFont="1" applyFill="1" applyBorder="1" applyAlignment="1">
      <alignment horizontal="center" vertical="center" wrapText="1"/>
    </xf>
    <xf numFmtId="3" fontId="63" fillId="8" borderId="16" xfId="15" applyNumberFormat="1" applyFont="1" applyFill="1" applyBorder="1" applyAlignment="1">
      <alignment horizontal="right"/>
    </xf>
    <xf numFmtId="3" fontId="66" fillId="8" borderId="16" xfId="15" applyNumberFormat="1" applyFont="1" applyFill="1" applyBorder="1" applyAlignment="1">
      <alignment horizontal="right"/>
    </xf>
    <xf numFmtId="3" fontId="65" fillId="5" borderId="16" xfId="14" applyNumberFormat="1" applyFont="1" applyFill="1" applyBorder="1" applyAlignment="1">
      <alignment horizontal="left" wrapText="1"/>
    </xf>
    <xf numFmtId="3" fontId="65" fillId="5" borderId="16" xfId="14" applyNumberFormat="1" applyFont="1" applyFill="1" applyBorder="1" applyAlignment="1">
      <alignment horizontal="center" vertical="center" wrapText="1"/>
    </xf>
    <xf numFmtId="3" fontId="65" fillId="16" borderId="16" xfId="16" applyNumberFormat="1" applyFont="1" applyFill="1" applyBorder="1" applyAlignment="1">
      <alignment horizontal="right" wrapText="1"/>
    </xf>
    <xf numFmtId="3" fontId="65" fillId="16" borderId="16" xfId="15" applyNumberFormat="1" applyFont="1" applyFill="1" applyBorder="1" applyAlignment="1">
      <alignment wrapText="1"/>
    </xf>
    <xf numFmtId="3" fontId="65" fillId="0" borderId="16" xfId="14" applyNumberFormat="1" applyFont="1" applyFill="1" applyBorder="1" applyAlignment="1">
      <alignment horizontal="left" wrapText="1" indent="1"/>
    </xf>
    <xf numFmtId="3" fontId="65" fillId="0" borderId="16" xfId="14" applyNumberFormat="1" applyFont="1" applyFill="1" applyBorder="1" applyAlignment="1">
      <alignment horizontal="center" vertical="center" wrapText="1"/>
    </xf>
    <xf numFmtId="3" fontId="65" fillId="0" borderId="16" xfId="14" applyNumberFormat="1" applyFont="1" applyFill="1" applyBorder="1" applyAlignment="1">
      <alignment horizontal="left" vertical="center" wrapText="1" indent="1"/>
    </xf>
    <xf numFmtId="3" fontId="65" fillId="0" borderId="16" xfId="14" applyNumberFormat="1" applyFont="1" applyFill="1" applyBorder="1" applyAlignment="1">
      <alignment horizontal="right" wrapText="1"/>
    </xf>
    <xf numFmtId="3" fontId="65" fillId="16" borderId="16" xfId="16" applyNumberFormat="1" applyFont="1" applyFill="1" applyBorder="1" applyAlignment="1">
      <alignment horizontal="right"/>
    </xf>
    <xf numFmtId="3" fontId="63" fillId="14" borderId="17" xfId="14" applyNumberFormat="1" applyFont="1" applyFill="1" applyBorder="1" applyAlignment="1">
      <alignment horizontal="center" wrapText="1"/>
    </xf>
    <xf numFmtId="3" fontId="69" fillId="0" borderId="17" xfId="14" applyNumberFormat="1" applyFont="1" applyFill="1" applyBorder="1" applyAlignment="1">
      <alignment horizontal="left" vertical="center" wrapText="1" indent="2"/>
    </xf>
    <xf numFmtId="3" fontId="69" fillId="9" borderId="16" xfId="16" applyNumberFormat="1" applyFont="1" applyFill="1" applyBorder="1" applyAlignment="1">
      <alignment horizontal="right"/>
    </xf>
    <xf numFmtId="3" fontId="69" fillId="9" borderId="16" xfId="15" applyNumberFormat="1" applyFont="1" applyFill="1" applyBorder="1" applyAlignment="1">
      <alignment wrapText="1"/>
    </xf>
    <xf numFmtId="3" fontId="65" fillId="17" borderId="17" xfId="14" applyNumberFormat="1" applyFont="1" applyFill="1" applyBorder="1" applyAlignment="1">
      <alignment horizontal="center" wrapText="1"/>
    </xf>
    <xf numFmtId="3" fontId="65" fillId="0" borderId="16" xfId="14" applyNumberFormat="1" applyFont="1" applyFill="1" applyBorder="1" applyAlignment="1">
      <alignment vertical="center" wrapText="1"/>
    </xf>
    <xf numFmtId="3" fontId="65" fillId="20" borderId="17" xfId="14" applyNumberFormat="1" applyFont="1" applyFill="1" applyBorder="1" applyAlignment="1">
      <alignment horizontal="center" vertical="center" wrapText="1"/>
    </xf>
    <xf numFmtId="3" fontId="71" fillId="0" borderId="16" xfId="14" applyNumberFormat="1" applyFont="1" applyFill="1" applyBorder="1" applyAlignment="1">
      <alignment vertical="center" wrapText="1"/>
    </xf>
    <xf numFmtId="3" fontId="71" fillId="20" borderId="17" xfId="14" applyNumberFormat="1" applyFont="1" applyFill="1" applyBorder="1" applyAlignment="1">
      <alignment horizontal="center" vertical="center" wrapText="1"/>
    </xf>
    <xf numFmtId="3" fontId="65" fillId="21" borderId="17" xfId="14" applyNumberFormat="1" applyFont="1" applyFill="1" applyBorder="1" applyAlignment="1">
      <alignment horizontal="left" vertical="center" wrapText="1"/>
    </xf>
    <xf numFmtId="3" fontId="65" fillId="21" borderId="17" xfId="14" applyNumberFormat="1" applyFont="1" applyFill="1" applyBorder="1" applyAlignment="1">
      <alignment horizontal="center" vertical="center" wrapText="1"/>
    </xf>
    <xf numFmtId="3" fontId="65" fillId="21" borderId="16" xfId="15" applyNumberFormat="1" applyFont="1" applyFill="1" applyBorder="1" applyAlignment="1">
      <alignment horizontal="right"/>
    </xf>
    <xf numFmtId="3" fontId="68" fillId="21" borderId="16" xfId="15" applyNumberFormat="1" applyFont="1" applyFill="1" applyBorder="1" applyAlignment="1">
      <alignment horizontal="right"/>
    </xf>
    <xf numFmtId="3" fontId="65" fillId="21" borderId="16" xfId="15" applyNumberFormat="1" applyFont="1" applyFill="1" applyBorder="1" applyAlignment="1">
      <alignment horizontal="right" vertical="center"/>
    </xf>
    <xf numFmtId="3" fontId="65" fillId="0" borderId="17" xfId="14" applyNumberFormat="1" applyFont="1" applyFill="1" applyBorder="1" applyAlignment="1">
      <alignment horizontal="left" vertical="center" wrapText="1"/>
    </xf>
    <xf numFmtId="3" fontId="65" fillId="0" borderId="16" xfId="14" quotePrefix="1" applyNumberFormat="1" applyFont="1" applyBorder="1" applyAlignment="1">
      <alignment horizontal="left" vertical="center" wrapText="1" indent="1"/>
    </xf>
    <xf numFmtId="3" fontId="65" fillId="0" borderId="16" xfId="14" quotePrefix="1" applyNumberFormat="1" applyFont="1" applyBorder="1" applyAlignment="1">
      <alignment horizontal="center" vertical="center"/>
    </xf>
    <xf numFmtId="3" fontId="65" fillId="0" borderId="16" xfId="14" applyNumberFormat="1" applyFont="1" applyBorder="1" applyAlignment="1">
      <alignment horizontal="left" vertical="center" wrapText="1" indent="1"/>
    </xf>
    <xf numFmtId="3" fontId="65" fillId="16" borderId="16" xfId="15" applyNumberFormat="1" applyFont="1" applyFill="1" applyBorder="1" applyAlignment="1"/>
    <xf numFmtId="3" fontId="68" fillId="17" borderId="16" xfId="17" applyNumberFormat="1" applyFont="1" applyFill="1" applyBorder="1" applyAlignment="1">
      <alignment horizontal="right"/>
    </xf>
    <xf numFmtId="3" fontId="65" fillId="17" borderId="16" xfId="17" applyNumberFormat="1" applyFont="1" applyFill="1" applyBorder="1" applyAlignment="1">
      <alignment horizontal="right"/>
    </xf>
    <xf numFmtId="3" fontId="63" fillId="8" borderId="29" xfId="14" applyNumberFormat="1" applyFont="1" applyFill="1" applyBorder="1" applyAlignment="1">
      <alignment horizontal="right" wrapText="1"/>
    </xf>
    <xf numFmtId="3" fontId="66" fillId="8" borderId="29" xfId="14" applyNumberFormat="1" applyFont="1" applyFill="1" applyBorder="1" applyAlignment="1">
      <alignment horizontal="right" wrapText="1"/>
    </xf>
    <xf numFmtId="3" fontId="63" fillId="8" borderId="16" xfId="15" applyNumberFormat="1" applyFont="1" applyFill="1" applyBorder="1" applyAlignment="1">
      <alignment horizontal="right" wrapText="1"/>
    </xf>
    <xf numFmtId="3" fontId="65" fillId="0" borderId="17" xfId="14" applyNumberFormat="1" applyFont="1" applyFill="1" applyBorder="1" applyAlignment="1">
      <alignment horizontal="left" vertical="center" wrapText="1" indent="3"/>
    </xf>
    <xf numFmtId="3" fontId="69" fillId="20" borderId="17" xfId="14" applyNumberFormat="1" applyFont="1" applyFill="1" applyBorder="1" applyAlignment="1">
      <alignment horizontal="center" vertical="center" wrapText="1"/>
    </xf>
    <xf numFmtId="3" fontId="68" fillId="5" borderId="16" xfId="15" applyNumberFormat="1" applyFont="1" applyFill="1" applyBorder="1" applyAlignment="1">
      <alignment horizontal="right"/>
    </xf>
    <xf numFmtId="3" fontId="65" fillId="0" borderId="16" xfId="14" applyNumberFormat="1" applyFont="1" applyFill="1" applyBorder="1" applyAlignment="1">
      <alignment horizontal="left" indent="1"/>
    </xf>
    <xf numFmtId="3" fontId="65" fillId="0" borderId="16" xfId="14" applyNumberFormat="1" applyFont="1" applyBorder="1" applyAlignment="1">
      <alignment horizontal="left" wrapText="1" indent="1"/>
    </xf>
    <xf numFmtId="3" fontId="65" fillId="20" borderId="16" xfId="15" applyNumberFormat="1" applyFont="1" applyFill="1" applyBorder="1" applyAlignment="1">
      <alignment horizontal="right"/>
    </xf>
    <xf numFmtId="3" fontId="63" fillId="8" borderId="16" xfId="14" applyNumberFormat="1" applyFont="1" applyFill="1" applyBorder="1" applyAlignment="1">
      <alignment horizontal="right" wrapText="1"/>
    </xf>
    <xf numFmtId="3" fontId="66" fillId="8" borderId="16" xfId="14" applyNumberFormat="1" applyFont="1" applyFill="1" applyBorder="1" applyAlignment="1">
      <alignment horizontal="right" wrapText="1"/>
    </xf>
    <xf numFmtId="3" fontId="65" fillId="22" borderId="17" xfId="14" applyNumberFormat="1" applyFont="1" applyFill="1" applyBorder="1" applyAlignment="1">
      <alignment horizontal="center" vertical="center" wrapText="1"/>
    </xf>
    <xf numFmtId="3" fontId="69" fillId="0" borderId="17" xfId="14" applyNumberFormat="1" applyFont="1" applyBorder="1" applyAlignment="1">
      <alignment horizontal="left" vertical="center" wrapText="1" indent="3"/>
    </xf>
    <xf numFmtId="3" fontId="69" fillId="0" borderId="16" xfId="14" applyNumberFormat="1" applyFont="1" applyBorder="1" applyAlignment="1">
      <alignment horizontal="right" wrapText="1"/>
    </xf>
    <xf numFmtId="3" fontId="68" fillId="5" borderId="16" xfId="14" applyNumberFormat="1" applyFont="1" applyFill="1" applyBorder="1" applyAlignment="1">
      <alignment horizontal="right" wrapText="1"/>
    </xf>
    <xf numFmtId="3" fontId="63" fillId="14" borderId="17" xfId="15" applyNumberFormat="1" applyFont="1" applyFill="1" applyBorder="1" applyAlignment="1">
      <alignment horizontal="center" vertical="center" wrapText="1"/>
    </xf>
    <xf numFmtId="3" fontId="63" fillId="14" borderId="17" xfId="14" quotePrefix="1" applyNumberFormat="1" applyFont="1" applyFill="1" applyBorder="1" applyAlignment="1">
      <alignment horizontal="center" vertical="center" wrapText="1"/>
    </xf>
    <xf numFmtId="3" fontId="65" fillId="0" borderId="16" xfId="14" applyNumberFormat="1" applyFont="1" applyBorder="1" applyAlignment="1">
      <alignment horizontal="left" vertical="center" indent="1"/>
    </xf>
    <xf numFmtId="3" fontId="65" fillId="0" borderId="16" xfId="14" applyNumberFormat="1" applyFont="1" applyBorder="1" applyAlignment="1">
      <alignment horizontal="center" vertical="center"/>
    </xf>
    <xf numFmtId="3" fontId="65" fillId="0" borderId="17" xfId="15" applyNumberFormat="1" applyFont="1" applyFill="1" applyBorder="1" applyAlignment="1">
      <alignment horizontal="center" vertical="center" wrapText="1"/>
    </xf>
    <xf numFmtId="3" fontId="63" fillId="19" borderId="17" xfId="15" applyNumberFormat="1" applyFont="1" applyFill="1" applyBorder="1" applyAlignment="1">
      <alignment horizontal="left" vertical="center" wrapText="1"/>
    </xf>
    <xf numFmtId="3" fontId="63" fillId="19" borderId="17" xfId="15" applyNumberFormat="1" applyFont="1" applyFill="1" applyBorder="1" applyAlignment="1">
      <alignment horizontal="center" vertical="center" wrapText="1"/>
    </xf>
    <xf numFmtId="3" fontId="63" fillId="14" borderId="16" xfId="14" applyNumberFormat="1" applyFont="1" applyFill="1" applyBorder="1" applyAlignment="1">
      <alignment horizontal="left" vertical="center"/>
    </xf>
    <xf numFmtId="3" fontId="63" fillId="14" borderId="16" xfId="14" applyNumberFormat="1" applyFont="1" applyFill="1" applyBorder="1" applyAlignment="1">
      <alignment horizontal="center" vertical="center" wrapText="1"/>
    </xf>
    <xf numFmtId="3" fontId="63" fillId="14" borderId="29" xfId="14" applyNumberFormat="1" applyFont="1" applyFill="1" applyBorder="1" applyAlignment="1">
      <alignment horizontal="right" wrapText="1"/>
    </xf>
    <xf numFmtId="3" fontId="66" fillId="14" borderId="29" xfId="14" applyNumberFormat="1" applyFont="1" applyFill="1" applyBorder="1" applyAlignment="1">
      <alignment horizontal="right" wrapText="1"/>
    </xf>
    <xf numFmtId="3" fontId="63" fillId="5" borderId="16" xfId="14" applyNumberFormat="1" applyFont="1" applyFill="1" applyBorder="1" applyAlignment="1">
      <alignment horizontal="left" vertical="center" wrapText="1"/>
    </xf>
    <xf numFmtId="3" fontId="63" fillId="5" borderId="16" xfId="14" applyNumberFormat="1" applyFont="1" applyFill="1" applyBorder="1" applyAlignment="1">
      <alignment horizontal="center" vertical="center" wrapText="1"/>
    </xf>
    <xf numFmtId="3" fontId="63" fillId="5" borderId="29" xfId="14" applyNumberFormat="1" applyFont="1" applyFill="1" applyBorder="1" applyAlignment="1">
      <alignment horizontal="right" wrapText="1"/>
    </xf>
    <xf numFmtId="3" fontId="66" fillId="5" borderId="29" xfId="14" applyNumberFormat="1" applyFont="1" applyFill="1" applyBorder="1" applyAlignment="1">
      <alignment horizontal="right" wrapText="1"/>
    </xf>
    <xf numFmtId="3" fontId="63" fillId="9" borderId="16" xfId="15" applyNumberFormat="1" applyFont="1" applyFill="1" applyBorder="1" applyAlignment="1">
      <alignment horizontal="right" wrapText="1"/>
    </xf>
    <xf numFmtId="3" fontId="63" fillId="9" borderId="16" xfId="15" applyNumberFormat="1" applyFont="1" applyFill="1" applyBorder="1" applyAlignment="1">
      <alignment wrapText="1"/>
    </xf>
    <xf numFmtId="3" fontId="65" fillId="4" borderId="16" xfId="14" quotePrefix="1" applyNumberFormat="1" applyFont="1" applyFill="1" applyBorder="1" applyAlignment="1">
      <alignment horizontal="left" vertical="center" wrapText="1"/>
    </xf>
    <xf numFmtId="3" fontId="65" fillId="4" borderId="16" xfId="14" applyNumberFormat="1" applyFont="1" applyFill="1" applyBorder="1" applyAlignment="1">
      <alignment horizontal="center" vertical="center" wrapText="1"/>
    </xf>
    <xf numFmtId="3" fontId="65" fillId="4" borderId="16" xfId="15" applyNumberFormat="1" applyFont="1" applyFill="1" applyBorder="1" applyAlignment="1">
      <alignment horizontal="right"/>
    </xf>
    <xf numFmtId="3" fontId="69" fillId="4" borderId="16" xfId="15" applyNumberFormat="1" applyFont="1" applyFill="1" applyBorder="1" applyAlignment="1">
      <alignment horizontal="right"/>
    </xf>
    <xf numFmtId="3" fontId="65" fillId="4" borderId="16" xfId="14" applyNumberFormat="1" applyFont="1" applyFill="1" applyBorder="1" applyAlignment="1">
      <alignment horizontal="left" vertical="center" wrapText="1"/>
    </xf>
    <xf numFmtId="3" fontId="69" fillId="0" borderId="16" xfId="14" applyNumberFormat="1" applyFont="1" applyFill="1" applyBorder="1" applyAlignment="1">
      <alignment horizontal="left" vertical="center" wrapText="1" indent="3"/>
    </xf>
    <xf numFmtId="3" fontId="69" fillId="0" borderId="16" xfId="14" applyNumberFormat="1" applyFont="1" applyFill="1" applyBorder="1" applyAlignment="1">
      <alignment horizontal="center" vertical="center" wrapText="1"/>
    </xf>
    <xf numFmtId="3" fontId="63" fillId="5" borderId="16" xfId="14" applyNumberFormat="1" applyFont="1" applyFill="1" applyBorder="1" applyAlignment="1">
      <alignment horizontal="right" wrapText="1"/>
    </xf>
    <xf numFmtId="3" fontId="66" fillId="5" borderId="16" xfId="14" applyNumberFormat="1" applyFont="1" applyFill="1" applyBorder="1" applyAlignment="1">
      <alignment horizontal="right" wrapText="1"/>
    </xf>
    <xf numFmtId="3" fontId="63" fillId="4" borderId="16" xfId="14" applyNumberFormat="1" applyFont="1" applyFill="1" applyBorder="1" applyAlignment="1">
      <alignment horizontal="left" vertical="center" wrapText="1"/>
    </xf>
    <xf numFmtId="3" fontId="63" fillId="4" borderId="16" xfId="14" applyNumberFormat="1" applyFont="1" applyFill="1" applyBorder="1" applyAlignment="1">
      <alignment horizontal="center" vertical="center" wrapText="1"/>
    </xf>
    <xf numFmtId="3" fontId="63" fillId="4" borderId="16" xfId="14" applyNumberFormat="1" applyFont="1" applyFill="1" applyBorder="1" applyAlignment="1">
      <alignment horizontal="right" wrapText="1"/>
    </xf>
    <xf numFmtId="3" fontId="66" fillId="4" borderId="16" xfId="14" applyNumberFormat="1" applyFont="1" applyFill="1" applyBorder="1" applyAlignment="1">
      <alignment horizontal="right" wrapText="1"/>
    </xf>
    <xf numFmtId="3" fontId="63" fillId="9" borderId="16" xfId="15" applyNumberFormat="1" applyFont="1" applyFill="1" applyBorder="1" applyAlignment="1"/>
    <xf numFmtId="3" fontId="63" fillId="9" borderId="16" xfId="15" applyNumberFormat="1" applyFont="1" applyFill="1" applyBorder="1" applyAlignment="1">
      <alignment horizontal="right"/>
    </xf>
    <xf numFmtId="3" fontId="63" fillId="4" borderId="16" xfId="15" applyNumberFormat="1" applyFont="1" applyFill="1" applyBorder="1" applyAlignment="1">
      <alignment horizontal="right"/>
    </xf>
    <xf numFmtId="3" fontId="66" fillId="4" borderId="16" xfId="15" applyNumberFormat="1" applyFont="1" applyFill="1" applyBorder="1" applyAlignment="1">
      <alignment horizontal="right"/>
    </xf>
    <xf numFmtId="3" fontId="63" fillId="14" borderId="16" xfId="14" quotePrefix="1" applyNumberFormat="1" applyFont="1" applyFill="1" applyBorder="1" applyAlignment="1">
      <alignment horizontal="left" vertical="center" wrapText="1"/>
    </xf>
    <xf numFmtId="3" fontId="65" fillId="14" borderId="16" xfId="14" applyNumberFormat="1" applyFont="1" applyFill="1" applyBorder="1" applyAlignment="1">
      <alignment horizontal="center" vertical="center" wrapText="1"/>
    </xf>
    <xf numFmtId="3" fontId="63" fillId="19" borderId="16" xfId="15" quotePrefix="1" applyNumberFormat="1" applyFont="1" applyFill="1" applyBorder="1" applyAlignment="1">
      <alignment horizontal="left" vertical="center" wrapText="1"/>
    </xf>
    <xf numFmtId="3" fontId="63" fillId="19" borderId="16" xfId="15" quotePrefix="1" applyNumberFormat="1" applyFont="1" applyFill="1" applyBorder="1" applyAlignment="1">
      <alignment horizontal="center" vertical="center" wrapText="1"/>
    </xf>
    <xf numFmtId="3" fontId="63" fillId="4" borderId="16" xfId="15" applyNumberFormat="1" applyFont="1" applyFill="1" applyBorder="1" applyAlignment="1">
      <alignment horizontal="left" vertical="center" wrapText="1"/>
    </xf>
    <xf numFmtId="3" fontId="63" fillId="4" borderId="16" xfId="15" applyNumberFormat="1" applyFont="1" applyFill="1" applyBorder="1" applyAlignment="1">
      <alignment horizontal="center" vertical="center" wrapText="1"/>
    </xf>
    <xf numFmtId="3" fontId="63" fillId="4" borderId="16" xfId="15" applyNumberFormat="1" applyFont="1" applyFill="1" applyBorder="1" applyAlignment="1">
      <alignment horizontal="right" wrapText="1"/>
    </xf>
    <xf numFmtId="3" fontId="66" fillId="4" borderId="16" xfId="15" applyNumberFormat="1" applyFont="1" applyFill="1" applyBorder="1" applyAlignment="1">
      <alignment horizontal="right" wrapText="1"/>
    </xf>
    <xf numFmtId="3" fontId="2" fillId="0" borderId="0" xfId="14" applyNumberFormat="1"/>
    <xf numFmtId="0" fontId="6" fillId="0" borderId="34" xfId="0" applyFont="1" applyBorder="1"/>
    <xf numFmtId="0" fontId="6" fillId="0" borderId="0" xfId="0" applyFont="1" applyBorder="1"/>
    <xf numFmtId="0" fontId="72" fillId="0" borderId="0" xfId="0" applyFont="1" applyAlignment="1">
      <alignment horizontal="left" indent="1"/>
    </xf>
    <xf numFmtId="175" fontId="0" fillId="0" borderId="0" xfId="12" applyNumberFormat="1" applyFont="1"/>
    <xf numFmtId="43" fontId="3" fillId="0" borderId="0" xfId="9" applyNumberFormat="1"/>
    <xf numFmtId="0" fontId="3" fillId="0" borderId="0" xfId="18" applyAlignment="1">
      <alignment vertical="center" wrapText="1"/>
    </xf>
    <xf numFmtId="2" fontId="41" fillId="0" borderId="53" xfId="19" applyNumberFormat="1" applyFont="1" applyBorder="1" applyAlignment="1">
      <alignment horizontal="right" vertical="center" wrapText="1"/>
    </xf>
    <xf numFmtId="0" fontId="3" fillId="0" borderId="54" xfId="18" applyBorder="1" applyAlignment="1">
      <alignment vertical="center" wrapText="1"/>
    </xf>
    <xf numFmtId="0" fontId="3" fillId="0" borderId="55" xfId="18" applyBorder="1" applyAlignment="1">
      <alignment vertical="center" wrapText="1"/>
    </xf>
    <xf numFmtId="0" fontId="3" fillId="0" borderId="56" xfId="18" applyBorder="1" applyAlignment="1">
      <alignment vertical="center" wrapText="1"/>
    </xf>
    <xf numFmtId="0" fontId="3" fillId="0" borderId="59" xfId="18" applyBorder="1" applyAlignment="1">
      <alignment vertical="center" wrapText="1"/>
    </xf>
    <xf numFmtId="0" fontId="3" fillId="0" borderId="60" xfId="18" applyBorder="1" applyAlignment="1">
      <alignment vertical="center" wrapText="1"/>
    </xf>
    <xf numFmtId="0" fontId="3" fillId="0" borderId="61" xfId="18" applyBorder="1" applyAlignment="1">
      <alignment vertical="center" wrapText="1"/>
    </xf>
    <xf numFmtId="0" fontId="3" fillId="0" borderId="62" xfId="18" applyFont="1" applyBorder="1" applyAlignment="1">
      <alignment vertical="center" wrapText="1"/>
    </xf>
    <xf numFmtId="0" fontId="3" fillId="0" borderId="63" xfId="18" applyFont="1" applyBorder="1" applyAlignment="1">
      <alignment vertical="center" wrapText="1"/>
    </xf>
    <xf numFmtId="0" fontId="4" fillId="0" borderId="64" xfId="20" applyFont="1" applyBorder="1" applyAlignment="1">
      <alignment horizontal="left" vertical="center" wrapText="1"/>
    </xf>
    <xf numFmtId="0" fontId="74" fillId="0" borderId="65" xfId="19" applyFont="1" applyBorder="1"/>
    <xf numFmtId="0" fontId="4" fillId="0" borderId="66" xfId="19" applyFont="1" applyBorder="1"/>
    <xf numFmtId="0" fontId="3" fillId="0" borderId="59" xfId="19" applyBorder="1" applyAlignment="1">
      <alignment vertical="center" wrapText="1"/>
    </xf>
    <xf numFmtId="0" fontId="3" fillId="0" borderId="60" xfId="19" applyBorder="1" applyAlignment="1">
      <alignment vertical="center" wrapText="1"/>
    </xf>
    <xf numFmtId="0" fontId="3" fillId="0" borderId="0" xfId="19" applyAlignment="1">
      <alignment vertical="center" wrapText="1"/>
    </xf>
    <xf numFmtId="0" fontId="4" fillId="0" borderId="39" xfId="20" applyFont="1" applyBorder="1" applyAlignment="1">
      <alignment horizontal="left" vertical="center" wrapText="1"/>
    </xf>
    <xf numFmtId="14" fontId="75" fillId="18" borderId="16" xfId="20" applyNumberFormat="1" applyFont="1" applyFill="1" applyBorder="1" applyAlignment="1">
      <alignment horizontal="left" vertical="center" wrapText="1"/>
    </xf>
    <xf numFmtId="14" fontId="3" fillId="18" borderId="40" xfId="20" applyNumberFormat="1" applyFont="1" applyFill="1" applyBorder="1" applyAlignment="1">
      <alignment horizontal="left" vertical="center" wrapText="1"/>
    </xf>
    <xf numFmtId="6" fontId="75" fillId="18" borderId="16" xfId="20" applyNumberFormat="1" applyFont="1" applyFill="1" applyBorder="1" applyAlignment="1">
      <alignment horizontal="left" vertical="center" wrapText="1"/>
    </xf>
    <xf numFmtId="6" fontId="3" fillId="18" borderId="40" xfId="20" applyNumberFormat="1" applyFont="1" applyFill="1" applyBorder="1" applyAlignment="1">
      <alignment horizontal="left" vertical="center" wrapText="1"/>
    </xf>
    <xf numFmtId="0" fontId="4" fillId="0" borderId="41" xfId="19" applyFont="1" applyBorder="1" applyAlignment="1">
      <alignment vertical="center"/>
    </xf>
    <xf numFmtId="0" fontId="75" fillId="18" borderId="16" xfId="20" applyFont="1" applyFill="1" applyBorder="1" applyAlignment="1">
      <alignment horizontal="justify" vertical="center" wrapText="1"/>
    </xf>
    <xf numFmtId="0" fontId="73" fillId="18" borderId="40" xfId="20" applyFont="1" applyFill="1" applyBorder="1" applyAlignment="1">
      <alignment horizontal="justify" vertical="center" wrapText="1"/>
    </xf>
    <xf numFmtId="0" fontId="3" fillId="0" borderId="59" xfId="19" applyBorder="1" applyAlignment="1">
      <alignment horizontal="left" vertical="center" wrapText="1"/>
    </xf>
    <xf numFmtId="0" fontId="3" fillId="0" borderId="60" xfId="19" applyBorder="1" applyAlignment="1">
      <alignment horizontal="left" vertical="center" wrapText="1"/>
    </xf>
    <xf numFmtId="0" fontId="3" fillId="0" borderId="0" xfId="19" applyAlignment="1">
      <alignment horizontal="left" vertical="center" wrapText="1"/>
    </xf>
    <xf numFmtId="0" fontId="75" fillId="18" borderId="16" xfId="20" applyFont="1" applyFill="1" applyBorder="1" applyAlignment="1">
      <alignment vertical="center" wrapText="1"/>
    </xf>
    <xf numFmtId="0" fontId="73" fillId="18" borderId="40" xfId="20" applyFont="1" applyFill="1" applyBorder="1" applyAlignment="1">
      <alignment vertical="center" wrapText="1"/>
    </xf>
    <xf numFmtId="0" fontId="4" fillId="0" borderId="67" xfId="19" applyFont="1" applyBorder="1"/>
    <xf numFmtId="9" fontId="75" fillId="18" borderId="68" xfId="20" applyNumberFormat="1" applyFont="1" applyFill="1" applyBorder="1" applyAlignment="1">
      <alignment horizontal="left" vertical="center" wrapText="1"/>
    </xf>
    <xf numFmtId="0" fontId="3" fillId="18" borderId="69" xfId="20" applyFont="1" applyFill="1" applyBorder="1" applyAlignment="1">
      <alignment horizontal="left" vertical="center" wrapText="1"/>
    </xf>
    <xf numFmtId="0" fontId="3" fillId="0" borderId="63" xfId="19" applyBorder="1" applyAlignment="1">
      <alignment vertical="center" wrapText="1"/>
    </xf>
    <xf numFmtId="0" fontId="3" fillId="0" borderId="0" xfId="19" applyFont="1" applyBorder="1" applyAlignment="1">
      <alignment vertical="center" wrapText="1"/>
    </xf>
    <xf numFmtId="0" fontId="3" fillId="0" borderId="0" xfId="19" applyBorder="1" applyAlignment="1">
      <alignment vertical="center" wrapText="1"/>
    </xf>
    <xf numFmtId="0" fontId="3" fillId="0" borderId="61" xfId="19" applyBorder="1" applyAlignment="1">
      <alignment vertical="center" wrapText="1"/>
    </xf>
    <xf numFmtId="0" fontId="4" fillId="0" borderId="0" xfId="19" applyFont="1" applyBorder="1" applyAlignment="1">
      <alignment vertical="center" wrapText="1"/>
    </xf>
    <xf numFmtId="0" fontId="24" fillId="0" borderId="0" xfId="2" applyBorder="1" applyAlignment="1" applyProtection="1">
      <alignment vertical="center" wrapText="1"/>
    </xf>
    <xf numFmtId="0" fontId="3" fillId="0" borderId="0" xfId="19" applyFont="1" applyBorder="1" applyAlignment="1">
      <alignment vertical="center"/>
    </xf>
    <xf numFmtId="0" fontId="3" fillId="0" borderId="61" xfId="19" applyFont="1" applyBorder="1" applyAlignment="1">
      <alignment vertical="center" wrapText="1"/>
    </xf>
    <xf numFmtId="0" fontId="3" fillId="0" borderId="59" xfId="19" applyFont="1" applyBorder="1" applyAlignment="1">
      <alignment vertical="center" wrapText="1"/>
    </xf>
    <xf numFmtId="0" fontId="3" fillId="0" borderId="60" xfId="19" applyFont="1" applyBorder="1" applyAlignment="1">
      <alignment vertical="center" wrapText="1"/>
    </xf>
    <xf numFmtId="0" fontId="3" fillId="0" borderId="0" xfId="19" applyFont="1" applyAlignment="1">
      <alignment vertical="center" wrapText="1"/>
    </xf>
    <xf numFmtId="0" fontId="3" fillId="0" borderId="0" xfId="2" applyFont="1" applyBorder="1" applyAlignment="1" applyProtection="1">
      <alignment vertical="center"/>
    </xf>
    <xf numFmtId="0" fontId="24" fillId="0" borderId="0" xfId="2" applyBorder="1" applyAlignment="1" applyProtection="1">
      <alignment vertical="center"/>
    </xf>
    <xf numFmtId="0" fontId="0" fillId="0" borderId="0" xfId="0" applyNumberFormat="1" applyBorder="1" applyAlignment="1">
      <alignment vertical="center"/>
    </xf>
    <xf numFmtId="0" fontId="24" fillId="0" borderId="0" xfId="2" applyNumberFormat="1" applyBorder="1" applyAlignment="1" applyProtection="1">
      <alignment vertical="center"/>
    </xf>
    <xf numFmtId="0" fontId="43" fillId="0" borderId="0" xfId="0" applyFont="1" applyBorder="1" applyAlignment="1">
      <alignment vertical="center"/>
    </xf>
    <xf numFmtId="0" fontId="3" fillId="0" borderId="0" xfId="0" applyFont="1" applyAlignment="1">
      <alignment vertical="center" wrapText="1"/>
    </xf>
    <xf numFmtId="0" fontId="3" fillId="0" borderId="0" xfId="0" applyFont="1" applyBorder="1" applyAlignment="1">
      <alignment horizontal="justify" vertical="center" wrapText="1"/>
    </xf>
    <xf numFmtId="0" fontId="3" fillId="0" borderId="71" xfId="0" applyFont="1" applyBorder="1" applyAlignment="1">
      <alignment vertical="center" wrapText="1"/>
    </xf>
    <xf numFmtId="0" fontId="3" fillId="0" borderId="0" xfId="19" applyFont="1" applyFill="1" applyBorder="1" applyAlignment="1">
      <alignment vertical="center" wrapText="1"/>
    </xf>
    <xf numFmtId="0" fontId="4" fillId="0" borderId="0" xfId="19" applyFont="1" applyFill="1" applyAlignment="1">
      <alignment vertical="center" wrapText="1"/>
    </xf>
    <xf numFmtId="0" fontId="41" fillId="0" borderId="0" xfId="19" applyFont="1" applyFill="1" applyBorder="1" applyAlignment="1">
      <alignment horizontal="right" vertical="center"/>
    </xf>
    <xf numFmtId="0" fontId="3" fillId="0" borderId="0" xfId="19" applyFont="1" applyFill="1" applyBorder="1" applyAlignment="1">
      <alignment vertical="center"/>
    </xf>
    <xf numFmtId="0" fontId="3" fillId="0" borderId="0" xfId="19" applyFont="1" applyFill="1"/>
    <xf numFmtId="0" fontId="33" fillId="0" borderId="0" xfId="19" applyFont="1" applyFill="1"/>
    <xf numFmtId="0" fontId="3" fillId="0" borderId="23" xfId="19" applyFont="1" applyFill="1" applyBorder="1" applyAlignment="1">
      <alignment horizontal="center"/>
    </xf>
    <xf numFmtId="0" fontId="76" fillId="0" borderId="23" xfId="19" applyFont="1" applyFill="1" applyBorder="1" applyAlignment="1">
      <alignment horizontal="center" vertical="top" wrapText="1"/>
    </xf>
    <xf numFmtId="0" fontId="76" fillId="0" borderId="23" xfId="19" applyNumberFormat="1" applyFont="1" applyFill="1" applyBorder="1" applyAlignment="1">
      <alignment horizontal="center" vertical="top" wrapText="1"/>
    </xf>
    <xf numFmtId="43" fontId="3" fillId="0" borderId="0" xfId="19" applyNumberFormat="1" applyFont="1" applyFill="1"/>
    <xf numFmtId="0" fontId="4" fillId="0" borderId="0" xfId="19" applyFont="1" applyFill="1"/>
    <xf numFmtId="43" fontId="3" fillId="0" borderId="0" xfId="22" applyFont="1" applyFill="1"/>
    <xf numFmtId="176" fontId="3" fillId="0" borderId="0" xfId="23" applyNumberFormat="1" applyFont="1" applyFill="1"/>
    <xf numFmtId="174" fontId="3" fillId="0" borderId="0" xfId="19" applyNumberFormat="1" applyFont="1" applyFill="1"/>
    <xf numFmtId="167" fontId="3" fillId="0" borderId="0" xfId="19" applyNumberFormat="1" applyFont="1" applyFill="1"/>
    <xf numFmtId="0" fontId="1" fillId="0" borderId="0" xfId="24" applyFont="1"/>
    <xf numFmtId="43" fontId="1" fillId="0" borderId="0" xfId="24" applyNumberFormat="1"/>
    <xf numFmtId="0" fontId="1" fillId="0" borderId="0" xfId="24"/>
    <xf numFmtId="176" fontId="1" fillId="0" borderId="0" xfId="23" applyNumberFormat="1" applyFont="1"/>
    <xf numFmtId="3" fontId="1" fillId="0" borderId="0" xfId="24" applyNumberFormat="1"/>
    <xf numFmtId="0" fontId="42" fillId="0" borderId="57" xfId="0" applyFont="1" applyBorder="1" applyAlignment="1">
      <alignment horizontal="center" vertical="center" wrapText="1"/>
    </xf>
    <xf numFmtId="0" fontId="42" fillId="0" borderId="58" xfId="0" applyFont="1" applyBorder="1" applyAlignment="1">
      <alignment horizontal="center" vertical="center" wrapText="1"/>
    </xf>
    <xf numFmtId="0" fontId="42" fillId="0" borderId="55" xfId="0" applyFont="1" applyBorder="1" applyAlignment="1">
      <alignment horizontal="center" vertical="center" wrapText="1"/>
    </xf>
    <xf numFmtId="0" fontId="42" fillId="0" borderId="56" xfId="0" applyFont="1" applyBorder="1" applyAlignment="1">
      <alignment horizontal="center" vertical="center" wrapText="1"/>
    </xf>
    <xf numFmtId="0" fontId="3" fillId="0" borderId="0" xfId="21" applyFont="1" applyBorder="1" applyAlignment="1">
      <alignment horizontal="left" wrapText="1"/>
    </xf>
    <xf numFmtId="0" fontId="3" fillId="0" borderId="0" xfId="21" applyNumberFormat="1" applyFont="1" applyBorder="1" applyAlignment="1">
      <alignment horizontal="left" wrapText="1"/>
    </xf>
    <xf numFmtId="0" fontId="4" fillId="0" borderId="41" xfId="19" applyFont="1" applyBorder="1" applyAlignment="1">
      <alignment horizontal="left" vertical="center"/>
    </xf>
    <xf numFmtId="0" fontId="4" fillId="0" borderId="38" xfId="19" applyFont="1" applyBorder="1" applyAlignment="1">
      <alignment horizontal="left" vertical="center"/>
    </xf>
    <xf numFmtId="0" fontId="4" fillId="0" borderId="70" xfId="19" applyFont="1" applyBorder="1" applyAlignment="1">
      <alignment horizontal="left" vertical="center"/>
    </xf>
    <xf numFmtId="0" fontId="48" fillId="0" borderId="0" xfId="0" applyFont="1" applyBorder="1" applyAlignment="1">
      <alignment horizontal="center" vertical="center" wrapText="1"/>
    </xf>
    <xf numFmtId="0" fontId="4" fillId="0" borderId="0" xfId="0" applyFont="1" applyFill="1" applyAlignment="1">
      <alignment horizontal="left" vertical="center" wrapText="1"/>
    </xf>
    <xf numFmtId="0" fontId="42" fillId="0" borderId="0" xfId="0" applyFont="1" applyAlignment="1">
      <alignment horizontal="left" vertical="center" wrapText="1"/>
    </xf>
    <xf numFmtId="0" fontId="0" fillId="0" borderId="0" xfId="0" applyAlignment="1">
      <alignment horizontal="left" vertical="center" wrapText="1"/>
    </xf>
    <xf numFmtId="0" fontId="38" fillId="0" borderId="30" xfId="0" applyFont="1" applyFill="1" applyBorder="1" applyAlignment="1">
      <alignment horizontal="left" vertical="center"/>
    </xf>
    <xf numFmtId="0" fontId="38" fillId="0" borderId="49" xfId="0" applyFont="1" applyFill="1" applyBorder="1" applyAlignment="1">
      <alignment horizontal="left" vertical="center"/>
    </xf>
    <xf numFmtId="0" fontId="11" fillId="0" borderId="33" xfId="0" applyFont="1" applyBorder="1" applyAlignment="1">
      <alignment vertical="center"/>
    </xf>
    <xf numFmtId="0" fontId="11" fillId="0" borderId="15" xfId="0" applyFont="1" applyBorder="1" applyAlignment="1">
      <alignment vertical="center"/>
    </xf>
    <xf numFmtId="0" fontId="11" fillId="0" borderId="17" xfId="0" applyFont="1" applyBorder="1" applyAlignment="1">
      <alignment horizontal="center" vertical="center"/>
    </xf>
    <xf numFmtId="0" fontId="11" fillId="0" borderId="20" xfId="0" applyFont="1" applyBorder="1" applyAlignment="1">
      <alignment horizontal="center" vertical="center"/>
    </xf>
    <xf numFmtId="0" fontId="11" fillId="0" borderId="18" xfId="0" applyFont="1" applyBorder="1" applyAlignment="1">
      <alignment horizontal="center" vertical="center"/>
    </xf>
    <xf numFmtId="0" fontId="42" fillId="0" borderId="57" xfId="18" applyFont="1" applyBorder="1" applyAlignment="1">
      <alignment horizontal="center" vertical="center" wrapText="1"/>
    </xf>
    <xf numFmtId="0" fontId="42" fillId="0" borderId="58" xfId="18" applyFont="1" applyBorder="1" applyAlignment="1">
      <alignment horizontal="center" vertical="center" wrapText="1"/>
    </xf>
    <xf numFmtId="0" fontId="42" fillId="0" borderId="55" xfId="18" applyFont="1" applyBorder="1" applyAlignment="1">
      <alignment horizontal="center" vertical="center" wrapText="1"/>
    </xf>
    <xf numFmtId="0" fontId="42" fillId="0" borderId="56" xfId="18" applyFont="1" applyBorder="1" applyAlignment="1">
      <alignment horizontal="center" vertical="center" wrapText="1"/>
    </xf>
    <xf numFmtId="0" fontId="53" fillId="4" borderId="0" xfId="9" applyFont="1" applyFill="1" applyAlignment="1">
      <alignment horizontal="center"/>
    </xf>
    <xf numFmtId="0" fontId="3" fillId="0" borderId="0" xfId="9" applyFont="1" applyAlignment="1">
      <alignment wrapText="1"/>
    </xf>
    <xf numFmtId="0" fontId="0" fillId="0" borderId="0" xfId="0" applyAlignment="1">
      <alignment wrapText="1"/>
    </xf>
    <xf numFmtId="3" fontId="64" fillId="9" borderId="16" xfId="15" applyNumberFormat="1" applyFont="1" applyFill="1" applyBorder="1" applyAlignment="1">
      <alignment horizontal="center" vertical="center" wrapText="1"/>
    </xf>
    <xf numFmtId="0" fontId="4" fillId="0" borderId="20" xfId="0" applyFont="1" applyFill="1" applyBorder="1" applyAlignment="1">
      <alignment horizontal="left" vertical="center" wrapText="1"/>
    </xf>
    <xf numFmtId="0" fontId="57" fillId="0" borderId="0" xfId="0" applyFont="1" applyBorder="1" applyAlignment="1">
      <alignment wrapText="1"/>
    </xf>
    <xf numFmtId="0" fontId="57" fillId="0" borderId="34" xfId="0" applyFont="1" applyBorder="1" applyAlignment="1">
      <alignment wrapText="1"/>
    </xf>
    <xf numFmtId="0" fontId="55" fillId="0" borderId="0" xfId="0" applyFont="1" applyBorder="1" applyAlignment="1">
      <alignment wrapText="1"/>
    </xf>
    <xf numFmtId="0" fontId="55" fillId="0" borderId="0" xfId="0" applyFont="1" applyBorder="1" applyAlignment="1"/>
    <xf numFmtId="0" fontId="55" fillId="0" borderId="34" xfId="0" applyFont="1" applyBorder="1" applyAlignment="1"/>
    <xf numFmtId="0" fontId="55" fillId="0" borderId="0" xfId="0" applyFont="1" applyBorder="1" applyAlignment="1">
      <alignment horizontal="center" wrapText="1"/>
    </xf>
    <xf numFmtId="0" fontId="55" fillId="0" borderId="34" xfId="0" applyFont="1" applyBorder="1" applyAlignment="1">
      <alignment horizontal="center" wrapText="1"/>
    </xf>
    <xf numFmtId="0" fontId="55" fillId="0" borderId="34" xfId="0" applyFont="1" applyBorder="1" applyAlignment="1">
      <alignment wrapText="1"/>
    </xf>
    <xf numFmtId="0" fontId="55" fillId="0" borderId="2" xfId="0" applyFont="1" applyBorder="1" applyAlignment="1">
      <alignment wrapText="1"/>
    </xf>
    <xf numFmtId="0" fontId="55" fillId="0" borderId="50" xfId="0" applyFont="1" applyBorder="1" applyAlignment="1">
      <alignment wrapText="1"/>
    </xf>
    <xf numFmtId="0" fontId="13" fillId="5" borderId="17" xfId="0" applyFont="1" applyFill="1" applyBorder="1" applyAlignment="1">
      <alignment horizontal="center"/>
    </xf>
    <xf numFmtId="0" fontId="13" fillId="5" borderId="20" xfId="0" applyFont="1" applyFill="1" applyBorder="1" applyAlignment="1">
      <alignment horizontal="center"/>
    </xf>
    <xf numFmtId="0" fontId="55" fillId="7" borderId="35" xfId="0" applyFont="1" applyFill="1" applyBorder="1" applyAlignment="1">
      <alignment horizontal="center"/>
    </xf>
    <xf numFmtId="0" fontId="55" fillId="7" borderId="23" xfId="0" applyFont="1" applyFill="1" applyBorder="1" applyAlignment="1">
      <alignment horizontal="center"/>
    </xf>
    <xf numFmtId="0" fontId="55" fillId="7" borderId="18" xfId="0" applyFont="1" applyFill="1" applyBorder="1" applyAlignment="1">
      <alignment horizontal="center"/>
    </xf>
    <xf numFmtId="0" fontId="57" fillId="0" borderId="4" xfId="0" applyFont="1" applyBorder="1" applyAlignment="1">
      <alignment horizontal="left"/>
    </xf>
    <xf numFmtId="0" fontId="57" fillId="0" borderId="0" xfId="0" applyFont="1" applyBorder="1" applyAlignment="1">
      <alignment horizontal="left"/>
    </xf>
    <xf numFmtId="0" fontId="54" fillId="4" borderId="20" xfId="0" applyFont="1" applyFill="1" applyBorder="1" applyAlignment="1">
      <alignment horizontal="center"/>
    </xf>
    <xf numFmtId="0" fontId="55" fillId="0" borderId="23" xfId="0" applyFont="1" applyBorder="1" applyAlignment="1">
      <alignment wrapText="1"/>
    </xf>
    <xf numFmtId="0" fontId="55" fillId="0" borderId="36" xfId="0" applyFont="1" applyBorder="1" applyAlignment="1">
      <alignment wrapText="1"/>
    </xf>
    <xf numFmtId="0" fontId="35" fillId="5" borderId="20" xfId="0" applyFont="1" applyFill="1" applyBorder="1" applyAlignment="1">
      <alignment horizontal="center"/>
    </xf>
    <xf numFmtId="0" fontId="35" fillId="5" borderId="18" xfId="0" applyFont="1" applyFill="1" applyBorder="1" applyAlignment="1">
      <alignment horizontal="center"/>
    </xf>
    <xf numFmtId="0" fontId="57" fillId="0" borderId="35" xfId="0" applyFont="1" applyBorder="1" applyAlignment="1">
      <alignment horizontal="left"/>
    </xf>
    <xf numFmtId="0" fontId="57" fillId="0" borderId="23" xfId="0" applyFont="1" applyBorder="1" applyAlignment="1">
      <alignment horizontal="left"/>
    </xf>
    <xf numFmtId="0" fontId="55" fillId="0" borderId="31" xfId="0" applyFont="1" applyBorder="1" applyAlignment="1">
      <alignment horizontal="left"/>
    </xf>
    <xf numFmtId="0" fontId="55" fillId="0" borderId="32" xfId="0" applyFont="1" applyBorder="1" applyAlignment="1">
      <alignment horizontal="left"/>
    </xf>
    <xf numFmtId="0" fontId="55" fillId="0" borderId="4" xfId="0" applyFont="1" applyBorder="1" applyAlignment="1">
      <alignment horizontal="left"/>
    </xf>
    <xf numFmtId="0" fontId="55" fillId="0" borderId="0" xfId="0" applyFont="1" applyBorder="1" applyAlignment="1">
      <alignment horizontal="left"/>
    </xf>
    <xf numFmtId="0" fontId="36" fillId="0" borderId="35" xfId="0" applyFont="1" applyBorder="1" applyAlignment="1">
      <alignment horizontal="left"/>
    </xf>
    <xf numFmtId="0" fontId="36" fillId="0" borderId="23" xfId="0" applyFont="1" applyBorder="1" applyAlignment="1">
      <alignment horizontal="left"/>
    </xf>
    <xf numFmtId="0" fontId="11" fillId="0" borderId="0" xfId="0" applyFont="1" applyAlignment="1">
      <alignment horizontal="center"/>
    </xf>
    <xf numFmtId="0" fontId="11" fillId="0" borderId="7" xfId="0" applyFont="1" applyBorder="1" applyAlignment="1">
      <alignment horizontal="center" wrapText="1"/>
    </xf>
    <xf numFmtId="0" fontId="5" fillId="4" borderId="17" xfId="0" applyFont="1" applyFill="1" applyBorder="1" applyAlignment="1">
      <alignment horizontal="center"/>
    </xf>
    <xf numFmtId="0" fontId="5" fillId="4" borderId="20" xfId="0" applyFont="1" applyFill="1" applyBorder="1" applyAlignment="1">
      <alignment horizontal="center"/>
    </xf>
    <xf numFmtId="0" fontId="5" fillId="4" borderId="18" xfId="0" applyFont="1" applyFill="1" applyBorder="1" applyAlignment="1">
      <alignment horizontal="center"/>
    </xf>
    <xf numFmtId="0" fontId="4" fillId="0" borderId="7" xfId="0" applyFont="1" applyBorder="1" applyAlignment="1">
      <alignment horizontal="center" wrapText="1"/>
    </xf>
    <xf numFmtId="0" fontId="5" fillId="0" borderId="7" xfId="0" applyFont="1" applyBorder="1" applyAlignment="1">
      <alignment horizontal="center" wrapText="1"/>
    </xf>
    <xf numFmtId="0" fontId="9" fillId="0" borderId="48" xfId="0" applyFont="1" applyBorder="1" applyAlignment="1">
      <alignment horizontal="center"/>
    </xf>
    <xf numFmtId="0" fontId="4" fillId="0" borderId="0" xfId="0" applyFont="1" applyAlignment="1">
      <alignment horizontal="center"/>
    </xf>
    <xf numFmtId="0" fontId="4" fillId="0" borderId="48" xfId="0" applyFont="1" applyBorder="1" applyAlignment="1">
      <alignment wrapText="1"/>
    </xf>
    <xf numFmtId="0" fontId="0" fillId="0" borderId="48" xfId="0" applyBorder="1" applyAlignment="1">
      <alignment wrapText="1"/>
    </xf>
    <xf numFmtId="37" fontId="5" fillId="0" borderId="0" xfId="4" applyFont="1" applyAlignment="1">
      <alignment horizontal="center"/>
    </xf>
    <xf numFmtId="0" fontId="5" fillId="4" borderId="51" xfId="0" applyFont="1" applyFill="1" applyBorder="1" applyAlignment="1">
      <alignment horizontal="center"/>
    </xf>
    <xf numFmtId="0" fontId="5" fillId="4" borderId="9" xfId="0" applyFont="1" applyFill="1" applyBorder="1" applyAlignment="1">
      <alignment horizontal="center"/>
    </xf>
    <xf numFmtId="0" fontId="5" fillId="4" borderId="52" xfId="0" applyFont="1" applyFill="1" applyBorder="1" applyAlignment="1">
      <alignment horizontal="center"/>
    </xf>
    <xf numFmtId="0" fontId="35" fillId="4" borderId="17" xfId="0" applyFont="1" applyFill="1" applyBorder="1" applyAlignment="1">
      <alignment horizontal="center"/>
    </xf>
    <xf numFmtId="0" fontId="35" fillId="4" borderId="20" xfId="0" applyFont="1" applyFill="1" applyBorder="1" applyAlignment="1">
      <alignment horizontal="center"/>
    </xf>
    <xf numFmtId="0" fontId="35" fillId="4" borderId="18" xfId="0" applyFont="1" applyFill="1" applyBorder="1" applyAlignment="1">
      <alignment horizontal="center"/>
    </xf>
    <xf numFmtId="0" fontId="3" fillId="3" borderId="16" xfId="0" applyFont="1" applyFill="1" applyBorder="1" applyAlignment="1">
      <alignment horizontal="left" wrapText="1"/>
    </xf>
    <xf numFmtId="0" fontId="0" fillId="3" borderId="17" xfId="0" applyFill="1" applyBorder="1" applyAlignment="1">
      <alignment wrapText="1"/>
    </xf>
    <xf numFmtId="0" fontId="0" fillId="3" borderId="16" xfId="0" applyFill="1" applyBorder="1" applyAlignment="1">
      <alignment wrapText="1"/>
    </xf>
    <xf numFmtId="0" fontId="10" fillId="3" borderId="17" xfId="0" applyFont="1" applyFill="1" applyBorder="1" applyAlignment="1">
      <alignment horizontal="center"/>
    </xf>
    <xf numFmtId="0" fontId="0" fillId="0" borderId="18" xfId="0" applyBorder="1" applyAlignment="1">
      <alignment horizontal="center"/>
    </xf>
    <xf numFmtId="171" fontId="3" fillId="0" borderId="0" xfId="9" applyNumberFormat="1" applyFont="1"/>
  </cellXfs>
  <cellStyles count="25">
    <cellStyle name="Comma" xfId="12" builtinId="3"/>
    <cellStyle name="Comma 2" xfId="17"/>
    <cellStyle name="Comma 3" xfId="22"/>
    <cellStyle name="Comma 3 2" xfId="23"/>
    <cellStyle name="Currency" xfId="13" builtinId="4"/>
    <cellStyle name="Dezimal 2" xfId="16"/>
    <cellStyle name="Euro" xfId="1"/>
    <cellStyle name="Hyperlink" xfId="2" builtinId="8"/>
    <cellStyle name="Milliers 10 2" xfId="15"/>
    <cellStyle name="Non défini" xfId="3"/>
    <cellStyle name="Normal" xfId="0" builtinId="0"/>
    <cellStyle name="Normal 2" xfId="14"/>
    <cellStyle name="Normal 2 2" xfId="19"/>
    <cellStyle name="Normal 3" xfId="24"/>
    <cellStyle name="Normal_Aisse final revision of MG Model" xfId="4"/>
    <cellStyle name="Normal_ConsolidatedAg_IM_Clean" xfId="20"/>
    <cellStyle name="Normal_CPCM" xfId="5"/>
    <cellStyle name="Normal_FeederRoadAnalysis_IM_Clean - v4" xfId="21"/>
    <cellStyle name="Normal_Lesotho - Health - v2" xfId="18"/>
    <cellStyle name="Normal_Mongolia Rail ERR.IM Cleaned" xfId="6"/>
    <cellStyle name="Normal_PROGRM" xfId="7"/>
    <cellStyle name="Normal_Rapport CFCIM Définitif 12-11-2001" xfId="8"/>
    <cellStyle name="Normal_wholesale market ERR work" xfId="9"/>
    <cellStyle name="Percent" xfId="10" builtinId="5"/>
    <cellStyle name="عادي_pop-2002" xfId="11"/>
  </cellStyles>
  <dxfs count="18">
    <dxf>
      <font>
        <condense val="0"/>
        <extend val="0"/>
        <color indexed="10"/>
      </font>
    </dxf>
    <dxf>
      <font>
        <condense val="0"/>
        <extend val="0"/>
        <color indexed="9"/>
      </font>
      <fill>
        <patternFill patternType="none">
          <bgColor indexed="65"/>
        </patternFill>
      </fill>
    </dxf>
    <dxf>
      <font>
        <condense val="0"/>
        <extend val="0"/>
        <color indexed="10"/>
      </font>
    </dxf>
    <dxf>
      <font>
        <condense val="0"/>
        <extend val="0"/>
        <color indexed="9"/>
      </font>
      <fill>
        <patternFill patternType="none">
          <bgColor indexed="65"/>
        </patternFill>
      </fill>
    </dxf>
    <dxf>
      <font>
        <condense val="0"/>
        <extend val="0"/>
        <color indexed="10"/>
      </font>
    </dxf>
    <dxf>
      <font>
        <condense val="0"/>
        <extend val="0"/>
        <color indexed="9"/>
      </font>
      <fill>
        <patternFill patternType="none">
          <bgColor indexed="65"/>
        </patternFill>
      </fill>
    </dxf>
    <dxf>
      <font>
        <condense val="0"/>
        <extend val="0"/>
        <color indexed="10"/>
      </font>
    </dxf>
    <dxf>
      <font>
        <condense val="0"/>
        <extend val="0"/>
        <color indexed="9"/>
      </font>
      <fill>
        <patternFill patternType="none">
          <bgColor indexed="65"/>
        </patternFill>
      </fill>
    </dxf>
    <dxf>
      <font>
        <condense val="0"/>
        <extend val="0"/>
        <color indexed="10"/>
      </font>
    </dxf>
    <dxf>
      <font>
        <condense val="0"/>
        <extend val="0"/>
        <color indexed="9"/>
      </font>
      <fill>
        <patternFill patternType="none">
          <bgColor indexed="65"/>
        </patternFill>
      </fill>
    </dxf>
    <dxf>
      <font>
        <condense val="0"/>
        <extend val="0"/>
        <color indexed="10"/>
      </font>
    </dxf>
    <dxf>
      <font>
        <condense val="0"/>
        <extend val="0"/>
        <color indexed="9"/>
      </font>
      <fill>
        <patternFill patternType="none">
          <bgColor indexed="65"/>
        </patternFill>
      </fill>
    </dxf>
    <dxf>
      <font>
        <condense val="0"/>
        <extend val="0"/>
        <color indexed="10"/>
      </font>
    </dxf>
    <dxf>
      <font>
        <condense val="0"/>
        <extend val="0"/>
        <color indexed="9"/>
      </font>
      <fill>
        <patternFill patternType="none">
          <bgColor indexed="65"/>
        </patternFill>
      </fill>
    </dxf>
    <dxf>
      <font>
        <condense val="0"/>
        <extend val="0"/>
        <color indexed="10"/>
      </font>
    </dxf>
    <dxf>
      <font>
        <condense val="0"/>
        <extend val="0"/>
        <color indexed="9"/>
      </font>
      <fill>
        <patternFill patternType="none">
          <bgColor indexed="65"/>
        </patternFill>
      </fill>
    </dxf>
    <dxf>
      <font>
        <condense val="0"/>
        <extend val="0"/>
        <color indexed="10"/>
      </font>
    </dxf>
    <dxf>
      <font>
        <condense val="0"/>
        <extend val="0"/>
        <color indexed="9"/>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Undiscounted annual net benefits of Wholesale Fish Markets</a:t>
            </a:r>
          </a:p>
        </c:rich>
      </c:tx>
      <c:layout>
        <c:manualLayout>
          <c:xMode val="edge"/>
          <c:yMode val="edge"/>
          <c:x val="0.2116337933005899"/>
          <c:y val="3.2828282828282832E-2"/>
        </c:manualLayout>
      </c:layout>
      <c:overlay val="0"/>
      <c:spPr>
        <a:noFill/>
        <a:ln w="25400">
          <a:noFill/>
        </a:ln>
      </c:spPr>
    </c:title>
    <c:autoTitleDeleted val="0"/>
    <c:plotArea>
      <c:layout>
        <c:manualLayout>
          <c:layoutTarget val="inner"/>
          <c:xMode val="edge"/>
          <c:yMode val="edge"/>
          <c:x val="0.12500007553860537"/>
          <c:y val="0.17676811268967185"/>
          <c:w val="0.8465351650337235"/>
          <c:h val="0.69949667450055852"/>
        </c:manualLayout>
      </c:layout>
      <c:areaChart>
        <c:grouping val="standard"/>
        <c:varyColors val="0"/>
        <c:ser>
          <c:idx val="0"/>
          <c:order val="0"/>
          <c:spPr>
            <a:solidFill>
              <a:srgbClr val="0066CC"/>
            </a:solidFill>
            <a:ln w="12700">
              <a:solidFill>
                <a:srgbClr val="000000"/>
              </a:solidFill>
              <a:prstDash val="solid"/>
            </a:ln>
          </c:spPr>
          <c:cat>
            <c:numRef>
              <c:f>'ERR Summary'!$C$3:$W$3</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'ERR Summary'!$C$22:$W$22</c:f>
              <c:numCache>
                <c:formatCode>#,##0</c:formatCode>
                <c:ptCount val="21"/>
                <c:pt idx="0">
                  <c:v>-20743.463497453311</c:v>
                </c:pt>
                <c:pt idx="1">
                  <c:v>-5897.0401234721357</c:v>
                </c:pt>
                <c:pt idx="2">
                  <c:v>-9538.9895817597044</c:v>
                </c:pt>
                <c:pt idx="3">
                  <c:v>-8556.62920892494</c:v>
                </c:pt>
                <c:pt idx="4">
                  <c:v>-93739.225381629847</c:v>
                </c:pt>
                <c:pt idx="5">
                  <c:v>-212874.08642968163</c:v>
                </c:pt>
                <c:pt idx="6">
                  <c:v>13934.160619434733</c:v>
                </c:pt>
                <c:pt idx="7">
                  <c:v>62003.074116860342</c:v>
                </c:pt>
                <c:pt idx="8">
                  <c:v>92712.692479106612</c:v>
                </c:pt>
                <c:pt idx="9">
                  <c:v>92712.692479106612</c:v>
                </c:pt>
                <c:pt idx="10">
                  <c:v>92712.692479106612</c:v>
                </c:pt>
                <c:pt idx="11">
                  <c:v>84464.692479106612</c:v>
                </c:pt>
                <c:pt idx="12">
                  <c:v>84464.692479106612</c:v>
                </c:pt>
                <c:pt idx="13">
                  <c:v>92712.692479106612</c:v>
                </c:pt>
                <c:pt idx="14">
                  <c:v>92712.692479106612</c:v>
                </c:pt>
                <c:pt idx="15">
                  <c:v>92712.692479106612</c:v>
                </c:pt>
                <c:pt idx="16">
                  <c:v>92712.692479106612</c:v>
                </c:pt>
                <c:pt idx="17">
                  <c:v>92712.692479106612</c:v>
                </c:pt>
                <c:pt idx="18">
                  <c:v>92712.692479106612</c:v>
                </c:pt>
                <c:pt idx="19">
                  <c:v>92712.692479106612</c:v>
                </c:pt>
                <c:pt idx="20">
                  <c:v>92712.692479106612</c:v>
                </c:pt>
              </c:numCache>
            </c:numRef>
          </c:val>
        </c:ser>
        <c:dLbls>
          <c:showLegendKey val="0"/>
          <c:showVal val="0"/>
          <c:showCatName val="0"/>
          <c:showSerName val="0"/>
          <c:showPercent val="0"/>
          <c:showBubbleSize val="0"/>
        </c:dLbls>
        <c:axId val="170766400"/>
        <c:axId val="170766784"/>
      </c:areaChart>
      <c:catAx>
        <c:axId val="17076640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Year</a:t>
                </a:r>
              </a:p>
            </c:rich>
          </c:tx>
          <c:layout>
            <c:manualLayout>
              <c:xMode val="edge"/>
              <c:yMode val="edge"/>
              <c:x val="0.52846560640315998"/>
              <c:y val="0.9040425249874067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0766784"/>
        <c:crosses val="autoZero"/>
        <c:auto val="1"/>
        <c:lblAlgn val="ctr"/>
        <c:lblOffset val="100"/>
        <c:tickLblSkip val="1"/>
        <c:tickMarkSkip val="1"/>
        <c:noMultiLvlLbl val="0"/>
      </c:catAx>
      <c:valAx>
        <c:axId val="17076678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thousands of dirhams</a:t>
                </a:r>
              </a:p>
            </c:rich>
          </c:tx>
          <c:layout>
            <c:manualLayout>
              <c:xMode val="edge"/>
              <c:yMode val="edge"/>
              <c:x val="1.9801980198019802E-2"/>
              <c:y val="0.3510108963652270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0766400"/>
        <c:crosses val="autoZero"/>
        <c:crossBetween val="midCat"/>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Distribution of Economic Rate of Return (ERR) Given Uncertainty in Key Parameters
(as of 7/12/2007)</a:t>
            </a:r>
          </a:p>
        </c:rich>
      </c:tx>
      <c:layout>
        <c:manualLayout>
          <c:xMode val="edge"/>
          <c:yMode val="edge"/>
          <c:x val="0.17348229240861621"/>
          <c:y val="3.3950617283950615E-2"/>
        </c:manualLayout>
      </c:layout>
      <c:overlay val="0"/>
      <c:spPr>
        <a:noFill/>
        <a:ln w="25400">
          <a:noFill/>
        </a:ln>
      </c:spPr>
    </c:title>
    <c:autoTitleDeleted val="0"/>
    <c:plotArea>
      <c:layout>
        <c:manualLayout>
          <c:layoutTarget val="inner"/>
          <c:xMode val="edge"/>
          <c:yMode val="edge"/>
          <c:x val="8.054532671319159E-2"/>
          <c:y val="0.15123502373596565"/>
          <c:w val="0.90210765918774583"/>
          <c:h val="0.72222439906563185"/>
        </c:manualLayout>
      </c:layout>
      <c:barChart>
        <c:barDir val="col"/>
        <c:grouping val="stacked"/>
        <c:varyColors val="0"/>
        <c:ser>
          <c:idx val="0"/>
          <c:order val="0"/>
          <c:spPr>
            <a:solidFill>
              <a:srgbClr val="0066CC"/>
            </a:solidFill>
            <a:ln w="25400">
              <a:noFill/>
            </a:ln>
          </c:spPr>
          <c:invertIfNegative val="0"/>
          <c:cat>
            <c:numLit>
              <c:formatCode>General</c:formatCode>
              <c:ptCount val="50"/>
              <c:pt idx="0">
                <c:v>0.20228525724381013</c:v>
              </c:pt>
              <c:pt idx="10">
                <c:v>0.2939993028950974</c:v>
              </c:pt>
              <c:pt idx="20">
                <c:v>0.38571334854638462</c:v>
              </c:pt>
              <c:pt idx="30">
                <c:v>0.47742739419767188</c:v>
              </c:pt>
              <c:pt idx="40">
                <c:v>0.56914143984895915</c:v>
              </c:pt>
              <c:pt idx="49">
                <c:v>0.65168408093511765</c:v>
              </c:pt>
            </c:numLit>
          </c:cat>
          <c:val>
            <c:numLit>
              <c:formatCode>General</c:formatCode>
              <c:ptCount val="50"/>
              <c:pt idx="0">
                <c:v>5</c:v>
              </c:pt>
              <c:pt idx="1">
                <c:v>9</c:v>
              </c:pt>
              <c:pt idx="2">
                <c:v>20</c:v>
              </c:pt>
              <c:pt idx="3">
                <c:v>27</c:v>
              </c:pt>
              <c:pt idx="4">
                <c:v>51</c:v>
              </c:pt>
              <c:pt idx="5">
                <c:v>66</c:v>
              </c:pt>
              <c:pt idx="6">
                <c:v>100</c:v>
              </c:pt>
              <c:pt idx="7">
                <c:v>116</c:v>
              </c:pt>
              <c:pt idx="8">
                <c:v>140</c:v>
              </c:pt>
              <c:pt idx="9">
                <c:v>152</c:v>
              </c:pt>
              <c:pt idx="10">
                <c:v>167</c:v>
              </c:pt>
              <c:pt idx="11">
                <c:v>213</c:v>
              </c:pt>
              <c:pt idx="12">
                <c:v>205</c:v>
              </c:pt>
              <c:pt idx="13">
                <c:v>241</c:v>
              </c:pt>
              <c:pt idx="14">
                <c:v>284</c:v>
              </c:pt>
              <c:pt idx="15">
                <c:v>277</c:v>
              </c:pt>
              <c:pt idx="16">
                <c:v>288</c:v>
              </c:pt>
              <c:pt idx="17">
                <c:v>333</c:v>
              </c:pt>
              <c:pt idx="18">
                <c:v>348</c:v>
              </c:pt>
              <c:pt idx="19">
                <c:v>374</c:v>
              </c:pt>
              <c:pt idx="20">
                <c:v>369</c:v>
              </c:pt>
              <c:pt idx="21">
                <c:v>417</c:v>
              </c:pt>
              <c:pt idx="22">
                <c:v>403</c:v>
              </c:pt>
              <c:pt idx="23">
                <c:v>395</c:v>
              </c:pt>
              <c:pt idx="24">
                <c:v>433</c:v>
              </c:pt>
              <c:pt idx="25">
                <c:v>369</c:v>
              </c:pt>
              <c:pt idx="26">
                <c:v>414</c:v>
              </c:pt>
              <c:pt idx="27">
                <c:v>415</c:v>
              </c:pt>
              <c:pt idx="28">
                <c:v>350</c:v>
              </c:pt>
              <c:pt idx="29">
                <c:v>334</c:v>
              </c:pt>
              <c:pt idx="30">
                <c:v>343</c:v>
              </c:pt>
              <c:pt idx="31">
                <c:v>278</c:v>
              </c:pt>
              <c:pt idx="32">
                <c:v>296</c:v>
              </c:pt>
              <c:pt idx="33">
                <c:v>250</c:v>
              </c:pt>
              <c:pt idx="34">
                <c:v>234</c:v>
              </c:pt>
              <c:pt idx="35">
                <c:v>213</c:v>
              </c:pt>
              <c:pt idx="36">
                <c:v>187</c:v>
              </c:pt>
              <c:pt idx="37">
                <c:v>165</c:v>
              </c:pt>
              <c:pt idx="38">
                <c:v>124</c:v>
              </c:pt>
              <c:pt idx="39">
                <c:v>133</c:v>
              </c:pt>
              <c:pt idx="40">
                <c:v>110</c:v>
              </c:pt>
              <c:pt idx="41">
                <c:v>77</c:v>
              </c:pt>
              <c:pt idx="42">
                <c:v>68</c:v>
              </c:pt>
              <c:pt idx="43">
                <c:v>70</c:v>
              </c:pt>
              <c:pt idx="44">
                <c:v>44</c:v>
              </c:pt>
              <c:pt idx="45">
                <c:v>38</c:v>
              </c:pt>
              <c:pt idx="46">
                <c:v>21</c:v>
              </c:pt>
              <c:pt idx="47">
                <c:v>12</c:v>
              </c:pt>
              <c:pt idx="48">
                <c:v>8</c:v>
              </c:pt>
              <c:pt idx="49">
                <c:v>7</c:v>
              </c:pt>
            </c:numLit>
          </c:val>
        </c:ser>
        <c:dLbls>
          <c:showLegendKey val="0"/>
          <c:showVal val="0"/>
          <c:showCatName val="0"/>
          <c:showSerName val="0"/>
          <c:showPercent val="0"/>
          <c:showBubbleSize val="0"/>
        </c:dLbls>
        <c:gapWidth val="10"/>
        <c:overlap val="100"/>
        <c:axId val="170860352"/>
        <c:axId val="170856064"/>
      </c:barChart>
      <c:catAx>
        <c:axId val="170860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0856064"/>
        <c:crosses val="autoZero"/>
        <c:auto val="0"/>
        <c:lblAlgn val="ctr"/>
        <c:lblOffset val="100"/>
        <c:tickLblSkip val="1"/>
        <c:tickMarkSkip val="5"/>
        <c:noMultiLvlLbl val="0"/>
      </c:catAx>
      <c:valAx>
        <c:axId val="170856064"/>
        <c:scaling>
          <c:orientation val="minMax"/>
          <c:min val="0"/>
        </c:scaling>
        <c:delete val="0"/>
        <c:axPos val="l"/>
        <c:majorGridlines>
          <c:spPr>
            <a:ln w="3175">
              <a:solidFill>
                <a:srgbClr val="0000FF"/>
              </a:solidFill>
              <a:prstDash val="sysDash"/>
            </a:ln>
          </c:spPr>
        </c:majorGridlines>
        <c:title>
          <c:tx>
            <c:rich>
              <a:bodyPr/>
              <a:lstStyle/>
              <a:p>
                <a:pPr>
                  <a:defRPr sz="800" b="1" i="0" u="none" strike="noStrike" baseline="0">
                    <a:solidFill>
                      <a:srgbClr val="000000"/>
                    </a:solidFill>
                    <a:latin typeface="Arial"/>
                    <a:ea typeface="Arial"/>
                    <a:cs typeface="Arial"/>
                  </a:defRPr>
                </a:pPr>
                <a:r>
                  <a:rPr lang="en-US"/>
                  <a:t>Frequency</a:t>
                </a:r>
              </a:p>
            </c:rich>
          </c:tx>
          <c:layout>
            <c:manualLayout>
              <c:xMode val="edge"/>
              <c:yMode val="edge"/>
              <c:x val="1.9826517967781909E-2"/>
              <c:y val="0.41666796280094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0860352"/>
        <c:crosses val="autoZero"/>
        <c:crossBetween val="between"/>
      </c:valAx>
      <c:spPr>
        <a:solidFill>
          <a:srgbClr val="FFFFFF"/>
        </a:solidFill>
        <a:ln w="3175">
          <a:solidFill>
            <a:srgbClr val="000000"/>
          </a:solidFill>
          <a:prstDash val="solid"/>
        </a:ln>
      </c:spPr>
    </c:plotArea>
    <c:plotVisOnly val="1"/>
    <c:dispBlanksAs val="gap"/>
    <c:showDLblsOverMax val="0"/>
  </c:chart>
  <c:spPr>
    <a:no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38100</xdr:rowOff>
    </xdr:from>
    <xdr:to>
      <xdr:col>0</xdr:col>
      <xdr:colOff>2600325</xdr:colOff>
      <xdr:row>6</xdr:row>
      <xdr:rowOff>19050</xdr:rowOff>
    </xdr:to>
    <xdr:pic>
      <xdr:nvPicPr>
        <xdr:cNvPr id="2" name="Picture 4" descr="content-branding-logo-horz"/>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209550"/>
          <a:ext cx="25812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23</xdr:row>
      <xdr:rowOff>19050</xdr:rowOff>
    </xdr:from>
    <xdr:to>
      <xdr:col>1</xdr:col>
      <xdr:colOff>2181225</xdr:colOff>
      <xdr:row>24</xdr:row>
      <xdr:rowOff>9525</xdr:rowOff>
    </xdr:to>
    <xdr:pic>
      <xdr:nvPicPr>
        <xdr:cNvPr id="5123" name="Picture 2" descr="MCC horizont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5248275"/>
          <a:ext cx="2162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57150</xdr:colOff>
      <xdr:row>1</xdr:row>
      <xdr:rowOff>85725</xdr:rowOff>
    </xdr:from>
    <xdr:to>
      <xdr:col>6</xdr:col>
      <xdr:colOff>1123950</xdr:colOff>
      <xdr:row>1</xdr:row>
      <xdr:rowOff>238125</xdr:rowOff>
    </xdr:to>
    <xdr:pic>
      <xdr:nvPicPr>
        <xdr:cNvPr id="6165" name="Picture 2" descr="MCC horizont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4350" y="247650"/>
          <a:ext cx="2162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26</xdr:row>
      <xdr:rowOff>0</xdr:rowOff>
    </xdr:from>
    <xdr:to>
      <xdr:col>6</xdr:col>
      <xdr:colOff>19050</xdr:colOff>
      <xdr:row>49</xdr:row>
      <xdr:rowOff>47625</xdr:rowOff>
    </xdr:to>
    <xdr:graphicFrame macro="">
      <xdr:nvGraphicFramePr>
        <xdr:cNvPr id="616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38100</xdr:colOff>
      <xdr:row>51</xdr:row>
      <xdr:rowOff>57150</xdr:rowOff>
    </xdr:from>
    <xdr:to>
      <xdr:col>6</xdr:col>
      <xdr:colOff>19050</xdr:colOff>
      <xdr:row>70</xdr:row>
      <xdr:rowOff>66675</xdr:rowOff>
    </xdr:to>
    <xdr:graphicFrame macro="">
      <xdr:nvGraphicFramePr>
        <xdr:cNvPr id="6167"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8</xdr:col>
          <xdr:colOff>0</xdr:colOff>
          <xdr:row>5</xdr:row>
          <xdr:rowOff>0</xdr:rowOff>
        </xdr:from>
        <xdr:to>
          <xdr:col>8</xdr:col>
          <xdr:colOff>1371600</xdr:colOff>
          <xdr:row>6</xdr:row>
          <xdr:rowOff>95250</xdr:rowOff>
        </xdr:to>
        <xdr:sp macro="" textlink="">
          <xdr:nvSpPr>
            <xdr:cNvPr id="6145" name="Button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FF"/>
                  </a:solidFill>
                  <a:latin typeface="Arial"/>
                  <a:cs typeface="Arial"/>
                </a:rPr>
                <a:t>Reset</a:t>
              </a:r>
            </a:p>
            <a:p>
              <a:pPr algn="ctr" rtl="0">
                <a:defRPr sz="1000"/>
              </a:pPr>
              <a:r>
                <a:rPr lang="en-US" sz="1000" b="1" i="0" u="none" strike="noStrike" baseline="0">
                  <a:solidFill>
                    <a:srgbClr val="0000FF"/>
                  </a:solidFill>
                  <a:latin typeface="Arial"/>
                  <a:cs typeface="Arial"/>
                </a:rPr>
                <a:t>Parameters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4</xdr:col>
      <xdr:colOff>644899</xdr:colOff>
      <xdr:row>1</xdr:row>
      <xdr:rowOff>168088</xdr:rowOff>
    </xdr:from>
    <xdr:to>
      <xdr:col>6</xdr:col>
      <xdr:colOff>765923</xdr:colOff>
      <xdr:row>2</xdr:row>
      <xdr:rowOff>153520</xdr:rowOff>
    </xdr:to>
    <xdr:pic>
      <xdr:nvPicPr>
        <xdr:cNvPr id="2" name="Picture 34" descr="MCC horizont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374" y="330013"/>
          <a:ext cx="2168899"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ccnpnasfs01\Office_Shares\_divisions\Economic%20Analysis\ERR%20Spreadsheets\Web%20Dissemination\Ongoing%20Work\Updated%20files%20for%20Posting%206.20.08\mcc-err-armenia-watertomk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MES%20DOCUMENTS\EX-WORD\Mes%20documents\effect%20r&#233;el%20COMP.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ccnpnasfs01\Office_Shares\Documents%20and%20Settings\berningcc\Local%20Settings\Temp\Temporary%20Directory%201%20for%20Arm_MCA_Assistance_Irrigation_ERRs_Zone_1_4_Oct_27_05.zip\Arm_MCA%20Assistance_Irrigation%20ERRs_Zone1_Oct%2027_0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Documents%20and%20Settings\berningcc\Local%20Settings\Temp\Temporary%20Directory%201%20for%20Arm_MCA_Assistance_Irrigation_ERRs_Zone_1_4_Oct_27_05.zip\Arm_MCA%20Assistance_Irrigation%20ERRs_Zone1_Oct%2027_0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_divisions/Economic%20Analysis/Country%20Work/Morocco/ERR/Closeout%20ERRs/web%20%20versions/mcc-err-morocco-olive-irrigation-closeout.we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_divisions\Economic%20Analysis\ERR%20Spreadsheets\Web%20Dissemination\Ongoing%20Work\Updated%20files%20for%20Posting%206.20.08\mcc-err-armenia-watertomk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info\sofia\Documents%20and%20Settings\Nezha\Mes%20documents\EX-WORD\Mes%20documents\Comptabilit&#233;%20Analytique\effect%20r&#233;el%20COM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info\sofia\WINDOWS\TEMP\Effectif20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WINDOWS\TEMP\Effectif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ccnpnasfs01\Office_Shares\DOCUME~1\BREITB~1\LOCALS~1\Temp\12\Temporary%20Directory%204%20for%20Armenia%20for%20OGC%20Review.zip\Armenia_Irrigation_ERR_IM_Clean-v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DOCUME~1\BREITB~1\LOCALS~1\Temp\12\Temporary%20Directory%204%20for%20Armenia%20for%20OGC%20Review.zip\Armenia_Irrigation_ERR_IM_Clean-v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ccnpnasfs01\Office_Shares\_divisions\Economic%20Analysis\ERR%20Spreadsheets\Web%20Dissemination\Beta%20Version\Mongolia\mcc-err-mongolia-health.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_divisions\Economic%20Analysis\ERR%20Spreadsheets\Web%20Dissemination\Beta%20Version\Mongolia\mcc-err-mongolia-healt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s Guide"/>
      <sheetName val="Activity Description"/>
      <sheetName val="CB_DATA_"/>
      <sheetName val="ERR &amp; Sensitivity Analysis"/>
      <sheetName val="Cost and Benefit Summary"/>
      <sheetName val="Zone1"/>
      <sheetName val="Zone2"/>
      <sheetName val="Zone3"/>
      <sheetName val="Zone4"/>
      <sheetName val="Cropping Patterns"/>
    </sheetNames>
    <sheetDataSet>
      <sheetData sheetId="0"/>
      <sheetData sheetId="1"/>
      <sheetData sheetId="2"/>
      <sheetData sheetId="3"/>
      <sheetData sheetId="4">
        <row r="76">
          <cell r="D76">
            <v>0.5</v>
          </cell>
        </row>
        <row r="78">
          <cell r="D78">
            <v>1.31</v>
          </cell>
        </row>
      </sheetData>
      <sheetData sheetId="5">
        <row r="6">
          <cell r="F6">
            <v>0.125</v>
          </cell>
        </row>
      </sheetData>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AGENTS"/>
      <sheetName val="AGENT (2)"/>
      <sheetName val="AGENT"/>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s"/>
      <sheetName val="Assumptions and Basic Info"/>
      <sheetName val="Scheme 01"/>
      <sheetName val="Scheme 02"/>
      <sheetName val="Scheme 03"/>
      <sheetName val="Prices"/>
      <sheetName val="Wheat cost"/>
      <sheetName val="Wheat"/>
      <sheetName val="Vegatables"/>
      <sheetName val="Potato"/>
      <sheetName val="Alfalfa"/>
      <sheetName val="Grapes"/>
      <sheetName val="Fruits"/>
      <sheetName val="Summary"/>
    </sheetNames>
    <sheetDataSet>
      <sheetData sheetId="0" refreshError="1"/>
      <sheetData sheetId="1" refreshError="1"/>
      <sheetData sheetId="2">
        <row r="2">
          <cell r="B2" t="str">
            <v>Table 1: Economic Analysis - Irrigation Scheme 01 - Artashat</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s"/>
      <sheetName val="Assumptions and Basic Info"/>
      <sheetName val="Scheme 01"/>
      <sheetName val="Scheme 02"/>
      <sheetName val="Scheme 03"/>
      <sheetName val="Prices"/>
      <sheetName val="Wheat cost"/>
      <sheetName val="Wheat"/>
      <sheetName val="Vegatables"/>
      <sheetName val="Potato"/>
      <sheetName val="Alfalfa"/>
      <sheetName val="Grapes"/>
      <sheetName val="Fruits"/>
      <sheetName val="Summary"/>
    </sheetNames>
    <sheetDataSet>
      <sheetData sheetId="0" refreshError="1"/>
      <sheetData sheetId="1" refreshError="1"/>
      <sheetData sheetId="2">
        <row r="2">
          <cell r="B2" t="str">
            <v>Table 1: Economic Analysis - Irrigation Scheme 01 - Artashat</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s Guide"/>
      <sheetName val="Project Description"/>
      <sheetName val="CB_DATA_"/>
      <sheetName val="ERR &amp; Sensitivity Analysis"/>
      <sheetName val="Cost-Benefit Summary"/>
      <sheetName val="Iden_classe"/>
      <sheetName val="Don_classe 1"/>
      <sheetName val="BudExp DHMax&lt;55%"/>
      <sheetName val="Don_classe2"/>
      <sheetName val="BudExp DHMax&gt;55%"/>
      <sheetName val="DATA-enq reference"/>
      <sheetName val="Data&amp;assumptions"/>
      <sheetName val="total budget"/>
      <sheetName val="fruit tree budget"/>
    </sheetNames>
    <sheetDataSet>
      <sheetData sheetId="0"/>
      <sheetData sheetId="1"/>
      <sheetData sheetId="2"/>
      <sheetData sheetId="3">
        <row r="10">
          <cell r="I10" t="str">
            <v>All summary parameters set to initial values?</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s Guide"/>
      <sheetName val="Activity Description"/>
      <sheetName val="CB_DATA_"/>
      <sheetName val="ERR &amp; Sensitivity Analysis"/>
      <sheetName val="Cost and Benefit Summary"/>
      <sheetName val="Zone1"/>
      <sheetName val="Zone2"/>
      <sheetName val="Zone3"/>
      <sheetName val="Zone4"/>
      <sheetName val="Cropping Patterns"/>
    </sheetNames>
    <sheetDataSet>
      <sheetData sheetId="0"/>
      <sheetData sheetId="1"/>
      <sheetData sheetId="2"/>
      <sheetData sheetId="3"/>
      <sheetData sheetId="4">
        <row r="76">
          <cell r="D76">
            <v>0.5</v>
          </cell>
        </row>
        <row r="78">
          <cell r="D78">
            <v>1.31</v>
          </cell>
        </row>
      </sheetData>
      <sheetData sheetId="5">
        <row r="6">
          <cell r="F6">
            <v>0.125</v>
          </cell>
        </row>
      </sheetData>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AGENTS"/>
      <sheetName val="AGENT (2)"/>
      <sheetName val="AGENT"/>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T"/>
      <sheetName val="BULLET."/>
      <sheetName val="stat"/>
      <sheetName val="INDKILO"/>
      <sheetName val="OM"/>
      <sheetName val="FICH-SALAIRE"/>
      <sheetName val="FICH-INFOR"/>
      <sheetName val="."/>
      <sheetName val="Decede"/>
      <sheetName val="MFD-GAIZI"/>
      <sheetName val="Feuil1"/>
    </sheetNames>
    <sheetDataSet>
      <sheetData sheetId="0"/>
      <sheetData sheetId="1"/>
      <sheetData sheetId="2"/>
      <sheetData sheetId="3"/>
      <sheetData sheetId="4"/>
      <sheetData sheetId="5"/>
      <sheetData sheetId="6"/>
      <sheetData sheetId="7">
        <row r="38">
          <cell r="A38" t="str">
            <v xml:space="preserve">Agence Comptable </v>
          </cell>
        </row>
        <row r="39">
          <cell r="A39" t="str">
            <v xml:space="preserve">Bureau d'Ordre Centrale </v>
          </cell>
        </row>
        <row r="40">
          <cell r="A40" t="str">
            <v>D.R. El Jadida</v>
          </cell>
        </row>
        <row r="41">
          <cell r="A41" t="str">
            <v>D.R. Agadir</v>
          </cell>
        </row>
        <row r="42">
          <cell r="A42" t="str">
            <v>D.R. AlHouceima</v>
          </cell>
        </row>
        <row r="43">
          <cell r="A43" t="str">
            <v>D.R. Boujdour</v>
          </cell>
        </row>
        <row r="44">
          <cell r="A44" t="str">
            <v>D.R. Casa</v>
          </cell>
        </row>
        <row r="45">
          <cell r="A45" t="str">
            <v>D.R. Dakhla</v>
          </cell>
        </row>
        <row r="46">
          <cell r="A46" t="str">
            <v>D.R. Essaouira</v>
          </cell>
        </row>
        <row r="47">
          <cell r="A47" t="str">
            <v>D.R. Laâyoune</v>
          </cell>
        </row>
        <row r="48">
          <cell r="A48" t="str">
            <v>D.R. Larache</v>
          </cell>
        </row>
        <row r="49">
          <cell r="A49" t="str">
            <v>D.R. M'diq</v>
          </cell>
        </row>
        <row r="50">
          <cell r="A50" t="str">
            <v>D.R. Mehdia</v>
          </cell>
        </row>
        <row r="51">
          <cell r="A51" t="str">
            <v>D.R. Mohammadia</v>
          </cell>
        </row>
        <row r="52">
          <cell r="A52" t="str">
            <v>D.R. Nador</v>
          </cell>
        </row>
        <row r="53">
          <cell r="A53" t="str">
            <v>D.R. Safi</v>
          </cell>
        </row>
        <row r="54">
          <cell r="A54" t="str">
            <v xml:space="preserve">D.R. Sidi Ifni </v>
          </cell>
        </row>
        <row r="55">
          <cell r="A55" t="str">
            <v>D.R. Tanger</v>
          </cell>
        </row>
        <row r="56">
          <cell r="A56" t="str">
            <v xml:space="preserve">D.R. TanTan </v>
          </cell>
        </row>
        <row r="57">
          <cell r="A57" t="str">
            <v>D.R.H.A.G</v>
          </cell>
        </row>
        <row r="58">
          <cell r="A58" t="str">
            <v>Département Financier et Comptable</v>
          </cell>
        </row>
        <row r="59">
          <cell r="A59" t="str">
            <v xml:space="preserve">Départements des études générales </v>
          </cell>
        </row>
        <row r="60">
          <cell r="A60" t="str">
            <v xml:space="preserve">Direction d'Exploitation </v>
          </cell>
        </row>
        <row r="61">
          <cell r="A61" t="str">
            <v>Direction Générale</v>
          </cell>
        </row>
        <row r="62">
          <cell r="A62" t="str">
            <v xml:space="preserve">Division des Affaires Générales </v>
          </cell>
        </row>
        <row r="63">
          <cell r="A63" t="str">
            <v xml:space="preserve">Division des Systemes Informatiques </v>
          </cell>
        </row>
        <row r="64">
          <cell r="A64" t="str">
            <v>H.P. Asilah</v>
          </cell>
        </row>
        <row r="65">
          <cell r="A65" t="str">
            <v>H.P. Jebha</v>
          </cell>
        </row>
        <row r="66">
          <cell r="A66" t="str">
            <v>H.P. Jorf Lasfar</v>
          </cell>
        </row>
        <row r="67">
          <cell r="A67" t="str">
            <v>H.P. Oued Laou</v>
          </cell>
        </row>
        <row r="68">
          <cell r="A68" t="str">
            <v xml:space="preserve">H.P. Ras KABDANA </v>
          </cell>
        </row>
        <row r="69">
          <cell r="A69" t="str">
            <v>H.P. Taghazout</v>
          </cell>
        </row>
        <row r="70">
          <cell r="A70" t="str">
            <v>H.P. Tarfaya</v>
          </cell>
        </row>
        <row r="71">
          <cell r="A71" t="str">
            <v>Inspection Générale</v>
          </cell>
        </row>
        <row r="72">
          <cell r="A72" t="str">
            <v>Projet Sarval</v>
          </cell>
        </row>
        <row r="73">
          <cell r="A73" t="str">
            <v>Secrétariat Général</v>
          </cell>
        </row>
        <row r="74">
          <cell r="A74" t="str">
            <v xml:space="preserve">Service Personnel </v>
          </cell>
        </row>
        <row r="75">
          <cell r="A75" t="str">
            <v xml:space="preserve">Service Social </v>
          </cell>
        </row>
        <row r="76">
          <cell r="A76" t="str">
            <v xml:space="preserve">Village de pêche IMMSOUANE </v>
          </cell>
        </row>
        <row r="77">
          <cell r="A77" t="str">
            <v>Village de Pêche KALA-IRIS</v>
          </cell>
        </row>
        <row r="78">
          <cell r="A78" t="str">
            <v>Village de Pêche SOUIRIA K'DIMA</v>
          </cell>
        </row>
        <row r="79">
          <cell r="A79" t="str">
            <v>MPM</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T"/>
      <sheetName val="BULLET."/>
      <sheetName val="stat"/>
      <sheetName val="INDKILO"/>
      <sheetName val="OM"/>
      <sheetName val="FICH-SALAIRE"/>
      <sheetName val="FICH-INFOR"/>
      <sheetName val="."/>
      <sheetName val="Decede"/>
      <sheetName val="MFD-GAIZI"/>
      <sheetName val="Feuil1"/>
    </sheetNames>
    <sheetDataSet>
      <sheetData sheetId="0"/>
      <sheetData sheetId="1"/>
      <sheetData sheetId="2"/>
      <sheetData sheetId="3"/>
      <sheetData sheetId="4"/>
      <sheetData sheetId="5"/>
      <sheetData sheetId="6"/>
      <sheetData sheetId="7">
        <row r="38">
          <cell r="A38" t="str">
            <v xml:space="preserve">Agence Comptable </v>
          </cell>
        </row>
        <row r="39">
          <cell r="A39" t="str">
            <v xml:space="preserve">Bureau d'Ordre Centrale </v>
          </cell>
        </row>
        <row r="40">
          <cell r="A40" t="str">
            <v>D.R. El Jadida</v>
          </cell>
        </row>
        <row r="41">
          <cell r="A41" t="str">
            <v>D.R. Agadir</v>
          </cell>
        </row>
        <row r="42">
          <cell r="A42" t="str">
            <v>D.R. AlHouceima</v>
          </cell>
        </row>
        <row r="43">
          <cell r="A43" t="str">
            <v>D.R. Boujdour</v>
          </cell>
        </row>
        <row r="44">
          <cell r="A44" t="str">
            <v>D.R. Casa</v>
          </cell>
        </row>
        <row r="45">
          <cell r="A45" t="str">
            <v>D.R. Dakhla</v>
          </cell>
        </row>
        <row r="46">
          <cell r="A46" t="str">
            <v>D.R. Essaouira</v>
          </cell>
        </row>
        <row r="47">
          <cell r="A47" t="str">
            <v>D.R. Laâyoune</v>
          </cell>
        </row>
        <row r="48">
          <cell r="A48" t="str">
            <v>D.R. Larache</v>
          </cell>
        </row>
        <row r="49">
          <cell r="A49" t="str">
            <v>D.R. M'diq</v>
          </cell>
        </row>
        <row r="50">
          <cell r="A50" t="str">
            <v>D.R. Mehdia</v>
          </cell>
        </row>
        <row r="51">
          <cell r="A51" t="str">
            <v>D.R. Mohammadia</v>
          </cell>
        </row>
        <row r="52">
          <cell r="A52" t="str">
            <v>D.R. Nador</v>
          </cell>
        </row>
        <row r="53">
          <cell r="A53" t="str">
            <v>D.R. Safi</v>
          </cell>
        </row>
        <row r="54">
          <cell r="A54" t="str">
            <v xml:space="preserve">D.R. Sidi Ifni </v>
          </cell>
        </row>
        <row r="55">
          <cell r="A55" t="str">
            <v>D.R. Tanger</v>
          </cell>
        </row>
        <row r="56">
          <cell r="A56" t="str">
            <v xml:space="preserve">D.R. TanTan </v>
          </cell>
        </row>
        <row r="57">
          <cell r="A57" t="str">
            <v>D.R.H.A.G</v>
          </cell>
        </row>
        <row r="58">
          <cell r="A58" t="str">
            <v>Département Financier et Comptable</v>
          </cell>
        </row>
        <row r="59">
          <cell r="A59" t="str">
            <v xml:space="preserve">Départements des études générales </v>
          </cell>
        </row>
        <row r="60">
          <cell r="A60" t="str">
            <v xml:space="preserve">Direction d'Exploitation </v>
          </cell>
        </row>
        <row r="61">
          <cell r="A61" t="str">
            <v>Direction Générale</v>
          </cell>
        </row>
        <row r="62">
          <cell r="A62" t="str">
            <v xml:space="preserve">Division des Affaires Générales </v>
          </cell>
        </row>
        <row r="63">
          <cell r="A63" t="str">
            <v xml:space="preserve">Division des Systemes Informatiques </v>
          </cell>
        </row>
        <row r="64">
          <cell r="A64" t="str">
            <v>H.P. Asilah</v>
          </cell>
        </row>
        <row r="65">
          <cell r="A65" t="str">
            <v>H.P. Jebha</v>
          </cell>
        </row>
        <row r="66">
          <cell r="A66" t="str">
            <v>H.P. Jorf Lasfar</v>
          </cell>
        </row>
        <row r="67">
          <cell r="A67" t="str">
            <v>H.P. Oued Laou</v>
          </cell>
        </row>
        <row r="68">
          <cell r="A68" t="str">
            <v xml:space="preserve">H.P. Ras KABDANA </v>
          </cell>
        </row>
        <row r="69">
          <cell r="A69" t="str">
            <v>H.P. Taghazout</v>
          </cell>
        </row>
        <row r="70">
          <cell r="A70" t="str">
            <v>H.P. Tarfaya</v>
          </cell>
        </row>
        <row r="71">
          <cell r="A71" t="str">
            <v>Inspection Générale</v>
          </cell>
        </row>
        <row r="72">
          <cell r="A72" t="str">
            <v>Projet Sarval</v>
          </cell>
        </row>
        <row r="73">
          <cell r="A73" t="str">
            <v>Secrétariat Général</v>
          </cell>
        </row>
        <row r="74">
          <cell r="A74" t="str">
            <v xml:space="preserve">Service Personnel </v>
          </cell>
        </row>
        <row r="75">
          <cell r="A75" t="str">
            <v xml:space="preserve">Service Social </v>
          </cell>
        </row>
        <row r="76">
          <cell r="A76" t="str">
            <v xml:space="preserve">Village de pêche IMMSOUANE </v>
          </cell>
        </row>
        <row r="77">
          <cell r="A77" t="str">
            <v>Village de Pêche KALA-IRIS</v>
          </cell>
        </row>
        <row r="78">
          <cell r="A78" t="str">
            <v>Village de Pêche SOUIRIA K'DIMA</v>
          </cell>
        </row>
        <row r="79">
          <cell r="A79" t="str">
            <v>MPM</v>
          </cell>
        </row>
      </sheetData>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s Guide"/>
      <sheetName val="Activity Description"/>
      <sheetName val="ERR &amp; Sensitivity Analysis"/>
      <sheetName val="Cost and Benefit Summary"/>
      <sheetName val="Irrigation Summary"/>
      <sheetName val="Assumptions and Basic Info"/>
      <sheetName val="Prices"/>
      <sheetName val="Wheat cost"/>
    </sheetNames>
    <sheetDataSet>
      <sheetData sheetId="0" refreshError="1"/>
      <sheetData sheetId="1" refreshError="1"/>
      <sheetData sheetId="2" refreshError="1"/>
      <sheetData sheetId="3" refreshError="1"/>
      <sheetData sheetId="4">
        <row r="2">
          <cell r="B2" t="str">
            <v>Table A1: Economic Analysis Summary - Irrigation Project</v>
          </cell>
        </row>
        <row r="488">
          <cell r="B488" t="str">
            <v>Table A2: Sensitivity Analysis Summary - Irrigation Project</v>
          </cell>
        </row>
      </sheetData>
      <sheetData sheetId="5">
        <row r="2">
          <cell r="B2" t="str">
            <v>Basic Info and Assumptions</v>
          </cell>
        </row>
      </sheetData>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s Guide"/>
      <sheetName val="Activity Description"/>
      <sheetName val="ERR &amp; Sensitivity Analysis"/>
      <sheetName val="Cost and Benefit Summary"/>
      <sheetName val="Irrigation Summary"/>
      <sheetName val="Assumptions and Basic Info"/>
      <sheetName val="Prices"/>
      <sheetName val="Wheat cost"/>
    </sheetNames>
    <sheetDataSet>
      <sheetData sheetId="0" refreshError="1"/>
      <sheetData sheetId="1" refreshError="1"/>
      <sheetData sheetId="2" refreshError="1"/>
      <sheetData sheetId="3" refreshError="1"/>
      <sheetData sheetId="4">
        <row r="2">
          <cell r="B2" t="str">
            <v>Table A1: Economic Analysis Summary - Irrigation Project</v>
          </cell>
        </row>
        <row r="488">
          <cell r="B488" t="str">
            <v>Table A2: Sensitivity Analysis Summary - Irrigation Project</v>
          </cell>
        </row>
      </sheetData>
      <sheetData sheetId="5">
        <row r="2">
          <cell r="B2" t="str">
            <v>Basic Info and Assumptions</v>
          </cell>
        </row>
      </sheetData>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s Guide"/>
      <sheetName val="Project Description"/>
      <sheetName val="ERR &amp; Sensitivity Analysis"/>
      <sheetName val="ERR Summary"/>
      <sheetName val="Data &amp; Assumptions"/>
      <sheetName val="Hypertension Costs &amp; Benefits"/>
      <sheetName val="Diabetes Costs &amp; Benefits"/>
      <sheetName val="Cancer Costs &amp; Benefits"/>
    </sheetNames>
    <sheetDataSet>
      <sheetData sheetId="0" refreshError="1"/>
      <sheetData sheetId="1" refreshError="1"/>
      <sheetData sheetId="2" refreshError="1"/>
      <sheetData sheetId="3"/>
      <sheetData sheetId="4" refreshError="1"/>
      <sheetData sheetId="5">
        <row r="5">
          <cell r="C5">
            <v>1.4999999999999999E-2</v>
          </cell>
        </row>
        <row r="6">
          <cell r="E6">
            <v>955.44908060203898</v>
          </cell>
        </row>
        <row r="27">
          <cell r="C27">
            <v>0.33</v>
          </cell>
        </row>
        <row r="28">
          <cell r="C28">
            <v>0.2</v>
          </cell>
        </row>
        <row r="32">
          <cell r="E32">
            <v>0.14285714285714285</v>
          </cell>
          <cell r="J32">
            <v>0.02</v>
          </cell>
        </row>
        <row r="33">
          <cell r="E33">
            <v>0.2</v>
          </cell>
          <cell r="J33">
            <v>0.04</v>
          </cell>
        </row>
        <row r="34">
          <cell r="E34">
            <v>0.33333333333333331</v>
          </cell>
          <cell r="J34">
            <v>0.06</v>
          </cell>
        </row>
        <row r="82">
          <cell r="J82">
            <v>0.02</v>
          </cell>
        </row>
        <row r="83">
          <cell r="J83">
            <v>0.04</v>
          </cell>
        </row>
        <row r="84">
          <cell r="J84">
            <v>0.06</v>
          </cell>
        </row>
      </sheetData>
      <sheetData sheetId="6">
        <row r="25">
          <cell r="C25">
            <v>0.2</v>
          </cell>
        </row>
        <row r="26">
          <cell r="C26">
            <v>0.1</v>
          </cell>
        </row>
        <row r="31">
          <cell r="E31">
            <v>0.25</v>
          </cell>
        </row>
      </sheetData>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s Guide"/>
      <sheetName val="Project Description"/>
      <sheetName val="ERR &amp; Sensitivity Analysis"/>
      <sheetName val="ERR Summary"/>
      <sheetName val="Data &amp; Assumptions"/>
      <sheetName val="Hypertension Costs &amp; Benefits"/>
      <sheetName val="Diabetes Costs &amp; Benefits"/>
      <sheetName val="Cancer Costs &amp; Benefits"/>
    </sheetNames>
    <sheetDataSet>
      <sheetData sheetId="0" refreshError="1"/>
      <sheetData sheetId="1" refreshError="1"/>
      <sheetData sheetId="2" refreshError="1"/>
      <sheetData sheetId="3"/>
      <sheetData sheetId="4" refreshError="1"/>
      <sheetData sheetId="5">
        <row r="5">
          <cell r="C5">
            <v>1.4999999999999999E-2</v>
          </cell>
        </row>
        <row r="6">
          <cell r="E6">
            <v>955.44908060203898</v>
          </cell>
        </row>
        <row r="27">
          <cell r="C27">
            <v>0.33</v>
          </cell>
        </row>
        <row r="28">
          <cell r="C28">
            <v>0.2</v>
          </cell>
        </row>
        <row r="32">
          <cell r="E32">
            <v>0.14285714285714285</v>
          </cell>
          <cell r="J32">
            <v>0.02</v>
          </cell>
        </row>
        <row r="33">
          <cell r="E33">
            <v>0.2</v>
          </cell>
          <cell r="J33">
            <v>0.04</v>
          </cell>
        </row>
        <row r="34">
          <cell r="E34">
            <v>0.33333333333333331</v>
          </cell>
          <cell r="J34">
            <v>0.06</v>
          </cell>
        </row>
        <row r="82">
          <cell r="J82">
            <v>0.02</v>
          </cell>
        </row>
        <row r="83">
          <cell r="J83">
            <v>0.04</v>
          </cell>
        </row>
        <row r="84">
          <cell r="J84">
            <v>0.06</v>
          </cell>
        </row>
      </sheetData>
      <sheetData sheetId="6">
        <row r="25">
          <cell r="C25">
            <v>0.2</v>
          </cell>
        </row>
        <row r="26">
          <cell r="C26">
            <v>0.1</v>
          </cell>
        </row>
        <row r="31">
          <cell r="E31">
            <v>0.25</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showGridLines="0" topLeftCell="A10" workbookViewId="0">
      <selection activeCell="C21" sqref="C21"/>
    </sheetView>
  </sheetViews>
  <sheetFormatPr defaultColWidth="11.42578125" defaultRowHeight="12.75"/>
  <cols>
    <col min="1" max="1" width="39.7109375" style="549" customWidth="1"/>
    <col min="2" max="3" width="36.7109375" style="549" customWidth="1"/>
    <col min="4" max="16384" width="11.42578125" style="549"/>
  </cols>
  <sheetData>
    <row r="1" spans="1:21" s="534" customFormat="1" ht="13.5" thickBot="1">
      <c r="B1" s="535" t="s">
        <v>1223</v>
      </c>
      <c r="C1" s="536"/>
      <c r="D1" s="536"/>
      <c r="E1" s="536"/>
      <c r="F1" s="536"/>
      <c r="G1" s="536"/>
      <c r="H1" s="536"/>
      <c r="I1" s="536"/>
      <c r="J1" s="536"/>
      <c r="K1" s="536"/>
      <c r="L1" s="536"/>
      <c r="M1" s="536"/>
      <c r="N1" s="536"/>
      <c r="O1" s="536"/>
      <c r="P1" s="536"/>
      <c r="Q1" s="536"/>
      <c r="R1" s="536"/>
      <c r="S1" s="536"/>
      <c r="T1" s="536"/>
      <c r="U1" s="537"/>
    </row>
    <row r="2" spans="1:21" s="534" customFormat="1" ht="13.5" customHeight="1" thickBot="1">
      <c r="A2" s="538"/>
      <c r="B2" s="605" t="s">
        <v>308</v>
      </c>
      <c r="C2" s="606"/>
      <c r="D2" s="539"/>
      <c r="E2" s="539"/>
      <c r="F2" s="539"/>
      <c r="G2" s="539"/>
      <c r="H2" s="539"/>
      <c r="I2" s="539"/>
      <c r="J2" s="539"/>
      <c r="K2" s="539"/>
      <c r="L2" s="539"/>
      <c r="M2" s="539"/>
      <c r="N2" s="539"/>
      <c r="O2" s="539"/>
      <c r="P2" s="539"/>
      <c r="Q2" s="539"/>
      <c r="R2" s="539"/>
      <c r="S2" s="539"/>
      <c r="T2" s="539"/>
      <c r="U2" s="540"/>
    </row>
    <row r="3" spans="1:21" s="534" customFormat="1" ht="13.5" customHeight="1" thickBot="1">
      <c r="A3" s="541"/>
      <c r="B3" s="605"/>
      <c r="C3" s="606"/>
      <c r="D3" s="539"/>
      <c r="E3" s="539"/>
      <c r="F3" s="539"/>
      <c r="G3" s="539"/>
      <c r="H3" s="539"/>
      <c r="I3" s="539"/>
      <c r="J3" s="539"/>
      <c r="K3" s="539"/>
      <c r="L3" s="539"/>
      <c r="M3" s="539"/>
      <c r="N3" s="539"/>
      <c r="O3" s="539"/>
      <c r="P3" s="539"/>
      <c r="Q3" s="539"/>
      <c r="R3" s="539"/>
      <c r="S3" s="539"/>
      <c r="T3" s="539"/>
      <c r="U3" s="540"/>
    </row>
    <row r="4" spans="1:21" s="534" customFormat="1" ht="13.5" customHeight="1" thickBot="1">
      <c r="A4" s="541"/>
      <c r="B4" s="605"/>
      <c r="C4" s="606"/>
      <c r="D4" s="539"/>
      <c r="E4" s="539"/>
      <c r="F4" s="539"/>
      <c r="G4" s="539"/>
      <c r="H4" s="539"/>
      <c r="I4" s="539"/>
      <c r="J4" s="539"/>
      <c r="K4" s="539"/>
      <c r="L4" s="539"/>
      <c r="M4" s="539"/>
      <c r="N4" s="539"/>
      <c r="O4" s="539"/>
      <c r="P4" s="539"/>
      <c r="Q4" s="539"/>
      <c r="R4" s="539"/>
      <c r="S4" s="539"/>
      <c r="T4" s="539"/>
      <c r="U4" s="540"/>
    </row>
    <row r="5" spans="1:21" s="534" customFormat="1" ht="13.5" customHeight="1" thickBot="1">
      <c r="A5" s="541"/>
      <c r="B5" s="605"/>
      <c r="C5" s="606"/>
      <c r="D5" s="539"/>
      <c r="E5" s="539"/>
      <c r="F5" s="539"/>
      <c r="G5" s="539"/>
      <c r="H5" s="539"/>
      <c r="I5" s="539"/>
      <c r="J5" s="539"/>
      <c r="K5" s="539"/>
      <c r="L5" s="539"/>
      <c r="M5" s="539"/>
      <c r="N5" s="539"/>
      <c r="O5" s="539"/>
      <c r="P5" s="539"/>
      <c r="Q5" s="539"/>
      <c r="R5" s="539"/>
      <c r="S5" s="539"/>
      <c r="T5" s="539"/>
      <c r="U5" s="540"/>
    </row>
    <row r="6" spans="1:21" s="534" customFormat="1" ht="13.5" customHeight="1" thickBot="1">
      <c r="A6" s="541"/>
      <c r="B6" s="607"/>
      <c r="C6" s="608"/>
      <c r="D6" s="539"/>
      <c r="E6" s="539"/>
      <c r="F6" s="539"/>
      <c r="G6" s="539"/>
      <c r="H6" s="539"/>
      <c r="I6" s="539"/>
      <c r="J6" s="539"/>
      <c r="K6" s="539"/>
      <c r="L6" s="539"/>
      <c r="M6" s="539"/>
      <c r="N6" s="539"/>
      <c r="O6" s="539"/>
      <c r="P6" s="539"/>
      <c r="Q6" s="539"/>
      <c r="R6" s="539"/>
      <c r="S6" s="539"/>
      <c r="T6" s="539"/>
      <c r="U6" s="540"/>
    </row>
    <row r="7" spans="1:21" s="534" customFormat="1" ht="13.5" thickBot="1">
      <c r="A7" s="542"/>
      <c r="B7" s="543"/>
      <c r="C7" s="539"/>
      <c r="D7" s="539"/>
      <c r="E7" s="539"/>
      <c r="F7" s="539"/>
      <c r="G7" s="539"/>
      <c r="H7" s="539"/>
      <c r="I7" s="539"/>
      <c r="J7" s="539"/>
      <c r="K7" s="539"/>
      <c r="L7" s="539"/>
      <c r="M7" s="539"/>
      <c r="N7" s="539"/>
      <c r="O7" s="539"/>
      <c r="P7" s="539"/>
      <c r="Q7" s="539"/>
      <c r="R7" s="539"/>
      <c r="S7" s="539"/>
      <c r="T7" s="539"/>
      <c r="U7" s="540"/>
    </row>
    <row r="8" spans="1:21" ht="14.25" thickTop="1" thickBot="1">
      <c r="A8" s="544" t="s">
        <v>1224</v>
      </c>
      <c r="B8" s="545" t="s">
        <v>1225</v>
      </c>
      <c r="C8" s="546" t="s">
        <v>1226</v>
      </c>
      <c r="D8" s="547"/>
      <c r="E8" s="547"/>
      <c r="F8" s="547"/>
      <c r="G8" s="547"/>
      <c r="H8" s="547"/>
      <c r="I8" s="547"/>
      <c r="J8" s="547"/>
      <c r="K8" s="547"/>
      <c r="L8" s="547"/>
      <c r="M8" s="547"/>
      <c r="N8" s="547"/>
      <c r="O8" s="547"/>
      <c r="P8" s="547"/>
      <c r="Q8" s="547"/>
      <c r="R8" s="547"/>
      <c r="S8" s="547"/>
      <c r="T8" s="547"/>
      <c r="U8" s="548"/>
    </row>
    <row r="9" spans="1:21" ht="13.5" thickBot="1">
      <c r="A9" s="550" t="s">
        <v>1227</v>
      </c>
      <c r="B9" s="551">
        <v>39275</v>
      </c>
      <c r="C9" s="552">
        <v>41669</v>
      </c>
      <c r="D9" s="547"/>
      <c r="E9" s="547"/>
      <c r="F9" s="547"/>
      <c r="G9" s="547"/>
      <c r="H9" s="547"/>
      <c r="I9" s="547"/>
      <c r="J9" s="547"/>
      <c r="K9" s="547"/>
      <c r="L9" s="547"/>
      <c r="M9" s="547"/>
      <c r="N9" s="547"/>
      <c r="O9" s="547"/>
      <c r="P9" s="547"/>
      <c r="Q9" s="547"/>
      <c r="R9" s="547"/>
      <c r="S9" s="547"/>
      <c r="T9" s="547"/>
      <c r="U9" s="548"/>
    </row>
    <row r="10" spans="1:21" ht="13.5" thickBot="1">
      <c r="A10" s="550" t="s">
        <v>295</v>
      </c>
      <c r="B10" s="553" t="s">
        <v>425</v>
      </c>
      <c r="C10" s="554" t="s">
        <v>1254</v>
      </c>
      <c r="D10" s="547"/>
      <c r="E10" s="547"/>
      <c r="F10" s="547"/>
      <c r="G10" s="547"/>
      <c r="H10" s="547"/>
      <c r="I10" s="547"/>
      <c r="J10" s="547"/>
      <c r="K10" s="547"/>
      <c r="L10" s="547"/>
      <c r="M10" s="547"/>
      <c r="N10" s="547"/>
      <c r="O10" s="547"/>
      <c r="P10" s="547"/>
      <c r="Q10" s="547"/>
      <c r="R10" s="547"/>
      <c r="S10" s="547"/>
      <c r="T10" s="547"/>
      <c r="U10" s="548"/>
    </row>
    <row r="11" spans="1:21" s="560" customFormat="1" ht="141" thickBot="1">
      <c r="A11" s="555" t="s">
        <v>1228</v>
      </c>
      <c r="B11" s="556" t="s">
        <v>424</v>
      </c>
      <c r="C11" s="557" t="s">
        <v>1238</v>
      </c>
      <c r="D11" s="558"/>
      <c r="E11" s="558"/>
      <c r="F11" s="558"/>
      <c r="G11" s="558"/>
      <c r="H11" s="558"/>
      <c r="I11" s="558"/>
      <c r="J11" s="558"/>
      <c r="K11" s="558"/>
      <c r="L11" s="558"/>
      <c r="M11" s="558"/>
      <c r="N11" s="558"/>
      <c r="O11" s="558"/>
      <c r="P11" s="558"/>
      <c r="Q11" s="558"/>
      <c r="R11" s="558"/>
      <c r="S11" s="558"/>
      <c r="T11" s="558"/>
      <c r="U11" s="559"/>
    </row>
    <row r="12" spans="1:21" s="560" customFormat="1" ht="26.25" thickBot="1">
      <c r="A12" s="611" t="s">
        <v>297</v>
      </c>
      <c r="B12" s="556" t="s">
        <v>426</v>
      </c>
      <c r="C12" s="557" t="s">
        <v>426</v>
      </c>
      <c r="D12" s="558"/>
      <c r="E12" s="558"/>
      <c r="F12" s="558"/>
      <c r="G12" s="558"/>
      <c r="H12" s="558"/>
      <c r="I12" s="558"/>
      <c r="J12" s="558"/>
      <c r="K12" s="558"/>
      <c r="L12" s="558"/>
      <c r="M12" s="558"/>
      <c r="N12" s="558"/>
      <c r="O12" s="558"/>
      <c r="P12" s="558"/>
      <c r="Q12" s="558"/>
      <c r="R12" s="558"/>
      <c r="S12" s="558"/>
      <c r="T12" s="558"/>
      <c r="U12" s="559"/>
    </row>
    <row r="13" spans="1:21" s="560" customFormat="1" ht="26.25" thickBot="1">
      <c r="A13" s="612"/>
      <c r="B13" s="556" t="s">
        <v>298</v>
      </c>
      <c r="C13" s="557" t="s">
        <v>298</v>
      </c>
      <c r="D13" s="558"/>
      <c r="E13" s="558"/>
      <c r="F13" s="558"/>
      <c r="G13" s="558"/>
      <c r="H13" s="558"/>
      <c r="I13" s="558"/>
      <c r="J13" s="558"/>
      <c r="K13" s="558"/>
      <c r="L13" s="558"/>
      <c r="M13" s="558"/>
      <c r="N13" s="558"/>
      <c r="O13" s="558"/>
      <c r="P13" s="558"/>
      <c r="Q13" s="558"/>
      <c r="R13" s="558"/>
      <c r="S13" s="558"/>
      <c r="T13" s="558"/>
      <c r="U13" s="559"/>
    </row>
    <row r="14" spans="1:21" s="560" customFormat="1" ht="13.5" thickBot="1">
      <c r="A14" s="612"/>
      <c r="B14" s="556" t="s">
        <v>299</v>
      </c>
      <c r="C14" s="557" t="s">
        <v>299</v>
      </c>
      <c r="D14" s="558"/>
      <c r="E14" s="558"/>
      <c r="F14" s="558"/>
      <c r="G14" s="558"/>
      <c r="H14" s="558"/>
      <c r="I14" s="558"/>
      <c r="J14" s="558"/>
      <c r="K14" s="558"/>
      <c r="L14" s="558"/>
      <c r="M14" s="558"/>
      <c r="N14" s="558"/>
      <c r="O14" s="558"/>
      <c r="P14" s="558"/>
      <c r="Q14" s="558"/>
      <c r="R14" s="558"/>
      <c r="S14" s="558"/>
      <c r="T14" s="558"/>
      <c r="U14" s="559"/>
    </row>
    <row r="15" spans="1:21" s="560" customFormat="1" ht="13.5" thickBot="1">
      <c r="A15" s="612"/>
      <c r="B15" s="556" t="s">
        <v>300</v>
      </c>
      <c r="C15" s="557" t="s">
        <v>300</v>
      </c>
      <c r="D15" s="558"/>
      <c r="E15" s="558"/>
      <c r="F15" s="558"/>
      <c r="G15" s="558"/>
      <c r="H15" s="558"/>
      <c r="I15" s="558"/>
      <c r="J15" s="558"/>
      <c r="K15" s="558"/>
      <c r="L15" s="558"/>
      <c r="M15" s="558"/>
      <c r="N15" s="558"/>
      <c r="O15" s="558"/>
      <c r="P15" s="558"/>
      <c r="Q15" s="558"/>
      <c r="R15" s="558"/>
      <c r="S15" s="558"/>
      <c r="T15" s="558"/>
      <c r="U15" s="559"/>
    </row>
    <row r="16" spans="1:21" s="560" customFormat="1" ht="13.5" thickBot="1">
      <c r="A16" s="612"/>
      <c r="B16" s="556" t="s">
        <v>301</v>
      </c>
      <c r="C16" s="557" t="s">
        <v>301</v>
      </c>
      <c r="D16" s="558"/>
      <c r="E16" s="558"/>
      <c r="F16" s="558"/>
      <c r="G16" s="558"/>
      <c r="H16" s="558"/>
      <c r="I16" s="558"/>
      <c r="J16" s="558"/>
      <c r="K16" s="558"/>
      <c r="L16" s="558"/>
      <c r="M16" s="558"/>
      <c r="N16" s="558"/>
      <c r="O16" s="558"/>
      <c r="P16" s="558"/>
      <c r="Q16" s="558"/>
      <c r="R16" s="558"/>
      <c r="S16" s="558"/>
      <c r="T16" s="558"/>
      <c r="U16" s="559"/>
    </row>
    <row r="17" spans="1:21" s="560" customFormat="1" ht="13.5" thickBot="1">
      <c r="A17" s="612"/>
      <c r="B17" s="556" t="s">
        <v>302</v>
      </c>
      <c r="C17" s="557" t="s">
        <v>302</v>
      </c>
      <c r="D17" s="558"/>
      <c r="E17" s="558"/>
      <c r="F17" s="558"/>
      <c r="G17" s="558"/>
      <c r="H17" s="558"/>
      <c r="I17" s="558"/>
      <c r="J17" s="558"/>
      <c r="K17" s="558"/>
      <c r="L17" s="558"/>
      <c r="M17" s="558"/>
      <c r="N17" s="558"/>
      <c r="O17" s="558"/>
      <c r="P17" s="558"/>
      <c r="Q17" s="558"/>
      <c r="R17" s="558"/>
      <c r="S17" s="558"/>
      <c r="T17" s="558"/>
      <c r="U17" s="559"/>
    </row>
    <row r="18" spans="1:21" ht="13.5" thickBot="1">
      <c r="A18" s="613"/>
      <c r="B18" s="556" t="s">
        <v>303</v>
      </c>
      <c r="C18" s="557" t="s">
        <v>303</v>
      </c>
      <c r="D18" s="547"/>
      <c r="E18" s="547"/>
      <c r="F18" s="547"/>
      <c r="G18" s="547"/>
      <c r="H18" s="547"/>
      <c r="I18" s="547"/>
      <c r="J18" s="547"/>
      <c r="K18" s="547"/>
      <c r="L18" s="547"/>
      <c r="M18" s="547"/>
      <c r="N18" s="547"/>
      <c r="O18" s="547"/>
      <c r="P18" s="547"/>
      <c r="Q18" s="547"/>
      <c r="R18" s="547"/>
      <c r="S18" s="547"/>
      <c r="T18" s="547"/>
      <c r="U18" s="548"/>
    </row>
    <row r="19" spans="1:21" ht="39" thickBot="1">
      <c r="A19" s="550" t="s">
        <v>304</v>
      </c>
      <c r="B19" s="561" t="s">
        <v>427</v>
      </c>
      <c r="C19" s="562" t="s">
        <v>427</v>
      </c>
      <c r="D19" s="547"/>
      <c r="E19" s="547"/>
      <c r="F19" s="547"/>
      <c r="G19" s="547"/>
      <c r="H19" s="547"/>
      <c r="I19" s="547"/>
      <c r="J19" s="547"/>
      <c r="K19" s="547"/>
      <c r="L19" s="547"/>
      <c r="M19" s="547"/>
      <c r="N19" s="547"/>
      <c r="O19" s="547"/>
      <c r="P19" s="547"/>
      <c r="Q19" s="547"/>
      <c r="R19" s="547"/>
      <c r="S19" s="547"/>
      <c r="T19" s="547"/>
      <c r="U19" s="548"/>
    </row>
    <row r="20" spans="1:21" ht="13.5" thickBot="1">
      <c r="A20" s="563" t="s">
        <v>305</v>
      </c>
      <c r="B20" s="564" t="s">
        <v>435</v>
      </c>
      <c r="C20" s="565" t="s">
        <v>1255</v>
      </c>
      <c r="D20" s="566"/>
      <c r="E20" s="547"/>
      <c r="F20" s="547"/>
      <c r="G20" s="547"/>
      <c r="H20" s="547"/>
      <c r="I20" s="547"/>
      <c r="J20" s="547"/>
      <c r="K20" s="547"/>
      <c r="L20" s="547"/>
      <c r="M20" s="547"/>
      <c r="N20" s="547"/>
      <c r="O20" s="547"/>
      <c r="P20" s="547"/>
      <c r="Q20" s="547"/>
      <c r="R20" s="547"/>
      <c r="S20" s="547"/>
      <c r="T20" s="547"/>
      <c r="U20" s="548"/>
    </row>
    <row r="21" spans="1:21" ht="14.25" thickTop="1" thickBot="1">
      <c r="A21" s="567"/>
      <c r="B21" s="567"/>
      <c r="C21" s="568"/>
      <c r="D21" s="568"/>
      <c r="E21" s="569"/>
      <c r="F21" s="547"/>
      <c r="G21" s="547"/>
      <c r="H21" s="547"/>
      <c r="I21" s="547"/>
      <c r="J21" s="547"/>
      <c r="K21" s="547"/>
      <c r="L21" s="547"/>
      <c r="M21" s="547"/>
      <c r="N21" s="547"/>
      <c r="O21" s="547"/>
      <c r="P21" s="547"/>
      <c r="Q21" s="547"/>
      <c r="R21" s="547"/>
      <c r="S21" s="547"/>
      <c r="T21" s="547"/>
      <c r="U21" s="548"/>
    </row>
    <row r="22" spans="1:21" ht="13.5" thickBot="1">
      <c r="A22" s="570" t="s">
        <v>1229</v>
      </c>
      <c r="B22" s="567"/>
      <c r="C22" s="568"/>
      <c r="D22" s="568"/>
      <c r="E22" s="569"/>
      <c r="F22" s="547"/>
      <c r="G22" s="547"/>
      <c r="H22" s="547"/>
      <c r="I22" s="547"/>
      <c r="J22" s="547"/>
      <c r="K22" s="547"/>
      <c r="L22" s="547"/>
      <c r="M22" s="547"/>
      <c r="N22" s="547"/>
      <c r="O22" s="547"/>
      <c r="P22" s="547"/>
      <c r="Q22" s="547"/>
      <c r="R22" s="547"/>
      <c r="S22" s="547"/>
      <c r="T22" s="547"/>
      <c r="U22" s="548"/>
    </row>
    <row r="23" spans="1:21" ht="13.5" thickBot="1">
      <c r="A23" s="567"/>
      <c r="B23" s="568"/>
      <c r="C23" s="568"/>
      <c r="D23" s="568"/>
      <c r="E23" s="569"/>
      <c r="F23" s="547"/>
      <c r="G23" s="547"/>
      <c r="H23" s="547"/>
      <c r="I23" s="547"/>
      <c r="J23" s="547"/>
      <c r="K23" s="547"/>
      <c r="L23" s="547"/>
      <c r="M23" s="547"/>
      <c r="N23" s="547"/>
      <c r="O23" s="547"/>
      <c r="P23" s="547"/>
      <c r="Q23" s="547"/>
      <c r="R23" s="547"/>
      <c r="S23" s="547"/>
      <c r="T23" s="547"/>
      <c r="U23" s="548"/>
    </row>
    <row r="24" spans="1:21" ht="13.5" thickBot="1">
      <c r="A24" s="571" t="s">
        <v>296</v>
      </c>
      <c r="B24" s="568"/>
      <c r="C24" s="568"/>
      <c r="D24" s="568"/>
      <c r="E24" s="569"/>
      <c r="F24" s="547"/>
      <c r="G24" s="547"/>
      <c r="H24" s="547"/>
      <c r="I24" s="547"/>
      <c r="J24" s="547"/>
      <c r="K24" s="547"/>
      <c r="L24" s="547"/>
      <c r="M24" s="547"/>
      <c r="N24" s="547"/>
      <c r="O24" s="547"/>
      <c r="P24" s="547"/>
      <c r="Q24" s="547"/>
      <c r="R24" s="547"/>
      <c r="S24" s="547"/>
      <c r="T24" s="547"/>
      <c r="U24" s="548"/>
    </row>
    <row r="25" spans="1:21" ht="13.5" thickBot="1">
      <c r="A25" s="572" t="s">
        <v>1230</v>
      </c>
      <c r="B25" s="568"/>
      <c r="C25" s="568"/>
      <c r="D25" s="568"/>
      <c r="E25" s="569"/>
      <c r="F25" s="547"/>
      <c r="G25" s="547"/>
      <c r="H25" s="547"/>
      <c r="I25" s="547"/>
      <c r="J25" s="547"/>
      <c r="K25" s="547"/>
      <c r="L25" s="547"/>
      <c r="M25" s="547"/>
      <c r="N25" s="547"/>
      <c r="O25" s="547"/>
      <c r="P25" s="547"/>
      <c r="Q25" s="547"/>
      <c r="R25" s="547"/>
      <c r="S25" s="547"/>
      <c r="T25" s="547"/>
      <c r="U25" s="548"/>
    </row>
    <row r="26" spans="1:21" ht="13.5" thickBot="1">
      <c r="A26" s="567"/>
      <c r="B26" s="567"/>
      <c r="C26" s="568"/>
      <c r="D26" s="568"/>
      <c r="E26" s="569"/>
      <c r="F26" s="547"/>
      <c r="G26" s="547"/>
      <c r="H26" s="547"/>
      <c r="I26" s="547"/>
      <c r="J26" s="547"/>
      <c r="K26" s="547"/>
      <c r="L26" s="547"/>
      <c r="M26" s="547"/>
      <c r="N26" s="547"/>
      <c r="O26" s="547"/>
      <c r="P26" s="547"/>
      <c r="Q26" s="547"/>
      <c r="R26" s="547"/>
      <c r="S26" s="547"/>
      <c r="T26" s="547"/>
      <c r="U26" s="548"/>
    </row>
    <row r="27" spans="1:21" ht="13.5" thickBot="1">
      <c r="A27" s="571" t="s">
        <v>306</v>
      </c>
      <c r="B27" s="568"/>
      <c r="C27" s="568"/>
      <c r="D27" s="568"/>
      <c r="E27" s="569"/>
      <c r="F27" s="547"/>
      <c r="G27" s="547"/>
      <c r="H27" s="547"/>
      <c r="I27" s="547"/>
      <c r="J27" s="547"/>
      <c r="K27" s="547"/>
      <c r="L27" s="547"/>
      <c r="M27" s="547"/>
      <c r="N27" s="547"/>
      <c r="O27" s="547"/>
      <c r="P27" s="547"/>
      <c r="Q27" s="547"/>
      <c r="R27" s="547"/>
      <c r="S27" s="547"/>
      <c r="T27" s="547"/>
      <c r="U27" s="548"/>
    </row>
    <row r="28" spans="1:21" ht="13.5" thickBot="1">
      <c r="A28" s="609" t="s">
        <v>1231</v>
      </c>
      <c r="B28" s="609"/>
      <c r="C28" s="609"/>
      <c r="D28" s="568"/>
      <c r="E28" s="569"/>
      <c r="F28" s="547"/>
      <c r="G28" s="547"/>
      <c r="H28" s="547"/>
      <c r="I28" s="547"/>
      <c r="J28" s="547"/>
      <c r="K28" s="547"/>
      <c r="L28" s="547"/>
      <c r="M28" s="547"/>
      <c r="N28" s="547"/>
      <c r="O28" s="547"/>
      <c r="P28" s="547"/>
      <c r="Q28" s="547"/>
      <c r="R28" s="547"/>
      <c r="S28" s="547"/>
      <c r="T28" s="547"/>
      <c r="U28" s="548"/>
    </row>
    <row r="29" spans="1:21" ht="13.5" thickBot="1">
      <c r="A29" s="567"/>
      <c r="B29" s="568"/>
      <c r="C29" s="568"/>
      <c r="D29" s="568"/>
      <c r="E29" s="569"/>
      <c r="F29" s="547"/>
      <c r="G29" s="547"/>
      <c r="H29" s="547"/>
      <c r="I29" s="547"/>
      <c r="J29" s="547"/>
      <c r="K29" s="547"/>
      <c r="L29" s="547"/>
      <c r="M29" s="547"/>
      <c r="N29" s="547"/>
      <c r="O29" s="547"/>
      <c r="P29" s="547"/>
      <c r="Q29" s="547"/>
      <c r="R29" s="547"/>
      <c r="S29" s="547"/>
      <c r="T29" s="547"/>
      <c r="U29" s="548"/>
    </row>
    <row r="30" spans="1:21" ht="13.5" thickBot="1">
      <c r="A30" s="571" t="s">
        <v>1232</v>
      </c>
      <c r="B30" s="568"/>
      <c r="C30" s="568"/>
      <c r="D30" s="568"/>
      <c r="E30" s="569"/>
      <c r="F30" s="547"/>
      <c r="G30" s="547"/>
      <c r="H30" s="547"/>
      <c r="I30" s="547"/>
      <c r="J30" s="547"/>
      <c r="K30" s="547"/>
      <c r="L30" s="547"/>
      <c r="M30" s="547"/>
      <c r="N30" s="547"/>
      <c r="O30" s="547"/>
      <c r="P30" s="547"/>
      <c r="Q30" s="547"/>
      <c r="R30" s="547"/>
      <c r="S30" s="547"/>
      <c r="T30" s="547"/>
      <c r="U30" s="548"/>
    </row>
    <row r="31" spans="1:21" s="576" customFormat="1" ht="13.5" thickBot="1">
      <c r="A31" s="610" t="s">
        <v>1233</v>
      </c>
      <c r="B31" s="610"/>
      <c r="C31" s="610"/>
      <c r="D31" s="610"/>
      <c r="E31" s="573"/>
      <c r="F31" s="574"/>
      <c r="G31" s="574"/>
      <c r="H31" s="574"/>
      <c r="I31" s="574"/>
      <c r="J31" s="574"/>
      <c r="K31" s="574"/>
      <c r="L31" s="574"/>
      <c r="M31" s="574"/>
      <c r="N31" s="574"/>
      <c r="O31" s="574"/>
      <c r="P31" s="574"/>
      <c r="Q31" s="574"/>
      <c r="R31" s="574"/>
      <c r="S31" s="574"/>
      <c r="T31" s="574"/>
      <c r="U31" s="575"/>
    </row>
    <row r="32" spans="1:21" s="576" customFormat="1" ht="13.5" thickBot="1">
      <c r="A32" s="577"/>
      <c r="B32" s="567"/>
      <c r="C32" s="567"/>
      <c r="D32" s="567"/>
      <c r="E32" s="573"/>
      <c r="F32" s="574"/>
      <c r="G32" s="574"/>
      <c r="H32" s="574"/>
      <c r="I32" s="574"/>
      <c r="J32" s="574"/>
      <c r="K32" s="574"/>
      <c r="L32" s="574"/>
      <c r="M32" s="574"/>
      <c r="N32" s="574"/>
      <c r="O32" s="574"/>
      <c r="P32" s="574"/>
      <c r="Q32" s="574"/>
      <c r="R32" s="574"/>
      <c r="S32" s="574"/>
      <c r="T32" s="574"/>
      <c r="U32" s="575"/>
    </row>
    <row r="33" spans="1:21" s="576" customFormat="1" ht="13.5" thickBot="1">
      <c r="A33" s="578" t="s">
        <v>428</v>
      </c>
      <c r="B33" s="567"/>
      <c r="C33" s="567"/>
      <c r="D33" s="567"/>
      <c r="E33" s="573"/>
      <c r="F33" s="574"/>
      <c r="G33" s="574"/>
      <c r="H33" s="574"/>
      <c r="I33" s="574"/>
      <c r="J33" s="574"/>
      <c r="K33" s="574"/>
      <c r="L33" s="574"/>
      <c r="M33" s="574"/>
      <c r="N33" s="574"/>
      <c r="O33" s="574"/>
      <c r="P33" s="574"/>
      <c r="Q33" s="574"/>
      <c r="R33" s="574"/>
      <c r="S33" s="574"/>
      <c r="T33" s="574"/>
      <c r="U33" s="575"/>
    </row>
    <row r="34" spans="1:21" s="576" customFormat="1" ht="13.5" thickBot="1">
      <c r="A34" s="577" t="s">
        <v>1235</v>
      </c>
      <c r="B34" s="567"/>
      <c r="C34" s="567"/>
      <c r="D34" s="567"/>
      <c r="E34" s="573"/>
      <c r="F34" s="574"/>
      <c r="G34" s="574"/>
      <c r="H34" s="574"/>
      <c r="I34" s="574"/>
      <c r="J34" s="574"/>
      <c r="K34" s="574"/>
      <c r="L34" s="574"/>
      <c r="M34" s="574"/>
      <c r="N34" s="574"/>
      <c r="O34" s="574"/>
      <c r="P34" s="574"/>
      <c r="Q34" s="574"/>
      <c r="R34" s="574"/>
      <c r="S34" s="574"/>
      <c r="T34" s="574"/>
      <c r="U34" s="575"/>
    </row>
    <row r="35" spans="1:21" s="576" customFormat="1" ht="13.5" thickBot="1">
      <c r="A35" s="577"/>
      <c r="B35" s="567"/>
      <c r="C35" s="567"/>
      <c r="D35" s="567"/>
      <c r="E35" s="573"/>
      <c r="F35" s="574"/>
      <c r="G35" s="574"/>
      <c r="H35" s="574"/>
      <c r="I35" s="574"/>
      <c r="J35" s="574"/>
      <c r="K35" s="574"/>
      <c r="L35" s="574"/>
      <c r="M35" s="574"/>
      <c r="N35" s="574"/>
      <c r="O35" s="574"/>
      <c r="P35" s="574"/>
      <c r="Q35" s="574"/>
      <c r="R35" s="574"/>
      <c r="S35" s="574"/>
      <c r="T35" s="574"/>
      <c r="U35" s="575"/>
    </row>
    <row r="36" spans="1:21" s="576" customFormat="1" ht="13.5" thickBot="1">
      <c r="A36" s="578" t="s">
        <v>1236</v>
      </c>
      <c r="B36" s="567"/>
      <c r="C36" s="567"/>
      <c r="D36" s="567"/>
      <c r="E36" s="573"/>
      <c r="F36" s="574"/>
      <c r="G36" s="574"/>
      <c r="H36" s="574"/>
      <c r="I36" s="574"/>
      <c r="J36" s="574"/>
      <c r="K36" s="574"/>
      <c r="L36" s="574"/>
      <c r="M36" s="574"/>
      <c r="N36" s="574"/>
      <c r="O36" s="574"/>
      <c r="P36" s="574"/>
      <c r="Q36" s="574"/>
      <c r="R36" s="574"/>
      <c r="S36" s="574"/>
      <c r="T36" s="574"/>
      <c r="U36" s="575"/>
    </row>
    <row r="37" spans="1:21" s="576" customFormat="1" ht="13.5" thickBot="1">
      <c r="A37" s="577" t="s">
        <v>1237</v>
      </c>
      <c r="B37" s="567"/>
      <c r="C37" s="567"/>
      <c r="D37" s="567"/>
      <c r="E37" s="573"/>
      <c r="F37" s="574"/>
      <c r="G37" s="574"/>
      <c r="H37" s="574"/>
      <c r="I37" s="574"/>
      <c r="J37" s="574"/>
      <c r="K37" s="574"/>
      <c r="L37" s="574"/>
      <c r="M37" s="574"/>
      <c r="N37" s="574"/>
      <c r="O37" s="574"/>
      <c r="P37" s="574"/>
      <c r="Q37" s="574"/>
      <c r="R37" s="574"/>
      <c r="S37" s="574"/>
      <c r="T37" s="574"/>
      <c r="U37" s="575"/>
    </row>
    <row r="38" spans="1:21" s="576" customFormat="1" ht="13.5" thickBot="1">
      <c r="A38" s="577"/>
      <c r="B38" s="567"/>
      <c r="C38" s="567"/>
      <c r="D38" s="567"/>
      <c r="E38" s="573"/>
      <c r="F38" s="574"/>
      <c r="G38" s="574"/>
      <c r="H38" s="574"/>
      <c r="I38" s="574"/>
      <c r="J38" s="574"/>
      <c r="K38" s="574"/>
      <c r="L38" s="574"/>
      <c r="M38" s="574"/>
      <c r="N38" s="574"/>
      <c r="O38" s="574"/>
      <c r="P38" s="574"/>
      <c r="Q38" s="574"/>
      <c r="R38" s="574"/>
      <c r="S38" s="574"/>
      <c r="T38" s="574"/>
      <c r="U38" s="575"/>
    </row>
    <row r="39" spans="1:21" s="576" customFormat="1" ht="13.5" thickBot="1">
      <c r="A39" s="571" t="s">
        <v>429</v>
      </c>
      <c r="B39" s="567"/>
      <c r="C39" s="567"/>
      <c r="D39" s="567"/>
      <c r="E39" s="573"/>
      <c r="F39" s="574"/>
      <c r="G39" s="574"/>
      <c r="H39" s="574"/>
      <c r="I39" s="574"/>
      <c r="J39" s="574"/>
      <c r="K39" s="574"/>
      <c r="L39" s="574"/>
      <c r="M39" s="574"/>
      <c r="N39" s="574"/>
      <c r="O39" s="574"/>
      <c r="P39" s="574"/>
      <c r="Q39" s="574"/>
      <c r="R39" s="574"/>
      <c r="S39" s="574"/>
      <c r="T39" s="574"/>
      <c r="U39" s="575"/>
    </row>
    <row r="40" spans="1:21" s="576" customFormat="1" ht="13.5" thickBot="1">
      <c r="A40" s="579" t="s">
        <v>432</v>
      </c>
      <c r="B40" s="567"/>
      <c r="C40" s="567"/>
      <c r="D40" s="567"/>
      <c r="E40" s="573"/>
      <c r="F40" s="574"/>
      <c r="G40" s="574"/>
      <c r="H40" s="574"/>
      <c r="I40" s="574"/>
      <c r="J40" s="574"/>
      <c r="K40" s="574"/>
      <c r="L40" s="574"/>
      <c r="M40" s="574"/>
      <c r="N40" s="574"/>
      <c r="O40" s="574"/>
      <c r="P40" s="574"/>
      <c r="Q40" s="574"/>
      <c r="R40" s="574"/>
      <c r="S40" s="574"/>
      <c r="T40" s="574"/>
      <c r="U40" s="575"/>
    </row>
    <row r="41" spans="1:21" s="576" customFormat="1" ht="13.5" thickBot="1">
      <c r="A41" s="579"/>
      <c r="B41" s="567"/>
      <c r="C41" s="567"/>
      <c r="D41" s="567"/>
      <c r="E41" s="573"/>
      <c r="F41" s="574"/>
      <c r="G41" s="574"/>
      <c r="H41" s="574"/>
      <c r="I41" s="574"/>
      <c r="J41" s="574"/>
      <c r="K41" s="574"/>
      <c r="L41" s="574"/>
      <c r="M41" s="574"/>
      <c r="N41" s="574"/>
      <c r="O41" s="574"/>
      <c r="P41" s="574"/>
      <c r="Q41" s="574"/>
      <c r="R41" s="574"/>
      <c r="S41" s="574"/>
      <c r="T41" s="574"/>
      <c r="U41" s="575"/>
    </row>
    <row r="42" spans="1:21" s="576" customFormat="1" ht="13.5" thickBot="1">
      <c r="A42" s="580" t="s">
        <v>119</v>
      </c>
      <c r="B42" s="567"/>
      <c r="C42" s="567"/>
      <c r="D42" s="567"/>
      <c r="E42" s="573"/>
      <c r="F42" s="574"/>
      <c r="G42" s="574"/>
      <c r="H42" s="574"/>
      <c r="I42" s="574"/>
      <c r="J42" s="574"/>
      <c r="K42" s="574"/>
      <c r="L42" s="574"/>
      <c r="M42" s="574"/>
      <c r="N42" s="574"/>
      <c r="O42" s="574"/>
      <c r="P42" s="574"/>
      <c r="Q42" s="574"/>
      <c r="R42" s="574"/>
      <c r="S42" s="574"/>
      <c r="T42" s="574"/>
      <c r="U42" s="575"/>
    </row>
    <row r="43" spans="1:21" s="576" customFormat="1" ht="13.5" thickBot="1">
      <c r="A43" s="579" t="s">
        <v>433</v>
      </c>
      <c r="B43" s="567"/>
      <c r="C43" s="567"/>
      <c r="D43" s="567"/>
      <c r="E43" s="573"/>
      <c r="F43" s="574"/>
      <c r="G43" s="574"/>
      <c r="H43" s="574"/>
      <c r="I43" s="574"/>
      <c r="J43" s="574"/>
      <c r="K43" s="574"/>
      <c r="L43" s="574"/>
      <c r="M43" s="574"/>
      <c r="N43" s="574"/>
      <c r="O43" s="574"/>
      <c r="P43" s="574"/>
      <c r="Q43" s="574"/>
      <c r="R43" s="574"/>
      <c r="S43" s="574"/>
      <c r="T43" s="574"/>
      <c r="U43" s="575"/>
    </row>
    <row r="44" spans="1:21" s="576" customFormat="1" ht="13.5" thickBot="1">
      <c r="A44" s="579"/>
      <c r="B44" s="567"/>
      <c r="C44" s="567"/>
      <c r="D44" s="567"/>
      <c r="E44" s="573"/>
      <c r="F44" s="574"/>
      <c r="G44" s="574"/>
      <c r="H44" s="574"/>
      <c r="I44" s="574"/>
      <c r="J44" s="574"/>
      <c r="K44" s="574"/>
      <c r="L44" s="574"/>
      <c r="M44" s="574"/>
      <c r="N44" s="574"/>
      <c r="O44" s="574"/>
      <c r="P44" s="574"/>
      <c r="Q44" s="574"/>
      <c r="R44" s="574"/>
      <c r="S44" s="574"/>
      <c r="T44" s="574"/>
      <c r="U44" s="575"/>
    </row>
    <row r="45" spans="1:21" s="576" customFormat="1" ht="13.5" thickBot="1">
      <c r="A45" s="580" t="s">
        <v>307</v>
      </c>
      <c r="B45" s="567"/>
      <c r="C45" s="567"/>
      <c r="D45" s="567"/>
      <c r="E45" s="573"/>
      <c r="F45" s="574"/>
      <c r="G45" s="574"/>
      <c r="H45" s="574"/>
      <c r="I45" s="574"/>
      <c r="J45" s="574"/>
      <c r="K45" s="574"/>
      <c r="L45" s="574"/>
      <c r="M45" s="574"/>
      <c r="N45" s="574"/>
      <c r="O45" s="574"/>
      <c r="P45" s="574"/>
      <c r="Q45" s="574"/>
      <c r="R45" s="574"/>
      <c r="S45" s="574"/>
      <c r="T45" s="574"/>
      <c r="U45" s="575"/>
    </row>
    <row r="46" spans="1:21" s="576" customFormat="1" ht="13.5" thickBot="1">
      <c r="A46" s="579" t="s">
        <v>437</v>
      </c>
      <c r="B46" s="567"/>
      <c r="C46" s="567"/>
      <c r="D46" s="567"/>
      <c r="E46" s="573"/>
      <c r="F46" s="574"/>
      <c r="G46" s="574"/>
      <c r="H46" s="574"/>
      <c r="I46" s="574"/>
      <c r="J46" s="574"/>
      <c r="K46" s="574"/>
      <c r="L46" s="574"/>
      <c r="M46" s="574"/>
      <c r="N46" s="574"/>
      <c r="O46" s="574"/>
      <c r="P46" s="574"/>
      <c r="Q46" s="574"/>
      <c r="R46" s="574"/>
      <c r="S46" s="574"/>
      <c r="T46" s="574"/>
      <c r="U46" s="575"/>
    </row>
    <row r="47" spans="1:21" s="576" customFormat="1" ht="13.5" thickBot="1">
      <c r="A47" s="319"/>
      <c r="B47" s="567"/>
      <c r="C47" s="567"/>
      <c r="D47" s="567"/>
      <c r="E47" s="573"/>
      <c r="F47" s="574"/>
      <c r="G47" s="574"/>
      <c r="H47" s="574"/>
      <c r="I47" s="574"/>
      <c r="J47" s="574"/>
      <c r="K47" s="574"/>
      <c r="L47" s="574"/>
      <c r="M47" s="574"/>
      <c r="N47" s="574"/>
      <c r="O47" s="574"/>
      <c r="P47" s="574"/>
      <c r="Q47" s="574"/>
      <c r="R47" s="574"/>
      <c r="S47" s="574"/>
      <c r="T47" s="574"/>
      <c r="U47" s="575"/>
    </row>
    <row r="48" spans="1:21" s="576" customFormat="1" ht="13.5" thickBot="1">
      <c r="A48" s="578" t="s">
        <v>430</v>
      </c>
      <c r="B48" s="567"/>
      <c r="C48" s="567"/>
      <c r="D48" s="567"/>
      <c r="E48" s="573"/>
      <c r="F48" s="574"/>
      <c r="G48" s="574"/>
      <c r="H48" s="574"/>
      <c r="I48" s="574"/>
      <c r="J48" s="574"/>
      <c r="K48" s="574"/>
      <c r="L48" s="574"/>
      <c r="M48" s="574"/>
      <c r="N48" s="574"/>
      <c r="O48" s="574"/>
      <c r="P48" s="574"/>
      <c r="Q48" s="574"/>
      <c r="R48" s="574"/>
      <c r="S48" s="574"/>
      <c r="T48" s="574"/>
      <c r="U48" s="575"/>
    </row>
    <row r="49" spans="1:21" s="576" customFormat="1" ht="13.5" thickBot="1">
      <c r="A49" s="581" t="s">
        <v>434</v>
      </c>
      <c r="B49" s="567"/>
      <c r="C49" s="567"/>
      <c r="D49" s="567"/>
      <c r="E49" s="573"/>
      <c r="F49" s="574"/>
      <c r="G49" s="574"/>
      <c r="H49" s="574"/>
      <c r="I49" s="574"/>
      <c r="J49" s="574"/>
      <c r="K49" s="574"/>
      <c r="L49" s="574"/>
      <c r="M49" s="574"/>
      <c r="N49" s="574"/>
      <c r="O49" s="574"/>
      <c r="P49" s="574"/>
      <c r="Q49" s="574"/>
      <c r="R49" s="574"/>
      <c r="S49" s="574"/>
      <c r="T49" s="574"/>
      <c r="U49" s="575"/>
    </row>
    <row r="50" spans="1:21" s="576" customFormat="1" ht="13.5" thickBot="1">
      <c r="A50" s="319"/>
      <c r="B50" s="567"/>
      <c r="C50" s="567"/>
      <c r="D50" s="567"/>
      <c r="E50" s="573"/>
      <c r="F50" s="574"/>
      <c r="G50" s="574"/>
      <c r="H50" s="574"/>
      <c r="I50" s="574"/>
      <c r="J50" s="574"/>
      <c r="K50" s="574"/>
      <c r="L50" s="574"/>
      <c r="M50" s="574"/>
      <c r="N50" s="574"/>
      <c r="O50" s="574"/>
      <c r="P50" s="574"/>
      <c r="Q50" s="574"/>
      <c r="R50" s="574"/>
      <c r="S50" s="574"/>
      <c r="T50" s="574"/>
      <c r="U50" s="575"/>
    </row>
    <row r="51" spans="1:21" s="576" customFormat="1" ht="13.5" thickBot="1">
      <c r="A51" s="578" t="s">
        <v>166</v>
      </c>
      <c r="B51" s="567"/>
      <c r="C51" s="567"/>
      <c r="D51" s="567"/>
      <c r="E51" s="573"/>
      <c r="F51" s="574"/>
      <c r="G51" s="574"/>
      <c r="H51" s="574"/>
      <c r="I51" s="574"/>
      <c r="J51" s="574"/>
      <c r="K51" s="574"/>
      <c r="L51" s="574"/>
      <c r="M51" s="574"/>
      <c r="N51" s="574"/>
      <c r="O51" s="574"/>
      <c r="P51" s="574"/>
      <c r="Q51" s="574"/>
      <c r="R51" s="574"/>
      <c r="S51" s="574"/>
      <c r="T51" s="574"/>
      <c r="U51" s="575"/>
    </row>
    <row r="52" spans="1:21" s="576" customFormat="1" ht="13.5" thickBot="1">
      <c r="A52" s="319" t="s">
        <v>436</v>
      </c>
      <c r="B52" s="567"/>
      <c r="C52" s="567"/>
      <c r="D52" s="567"/>
      <c r="E52" s="573"/>
      <c r="F52" s="574"/>
      <c r="G52" s="574"/>
      <c r="H52" s="574"/>
      <c r="I52" s="574"/>
      <c r="J52" s="574"/>
      <c r="K52" s="574"/>
      <c r="L52" s="574"/>
      <c r="M52" s="574"/>
      <c r="N52" s="574"/>
      <c r="O52" s="574"/>
      <c r="P52" s="574"/>
      <c r="Q52" s="574"/>
      <c r="R52" s="574"/>
      <c r="S52" s="574"/>
      <c r="T52" s="574"/>
      <c r="U52" s="575"/>
    </row>
    <row r="53" spans="1:21" s="576" customFormat="1" ht="13.5" thickBot="1">
      <c r="A53" s="319"/>
      <c r="B53" s="567"/>
      <c r="C53" s="567"/>
      <c r="D53" s="567"/>
      <c r="E53" s="573"/>
      <c r="F53" s="574"/>
      <c r="G53" s="574"/>
      <c r="H53" s="574"/>
      <c r="I53" s="574"/>
      <c r="J53" s="574"/>
      <c r="K53" s="574"/>
      <c r="L53" s="574"/>
      <c r="M53" s="574"/>
      <c r="N53" s="574"/>
      <c r="O53" s="574"/>
      <c r="P53" s="574"/>
      <c r="Q53" s="574"/>
      <c r="R53" s="574"/>
      <c r="S53" s="574"/>
      <c r="T53" s="574"/>
      <c r="U53" s="575"/>
    </row>
    <row r="54" spans="1:21" s="576" customFormat="1" ht="13.5" thickBot="1">
      <c r="A54" s="578" t="s">
        <v>431</v>
      </c>
      <c r="B54" s="567"/>
      <c r="C54" s="567"/>
      <c r="D54" s="567"/>
      <c r="E54" s="573"/>
      <c r="F54" s="574"/>
      <c r="G54" s="574"/>
      <c r="H54" s="574"/>
      <c r="I54" s="574"/>
      <c r="J54" s="574"/>
      <c r="K54" s="574"/>
      <c r="L54" s="574"/>
      <c r="M54" s="574"/>
      <c r="N54" s="574"/>
      <c r="O54" s="574"/>
      <c r="P54" s="574"/>
      <c r="Q54" s="574"/>
      <c r="R54" s="574"/>
      <c r="S54" s="574"/>
      <c r="T54" s="574"/>
      <c r="U54" s="575"/>
    </row>
    <row r="55" spans="1:21" s="576" customFormat="1" ht="13.5" thickBot="1">
      <c r="A55" s="319" t="s">
        <v>438</v>
      </c>
      <c r="B55" s="567"/>
      <c r="C55" s="567"/>
      <c r="D55" s="567"/>
      <c r="E55" s="573"/>
      <c r="F55" s="574"/>
      <c r="G55" s="574"/>
      <c r="H55" s="574"/>
      <c r="I55" s="574"/>
      <c r="J55" s="574"/>
      <c r="K55" s="574"/>
      <c r="L55" s="574"/>
      <c r="M55" s="574"/>
      <c r="N55" s="574"/>
      <c r="O55" s="574"/>
      <c r="P55" s="574"/>
      <c r="Q55" s="574"/>
      <c r="R55" s="574"/>
      <c r="S55" s="574"/>
      <c r="T55" s="574"/>
      <c r="U55" s="575"/>
    </row>
    <row r="56" spans="1:21" s="576" customFormat="1" ht="13.5" thickBot="1">
      <c r="A56" s="577"/>
      <c r="B56" s="567"/>
      <c r="C56" s="567"/>
      <c r="D56" s="567"/>
      <c r="E56" s="573"/>
      <c r="F56" s="574"/>
      <c r="G56" s="574"/>
      <c r="H56" s="574"/>
      <c r="I56" s="574"/>
      <c r="J56" s="574"/>
      <c r="K56" s="574"/>
      <c r="L56" s="574"/>
      <c r="M56" s="574"/>
      <c r="N56" s="574"/>
      <c r="O56" s="574"/>
      <c r="P56" s="574"/>
      <c r="Q56" s="574"/>
      <c r="R56" s="574"/>
      <c r="S56" s="574"/>
      <c r="T56" s="574"/>
      <c r="U56" s="575"/>
    </row>
  </sheetData>
  <mergeCells count="4">
    <mergeCell ref="B2:C6"/>
    <mergeCell ref="A28:C28"/>
    <mergeCell ref="A31:D31"/>
    <mergeCell ref="A12:A18"/>
  </mergeCells>
  <hyperlinks>
    <hyperlink ref="A24" location="'Activity Description'!A1" display="Project Description"/>
    <hyperlink ref="A30" location="'Cost Benefit Summary'!A1" display="Cost Benefit Summary"/>
    <hyperlink ref="A27" location="'ERR &amp; Sensitivity Analysis'!A1" display="ERR &amp; Sensitivity Analysis"/>
    <hyperlink ref="A39" location="'Hypotheses - Assumptions'!A1" display="Hypotheses - Assumptions"/>
    <hyperlink ref="A42" location="Fundamentals!A1" display="Fundamentals"/>
    <hyperlink ref="A45" location="'Value Chain'!A1" display="Value Chain"/>
    <hyperlink ref="A48" location="'MG Unit Model 2'!A1" display="MG Unit Model 2"/>
    <hyperlink ref="A51" location="'Cash Flow'!A1" display="Cash Flow"/>
    <hyperlink ref="A54" location="'Disaggregated ERR'!A1" display="Disaggregated ERR"/>
    <hyperlink ref="A36" location="'ooc2 DFP'!A1" display="Ooc2 DFP"/>
    <hyperlink ref="A33" location="'ERR Summary'!A1" display="ERR Summary"/>
  </hyperlinks>
  <pageMargins left="0.78740157499999996" right="0.78740157499999996" top="0.984251969" bottom="0.984251969"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H126"/>
  <sheetViews>
    <sheetView showGridLines="0" topLeftCell="A76" zoomScale="85" zoomScaleNormal="100" workbookViewId="0">
      <selection activeCell="H105" sqref="H105:V105"/>
    </sheetView>
  </sheetViews>
  <sheetFormatPr defaultColWidth="14.85546875" defaultRowHeight="16.5"/>
  <cols>
    <col min="1" max="1" width="29.5703125" style="85" bestFit="1" customWidth="1"/>
    <col min="2" max="3" width="13.85546875" style="85" customWidth="1"/>
    <col min="4" max="4" width="15.7109375" style="85" customWidth="1"/>
    <col min="5" max="5" width="12.7109375" style="85" customWidth="1"/>
    <col min="6" max="6" width="10.7109375" style="85" customWidth="1"/>
    <col min="7" max="7" width="14.28515625" style="85" bestFit="1" customWidth="1"/>
    <col min="8" max="8" width="14.85546875" style="85" customWidth="1"/>
    <col min="9" max="9" width="14.85546875" style="81" customWidth="1"/>
    <col min="10" max="16384" width="14.85546875" style="85"/>
  </cols>
  <sheetData>
    <row r="1" spans="1:33" s="81" customFormat="1">
      <c r="A1" s="305" t="s">
        <v>153</v>
      </c>
      <c r="B1" s="79"/>
      <c r="C1" s="79"/>
      <c r="D1" s="80"/>
      <c r="E1" s="79"/>
    </row>
    <row r="2" spans="1:33" s="81" customFormat="1">
      <c r="A2" s="305" t="s">
        <v>154</v>
      </c>
      <c r="B2" s="79"/>
      <c r="C2" s="79"/>
      <c r="D2" s="80"/>
      <c r="E2" s="79"/>
    </row>
    <row r="3" spans="1:33" s="81" customFormat="1">
      <c r="A3" s="305" t="s">
        <v>155</v>
      </c>
      <c r="B3" s="79"/>
      <c r="C3" s="79"/>
      <c r="D3" s="80"/>
      <c r="E3" s="79"/>
    </row>
    <row r="4" spans="1:33" ht="18">
      <c r="A4" s="675" t="s">
        <v>170</v>
      </c>
      <c r="B4" s="675"/>
      <c r="C4" s="675"/>
      <c r="D4" s="675"/>
      <c r="E4" s="675"/>
      <c r="F4" s="675"/>
      <c r="G4" s="675"/>
      <c r="H4" s="675"/>
      <c r="I4" s="675"/>
      <c r="J4" s="675"/>
      <c r="K4" s="675"/>
    </row>
    <row r="5" spans="1:33" s="81" customFormat="1" ht="17.25" customHeight="1">
      <c r="A5" s="615">
        <f>IF('ERR &amp; Sensitivity Analysis'!$I$10="N","Note: Current calculations are based on user input and are not the original MCC estimates.",IF('ERR &amp; Sensitivity Analysis'!$I$11="N","Note: Current calculations are based on user input and are not the original MCC estimates.",0))</f>
        <v>0</v>
      </c>
      <c r="B5" s="615"/>
      <c r="C5" s="615"/>
      <c r="D5" s="615"/>
      <c r="E5" s="615"/>
      <c r="F5" s="615"/>
      <c r="G5" s="615"/>
      <c r="H5" s="615"/>
      <c r="I5" s="615"/>
      <c r="J5" s="82"/>
      <c r="K5" s="82"/>
      <c r="Q5" s="83" t="s">
        <v>156</v>
      </c>
      <c r="R5" s="83"/>
      <c r="S5" s="83"/>
      <c r="T5" s="83"/>
      <c r="U5" s="83"/>
      <c r="V5" s="83"/>
      <c r="W5" s="83"/>
      <c r="X5" s="83"/>
      <c r="Y5" s="83"/>
      <c r="Z5" s="83"/>
      <c r="AA5" s="83"/>
      <c r="AB5" s="83"/>
      <c r="AC5" s="83"/>
      <c r="AD5" s="83"/>
      <c r="AE5" s="83"/>
      <c r="AF5" s="83"/>
      <c r="AG5" s="83"/>
    </row>
    <row r="6" spans="1:33" ht="17.25" thickBot="1">
      <c r="A6" s="84"/>
    </row>
    <row r="7" spans="1:33" ht="12.75">
      <c r="A7" s="86" t="s">
        <v>156</v>
      </c>
      <c r="B7" s="86" t="s">
        <v>350</v>
      </c>
      <c r="C7" s="86" t="s">
        <v>16</v>
      </c>
      <c r="D7" s="86" t="s">
        <v>20</v>
      </c>
      <c r="E7" s="86" t="s">
        <v>21</v>
      </c>
      <c r="F7" s="86" t="s">
        <v>22</v>
      </c>
      <c r="G7" s="86" t="s">
        <v>157</v>
      </c>
      <c r="H7" s="86" t="s">
        <v>26</v>
      </c>
      <c r="I7" s="86" t="s">
        <v>158</v>
      </c>
      <c r="J7" s="86" t="s">
        <v>159</v>
      </c>
      <c r="K7" s="86" t="s">
        <v>160</v>
      </c>
    </row>
    <row r="8" spans="1:33" ht="12.75">
      <c r="A8" s="87"/>
      <c r="B8" s="88"/>
      <c r="C8" s="88"/>
      <c r="D8" s="88"/>
      <c r="E8" s="88"/>
      <c r="F8" s="88"/>
      <c r="G8" s="88"/>
      <c r="H8" s="88"/>
      <c r="I8" s="88"/>
      <c r="J8" s="88"/>
      <c r="K8" s="88"/>
    </row>
    <row r="9" spans="1:33" ht="12.75">
      <c r="A9" s="87" t="s">
        <v>161</v>
      </c>
      <c r="B9" s="89">
        <f>SUM(C9:J9)</f>
        <v>38222</v>
      </c>
      <c r="C9" s="88">
        <v>0</v>
      </c>
      <c r="D9" s="88">
        <v>0</v>
      </c>
      <c r="E9" s="88">
        <v>10045</v>
      </c>
      <c r="F9" s="88">
        <v>3097</v>
      </c>
      <c r="G9" s="88">
        <v>3169</v>
      </c>
      <c r="H9" s="88">
        <v>10045</v>
      </c>
      <c r="I9" s="88">
        <v>5158.5</v>
      </c>
      <c r="J9" s="88">
        <v>6707.5</v>
      </c>
      <c r="K9" s="88">
        <f>SUM(C9:J9)</f>
        <v>38222</v>
      </c>
    </row>
    <row r="10" spans="1:33" ht="12.75">
      <c r="A10" s="87" t="s">
        <v>349</v>
      </c>
      <c r="B10" s="90">
        <f>SUM(C10:J10)</f>
        <v>211833.0348957</v>
      </c>
      <c r="C10" s="88">
        <v>0</v>
      </c>
      <c r="D10" s="87">
        <v>0</v>
      </c>
      <c r="E10" s="87">
        <v>54132.03</v>
      </c>
      <c r="F10" s="87">
        <v>19464.278777999996</v>
      </c>
      <c r="G10" s="87">
        <v>24521.528600999998</v>
      </c>
      <c r="H10" s="87">
        <v>55100.075007599982</v>
      </c>
      <c r="I10" s="87">
        <v>24621.110009099997</v>
      </c>
      <c r="J10" s="87">
        <v>33994.012500000004</v>
      </c>
      <c r="K10" s="87">
        <f>SUM(C10:J10)</f>
        <v>211833.0348957</v>
      </c>
    </row>
    <row r="11" spans="1:33" ht="12.75">
      <c r="A11" s="87" t="s">
        <v>348</v>
      </c>
      <c r="B11" s="90">
        <f>SUM(C11:J11)</f>
        <v>17437.74358974359</v>
      </c>
      <c r="C11" s="88">
        <v>0</v>
      </c>
      <c r="D11" s="87">
        <v>0</v>
      </c>
      <c r="E11" s="87">
        <v>4200</v>
      </c>
      <c r="F11" s="87">
        <v>1956.4615384615386</v>
      </c>
      <c r="G11" s="87">
        <v>2091.5384615384619</v>
      </c>
      <c r="H11" s="87">
        <v>4200</v>
      </c>
      <c r="I11" s="87">
        <v>2130.2564102564106</v>
      </c>
      <c r="J11" s="87">
        <v>2859.4871794871797</v>
      </c>
      <c r="K11" s="87">
        <f>SUM(C11:J11)</f>
        <v>17437.74358974359</v>
      </c>
    </row>
    <row r="12" spans="1:33" ht="13.5" thickBot="1">
      <c r="A12" s="91" t="s">
        <v>346</v>
      </c>
      <c r="B12" s="92">
        <f t="shared" ref="B12:J12" si="0">SUM(B9:B11)</f>
        <v>267492.77848544356</v>
      </c>
      <c r="C12" s="92">
        <f t="shared" si="0"/>
        <v>0</v>
      </c>
      <c r="D12" s="92">
        <f t="shared" si="0"/>
        <v>0</v>
      </c>
      <c r="E12" s="92">
        <f t="shared" si="0"/>
        <v>68377.03</v>
      </c>
      <c r="F12" s="92">
        <f t="shared" si="0"/>
        <v>24517.740316461535</v>
      </c>
      <c r="G12" s="92">
        <f t="shared" si="0"/>
        <v>29782.067062538459</v>
      </c>
      <c r="H12" s="92">
        <f t="shared" si="0"/>
        <v>69345.075007599982</v>
      </c>
      <c r="I12" s="92">
        <f t="shared" si="0"/>
        <v>31909.866419356407</v>
      </c>
      <c r="J12" s="92">
        <f t="shared" si="0"/>
        <v>43560.999679487184</v>
      </c>
      <c r="K12" s="92">
        <f>SUM(C12:J12)</f>
        <v>267492.77848544356</v>
      </c>
    </row>
    <row r="13" spans="1:33" ht="13.5" thickBot="1">
      <c r="A13" s="87"/>
      <c r="B13" s="87"/>
      <c r="C13" s="87"/>
      <c r="D13" s="87"/>
      <c r="E13" s="87"/>
      <c r="F13" s="87"/>
      <c r="G13" s="87"/>
      <c r="H13" s="87"/>
      <c r="I13" s="87"/>
      <c r="J13" s="87"/>
      <c r="K13" s="87"/>
    </row>
    <row r="14" spans="1:33" ht="38.25">
      <c r="A14" s="86" t="s">
        <v>347</v>
      </c>
      <c r="B14" s="86"/>
      <c r="C14" s="86">
        <v>1</v>
      </c>
      <c r="D14" s="86">
        <f t="shared" ref="D14:K14" si="1">+C14+1</f>
        <v>2</v>
      </c>
      <c r="E14" s="86">
        <f t="shared" si="1"/>
        <v>3</v>
      </c>
      <c r="F14" s="86">
        <f t="shared" si="1"/>
        <v>4</v>
      </c>
      <c r="G14" s="86">
        <f t="shared" si="1"/>
        <v>5</v>
      </c>
      <c r="H14" s="86">
        <f t="shared" si="1"/>
        <v>6</v>
      </c>
      <c r="I14" s="86">
        <f t="shared" si="1"/>
        <v>7</v>
      </c>
      <c r="J14" s="86">
        <f t="shared" si="1"/>
        <v>8</v>
      </c>
      <c r="K14" s="86">
        <f t="shared" si="1"/>
        <v>9</v>
      </c>
    </row>
    <row r="15" spans="1:33" ht="12.75">
      <c r="A15" s="87" t="s">
        <v>16</v>
      </c>
      <c r="B15" s="87"/>
      <c r="C15" s="90">
        <v>0</v>
      </c>
      <c r="D15" s="90">
        <v>0</v>
      </c>
      <c r="E15" s="90">
        <v>0</v>
      </c>
      <c r="F15" s="90">
        <v>0</v>
      </c>
      <c r="G15" s="90">
        <v>0</v>
      </c>
      <c r="H15" s="90">
        <v>0</v>
      </c>
      <c r="I15" s="90">
        <v>0</v>
      </c>
      <c r="J15" s="90">
        <v>0</v>
      </c>
      <c r="K15" s="90">
        <v>0</v>
      </c>
    </row>
    <row r="16" spans="1:33" ht="12.75">
      <c r="A16" s="87" t="s">
        <v>20</v>
      </c>
      <c r="B16" s="87"/>
      <c r="C16" s="90">
        <v>0</v>
      </c>
      <c r="D16" s="90">
        <v>0</v>
      </c>
      <c r="E16" s="90">
        <v>0</v>
      </c>
      <c r="F16" s="90">
        <v>0</v>
      </c>
      <c r="G16" s="90">
        <v>0</v>
      </c>
      <c r="H16" s="90">
        <v>0</v>
      </c>
      <c r="I16" s="90">
        <v>0</v>
      </c>
      <c r="J16" s="90">
        <v>0</v>
      </c>
      <c r="K16" s="90">
        <v>0</v>
      </c>
    </row>
    <row r="17" spans="1:11" ht="12.75">
      <c r="A17" s="87" t="s">
        <v>21</v>
      </c>
      <c r="B17" s="87"/>
      <c r="C17" s="90"/>
      <c r="D17" s="90">
        <v>1</v>
      </c>
      <c r="E17" s="90">
        <v>1</v>
      </c>
      <c r="F17" s="90">
        <v>1</v>
      </c>
      <c r="G17" s="90">
        <v>1</v>
      </c>
      <c r="H17" s="90">
        <v>1</v>
      </c>
      <c r="I17" s="90">
        <v>1</v>
      </c>
      <c r="J17" s="90">
        <v>1</v>
      </c>
      <c r="K17" s="90">
        <v>1</v>
      </c>
    </row>
    <row r="18" spans="1:11" ht="12.75">
      <c r="A18" s="87" t="s">
        <v>22</v>
      </c>
      <c r="B18" s="87"/>
      <c r="C18" s="90"/>
      <c r="D18" s="90">
        <v>1</v>
      </c>
      <c r="E18" s="90">
        <v>1</v>
      </c>
      <c r="F18" s="90">
        <v>1</v>
      </c>
      <c r="G18" s="90">
        <v>1</v>
      </c>
      <c r="H18" s="90">
        <v>1</v>
      </c>
      <c r="I18" s="90">
        <v>1</v>
      </c>
      <c r="J18" s="90">
        <v>1</v>
      </c>
      <c r="K18" s="90">
        <v>1</v>
      </c>
    </row>
    <row r="19" spans="1:11" ht="12.75">
      <c r="A19" s="87" t="s">
        <v>157</v>
      </c>
      <c r="B19" s="87"/>
      <c r="C19" s="90"/>
      <c r="D19" s="90">
        <v>1</v>
      </c>
      <c r="E19" s="90">
        <v>1</v>
      </c>
      <c r="F19" s="90">
        <v>1</v>
      </c>
      <c r="G19" s="90">
        <v>1</v>
      </c>
      <c r="H19" s="90">
        <v>1</v>
      </c>
      <c r="I19" s="90">
        <v>1</v>
      </c>
      <c r="J19" s="90">
        <v>1</v>
      </c>
      <c r="K19" s="90">
        <v>1</v>
      </c>
    </row>
    <row r="20" spans="1:11" ht="12.75">
      <c r="A20" s="87" t="s">
        <v>26</v>
      </c>
      <c r="B20" s="87"/>
      <c r="C20" s="90"/>
      <c r="D20" s="90"/>
      <c r="E20" s="90">
        <v>1</v>
      </c>
      <c r="F20" s="90">
        <v>1</v>
      </c>
      <c r="G20" s="90">
        <v>1</v>
      </c>
      <c r="H20" s="90">
        <v>1</v>
      </c>
      <c r="I20" s="90">
        <v>1</v>
      </c>
      <c r="J20" s="90">
        <v>1</v>
      </c>
      <c r="K20" s="90">
        <v>1</v>
      </c>
    </row>
    <row r="21" spans="1:11" ht="12.75">
      <c r="A21" s="87" t="s">
        <v>158</v>
      </c>
      <c r="B21" s="87"/>
      <c r="C21" s="90"/>
      <c r="D21" s="90"/>
      <c r="E21" s="90">
        <v>1</v>
      </c>
      <c r="F21" s="90">
        <v>1</v>
      </c>
      <c r="G21" s="90">
        <v>1</v>
      </c>
      <c r="H21" s="90">
        <v>1</v>
      </c>
      <c r="I21" s="90">
        <v>1</v>
      </c>
      <c r="J21" s="90">
        <v>1</v>
      </c>
      <c r="K21" s="90">
        <v>1</v>
      </c>
    </row>
    <row r="22" spans="1:11" ht="12.75">
      <c r="A22" s="87" t="s">
        <v>159</v>
      </c>
      <c r="B22" s="87"/>
      <c r="C22" s="90"/>
      <c r="D22" s="90"/>
      <c r="E22" s="90">
        <v>1</v>
      </c>
      <c r="F22" s="90">
        <v>1</v>
      </c>
      <c r="G22" s="90">
        <v>1</v>
      </c>
      <c r="H22" s="90">
        <v>1</v>
      </c>
      <c r="I22" s="90">
        <v>1</v>
      </c>
      <c r="J22" s="90">
        <v>1</v>
      </c>
      <c r="K22" s="90">
        <v>1</v>
      </c>
    </row>
    <row r="23" spans="1:11" ht="13.5" thickBot="1">
      <c r="A23" s="87"/>
      <c r="B23" s="87"/>
      <c r="C23" s="87"/>
      <c r="D23" s="87"/>
      <c r="E23" s="87"/>
      <c r="F23" s="87"/>
      <c r="G23" s="87"/>
      <c r="H23" s="87"/>
      <c r="I23" s="87"/>
      <c r="J23" s="87"/>
      <c r="K23" s="87"/>
    </row>
    <row r="24" spans="1:11" ht="12.75">
      <c r="A24" s="86" t="s">
        <v>156</v>
      </c>
      <c r="B24" s="86" t="s">
        <v>350</v>
      </c>
      <c r="C24" s="86" t="s">
        <v>16</v>
      </c>
      <c r="D24" s="86" t="s">
        <v>20</v>
      </c>
      <c r="E24" s="86" t="s">
        <v>21</v>
      </c>
      <c r="F24" s="86" t="s">
        <v>22</v>
      </c>
      <c r="G24" s="86" t="s">
        <v>157</v>
      </c>
      <c r="H24" s="86" t="s">
        <v>26</v>
      </c>
      <c r="I24" s="86" t="s">
        <v>158</v>
      </c>
      <c r="J24" s="86" t="s">
        <v>159</v>
      </c>
      <c r="K24" s="86" t="s">
        <v>160</v>
      </c>
    </row>
    <row r="25" spans="1:11" ht="12.75">
      <c r="A25" s="87"/>
      <c r="B25" s="87"/>
      <c r="C25" s="87"/>
      <c r="D25" s="87"/>
      <c r="E25" s="87"/>
      <c r="F25" s="87"/>
      <c r="G25" s="87"/>
      <c r="H25" s="87"/>
      <c r="I25" s="87"/>
      <c r="J25" s="87"/>
      <c r="K25" s="87"/>
    </row>
    <row r="26" spans="1:11" ht="12.75">
      <c r="A26" s="87" t="s">
        <v>351</v>
      </c>
      <c r="B26" s="90">
        <v>2260.9439671391751</v>
      </c>
      <c r="C26" s="87">
        <v>0</v>
      </c>
      <c r="D26" s="87">
        <f>Fundamentals!I57</f>
        <v>1502.4336494845356</v>
      </c>
      <c r="E26" s="87">
        <f>Fundamentals!J57</f>
        <v>6154.7601030927854</v>
      </c>
      <c r="F26" s="87">
        <f>Fundamentals!K57</f>
        <v>1843.598969072164</v>
      </c>
      <c r="G26" s="87">
        <f>Fundamentals!N57</f>
        <v>3130.2334020618546</v>
      </c>
      <c r="H26" s="87">
        <f>Fundamentals!O57</f>
        <v>5301.0309278350505</v>
      </c>
      <c r="I26" s="87">
        <f>Fundamentals!P57</f>
        <v>1522.5483711340194</v>
      </c>
      <c r="J26" s="87">
        <f>Fundamentals!Q57</f>
        <v>5035.2989690721643</v>
      </c>
      <c r="K26" s="87">
        <f>SUM(C26:J26)</f>
        <v>24489.904391752578</v>
      </c>
    </row>
    <row r="27" spans="1:11" ht="12.75">
      <c r="A27" s="87" t="s">
        <v>352</v>
      </c>
      <c r="B27" s="87"/>
      <c r="C27" s="87">
        <f>Fundamentals!E27</f>
        <v>10883.111752577321</v>
      </c>
      <c r="D27" s="87">
        <f>Fundamentals!I27</f>
        <v>7512.16824742268</v>
      </c>
      <c r="E27" s="87">
        <f>Fundamentals!J27</f>
        <v>12309.520206185569</v>
      </c>
      <c r="F27" s="87">
        <f>Fundamentals!K27</f>
        <v>3687.1979381443302</v>
      </c>
      <c r="G27" s="87">
        <f>Fundamentals!N27</f>
        <v>6260.466804123711</v>
      </c>
      <c r="H27" s="87">
        <f>Fundamentals!O27</f>
        <v>26505.15463917526</v>
      </c>
      <c r="I27" s="87">
        <f>Fundamentals!P27</f>
        <v>7612.7418556701041</v>
      </c>
      <c r="J27" s="87">
        <f>Fundamentals!Q27</f>
        <v>10070.59793814433</v>
      </c>
      <c r="K27" s="87">
        <f>SUM(C27:J27)</f>
        <v>84840.959381443303</v>
      </c>
    </row>
    <row r="28" spans="1:11" ht="12.75">
      <c r="A28" s="87" t="s">
        <v>354</v>
      </c>
      <c r="B28" s="95">
        <v>7</v>
      </c>
      <c r="C28" s="96">
        <v>7.8</v>
      </c>
      <c r="D28" s="96">
        <v>7</v>
      </c>
      <c r="E28" s="96">
        <v>7</v>
      </c>
      <c r="F28" s="96">
        <v>7</v>
      </c>
      <c r="G28" s="96">
        <v>7</v>
      </c>
      <c r="H28" s="96">
        <v>7</v>
      </c>
      <c r="I28" s="96">
        <v>7</v>
      </c>
      <c r="J28" s="96">
        <v>7</v>
      </c>
      <c r="K28" s="96">
        <v>7</v>
      </c>
    </row>
    <row r="29" spans="1:11" ht="12.75">
      <c r="A29" s="87" t="s">
        <v>353</v>
      </c>
      <c r="B29" s="95"/>
      <c r="C29" s="96">
        <f>C28+('Hypotheses - Assumptions'!$I35*'Hypotheses - Assumptions'!$I42)</f>
        <v>8</v>
      </c>
      <c r="D29" s="96">
        <f>D28+('Hypotheses - Assumptions'!$I35*'Hypotheses - Assumptions'!$I42)</f>
        <v>7.2</v>
      </c>
      <c r="E29" s="96">
        <f>E28+('Hypotheses - Assumptions'!$I35*'Hypotheses - Assumptions'!$I42)</f>
        <v>7.2</v>
      </c>
      <c r="F29" s="96">
        <f>F28+('Hypotheses - Assumptions'!$I35*'Hypotheses - Assumptions'!$I42)</f>
        <v>7.2</v>
      </c>
      <c r="G29" s="96">
        <f>G28+('Hypotheses - Assumptions'!$I35*'Hypotheses - Assumptions'!$I42)</f>
        <v>7.2</v>
      </c>
      <c r="H29" s="96">
        <f>H28+('Hypotheses - Assumptions'!$I35*'Hypotheses - Assumptions'!$I42)</f>
        <v>7.2</v>
      </c>
      <c r="I29" s="96">
        <f>I28+('Hypotheses - Assumptions'!$I35*'Hypotheses - Assumptions'!$I42)</f>
        <v>7.2</v>
      </c>
      <c r="J29" s="96">
        <f>J28+('Hypotheses - Assumptions'!$I35*'Hypotheses - Assumptions'!$I42)</f>
        <v>7.2</v>
      </c>
      <c r="K29" s="96">
        <f>K28+('Hypotheses - Assumptions'!$I35*'Hypotheses - Assumptions'!$I42)</f>
        <v>7.2</v>
      </c>
    </row>
    <row r="30" spans="1:11" ht="12.75">
      <c r="A30" s="87" t="s">
        <v>355</v>
      </c>
      <c r="B30" s="110">
        <v>0</v>
      </c>
      <c r="C30" s="111">
        <f t="shared" ref="C30:J30" si="2">B30</f>
        <v>0</v>
      </c>
      <c r="D30" s="111">
        <f t="shared" si="2"/>
        <v>0</v>
      </c>
      <c r="E30" s="111">
        <f t="shared" si="2"/>
        <v>0</v>
      </c>
      <c r="F30" s="111">
        <f t="shared" si="2"/>
        <v>0</v>
      </c>
      <c r="G30" s="111">
        <f t="shared" si="2"/>
        <v>0</v>
      </c>
      <c r="H30" s="111">
        <f t="shared" si="2"/>
        <v>0</v>
      </c>
      <c r="I30" s="111">
        <f t="shared" si="2"/>
        <v>0</v>
      </c>
      <c r="J30" s="111">
        <f t="shared" si="2"/>
        <v>0</v>
      </c>
      <c r="K30" s="96"/>
    </row>
    <row r="31" spans="1:11" ht="12.75">
      <c r="A31" s="87" t="s">
        <v>356</v>
      </c>
      <c r="B31" s="93">
        <f>'Hypotheses - Assumptions'!I50</f>
        <v>7.0000000000000007E-2</v>
      </c>
      <c r="C31" s="94">
        <f t="shared" ref="C31:K31" si="3">B31</f>
        <v>7.0000000000000007E-2</v>
      </c>
      <c r="D31" s="94">
        <f t="shared" si="3"/>
        <v>7.0000000000000007E-2</v>
      </c>
      <c r="E31" s="94">
        <f t="shared" si="3"/>
        <v>7.0000000000000007E-2</v>
      </c>
      <c r="F31" s="94">
        <f t="shared" si="3"/>
        <v>7.0000000000000007E-2</v>
      </c>
      <c r="G31" s="94">
        <f t="shared" si="3"/>
        <v>7.0000000000000007E-2</v>
      </c>
      <c r="H31" s="94">
        <f t="shared" si="3"/>
        <v>7.0000000000000007E-2</v>
      </c>
      <c r="I31" s="94">
        <f t="shared" si="3"/>
        <v>7.0000000000000007E-2</v>
      </c>
      <c r="J31" s="94">
        <f t="shared" si="3"/>
        <v>7.0000000000000007E-2</v>
      </c>
      <c r="K31" s="94">
        <f t="shared" si="3"/>
        <v>7.0000000000000007E-2</v>
      </c>
    </row>
    <row r="32" spans="1:11" ht="12.75">
      <c r="A32" s="87" t="s">
        <v>357</v>
      </c>
      <c r="B32" s="90">
        <v>8</v>
      </c>
      <c r="C32" s="87">
        <f>$B32*C$36</f>
        <v>16</v>
      </c>
      <c r="D32" s="87">
        <f t="shared" ref="D32:J32" si="4">$B32*D$36</f>
        <v>12</v>
      </c>
      <c r="E32" s="87">
        <f t="shared" si="4"/>
        <v>16</v>
      </c>
      <c r="F32" s="87">
        <f t="shared" si="4"/>
        <v>8</v>
      </c>
      <c r="G32" s="87">
        <f t="shared" si="4"/>
        <v>8</v>
      </c>
      <c r="H32" s="87">
        <f t="shared" si="4"/>
        <v>16</v>
      </c>
      <c r="I32" s="87">
        <f t="shared" si="4"/>
        <v>16</v>
      </c>
      <c r="J32" s="87">
        <f t="shared" si="4"/>
        <v>12</v>
      </c>
      <c r="K32" s="87">
        <f>SUM(C32:J32)</f>
        <v>104</v>
      </c>
    </row>
    <row r="33" spans="1:11" ht="12.75">
      <c r="A33" s="87" t="s">
        <v>162</v>
      </c>
      <c r="B33" s="97">
        <v>0.75</v>
      </c>
      <c r="C33" s="98">
        <f t="shared" ref="C33:J33" si="5">B33</f>
        <v>0.75</v>
      </c>
      <c r="D33" s="98">
        <f t="shared" si="5"/>
        <v>0.75</v>
      </c>
      <c r="E33" s="98">
        <f t="shared" si="5"/>
        <v>0.75</v>
      </c>
      <c r="F33" s="98">
        <f t="shared" si="5"/>
        <v>0.75</v>
      </c>
      <c r="G33" s="98">
        <f t="shared" si="5"/>
        <v>0.75</v>
      </c>
      <c r="H33" s="98">
        <f t="shared" si="5"/>
        <v>0.75</v>
      </c>
      <c r="I33" s="98">
        <f t="shared" si="5"/>
        <v>0.75</v>
      </c>
      <c r="J33" s="98">
        <f t="shared" si="5"/>
        <v>0.75</v>
      </c>
      <c r="K33" s="98"/>
    </row>
    <row r="34" spans="1:11" ht="13.5" thickBot="1">
      <c r="A34" s="91" t="s">
        <v>358</v>
      </c>
      <c r="B34" s="92"/>
      <c r="C34" s="92">
        <v>0</v>
      </c>
      <c r="D34" s="92">
        <v>0</v>
      </c>
      <c r="E34" s="92">
        <f>(  (   (E26*(1-'Hypotheses - Assumptions'!$I52))   +(E27*'Hypotheses - Assumptions'!$I71)  )   *E29 *(1+E30) *E31 )+(12*E32*E33)   +  (('Value Chain'!K36+'MG Unit Model 2'!E27)*'Value Chain'!K34*'Hypotheses - Assumptions'!$I50)</f>
        <v>7439.7295310041263</v>
      </c>
      <c r="F34" s="92">
        <f>(  (   (F26*(1-'Hypotheses - Assumptions'!$I52))   +(F27*'Hypotheses - Assumptions'!$I71)  )   *F29 *(1+F30) *F31 )+(12*F32*F33)   +  (('Value Chain'!L36+'MG Unit Model 2'!F27)*'Value Chain'!L34*'Hypotheses - Assumptions'!$I50)</f>
        <v>2257.3653459587626</v>
      </c>
      <c r="G34" s="92">
        <f>(  (   (G26*(1-'Hypotheses - Assumptions'!$I52))   +(G27*'Hypotheses - Assumptions'!$I71)  )   *G29 *(1+G30) *G31 )+(12*G32*G33)   +  (('Value Chain'!O36+'MG Unit Model 2'!G27)*'Value Chain'!O34*'Hypotheses - Assumptions'!$I50)</f>
        <v>3782.5160701360824</v>
      </c>
      <c r="H34" s="92">
        <f>(  (   (H26*(1-'Hypotheses - Assumptions'!$I52))   +(H27*'Hypotheses - Assumptions'!$I71)  )   *H29 *(1+H30) *H31 )+(12*H32*H33)   +  (('Value Chain'!P36+'MG Unit Model 2'!H27)*'Value Chain'!P34*'Hypotheses - Assumptions'!$I50)</f>
        <v>11940.384123711341</v>
      </c>
      <c r="I34" s="92">
        <f>(  (   (I26*(1-'Hypotheses - Assumptions'!$I52))   +(I27*'Hypotheses - Assumptions'!$I71)  )   *I29 *(1+I30) *I31 )+(12*I32*I33)   +  (('Value Chain'!Q36+'MG Unit Model 2'!I27)*'Value Chain'!Q34*'Hypotheses - Assumptions'!$I50)</f>
        <v>3405.2986109690723</v>
      </c>
      <c r="J34" s="92">
        <f>(  (   (J26*(1-'Hypotheses - Assumptions'!$I52))   +(J27*'Hypotheses - Assumptions'!$I71)  )   *J29 *(1+J30) *J31 )+(12*J32*J33)   +  (('Value Chain'!R36+'MG Unit Model 2'!J27)*'Value Chain'!R34*'Hypotheses - Assumptions'!$I50)</f>
        <v>6076.7426919587633</v>
      </c>
      <c r="K34" s="92">
        <f>SUM(C34:J34)</f>
        <v>34902.036373738149</v>
      </c>
    </row>
    <row r="35" spans="1:11" ht="12.75">
      <c r="A35" s="87"/>
      <c r="B35" s="87"/>
      <c r="C35" s="87"/>
      <c r="D35" s="87"/>
      <c r="E35" s="87"/>
      <c r="F35" s="87"/>
      <c r="G35" s="87"/>
      <c r="H35" s="87"/>
      <c r="I35" s="87"/>
      <c r="J35" s="87"/>
      <c r="K35" s="87"/>
    </row>
    <row r="36" spans="1:11" ht="12.75">
      <c r="A36" s="87" t="s">
        <v>359</v>
      </c>
      <c r="B36" s="96"/>
      <c r="C36" s="95">
        <v>2</v>
      </c>
      <c r="D36" s="95">
        <v>1.5</v>
      </c>
      <c r="E36" s="95">
        <v>2</v>
      </c>
      <c r="F36" s="95">
        <v>1</v>
      </c>
      <c r="G36" s="95">
        <v>1</v>
      </c>
      <c r="H36" s="95">
        <v>2</v>
      </c>
      <c r="I36" s="95">
        <v>2</v>
      </c>
      <c r="J36" s="95">
        <v>1.5</v>
      </c>
      <c r="K36" s="87"/>
    </row>
    <row r="37" spans="1:11" ht="12.75">
      <c r="A37" s="87"/>
      <c r="B37" s="96"/>
      <c r="C37" s="96"/>
      <c r="D37" s="96"/>
      <c r="E37" s="96"/>
      <c r="F37" s="96"/>
      <c r="G37" s="96"/>
      <c r="H37" s="96"/>
      <c r="I37" s="96"/>
      <c r="J37" s="96"/>
      <c r="K37" s="87"/>
    </row>
    <row r="38" spans="1:11" ht="12.75">
      <c r="A38" s="87" t="s">
        <v>360</v>
      </c>
      <c r="B38" s="90">
        <f>18*12</f>
        <v>216</v>
      </c>
      <c r="C38" s="87">
        <f t="shared" ref="C38:J40" si="6">$B38*C$36</f>
        <v>432</v>
      </c>
      <c r="D38" s="87">
        <f t="shared" si="6"/>
        <v>324</v>
      </c>
      <c r="E38" s="87">
        <f t="shared" si="6"/>
        <v>432</v>
      </c>
      <c r="F38" s="87">
        <f t="shared" si="6"/>
        <v>216</v>
      </c>
      <c r="G38" s="87">
        <f t="shared" si="6"/>
        <v>216</v>
      </c>
      <c r="H38" s="87">
        <f t="shared" si="6"/>
        <v>432</v>
      </c>
      <c r="I38" s="87">
        <f t="shared" si="6"/>
        <v>432</v>
      </c>
      <c r="J38" s="87">
        <f t="shared" si="6"/>
        <v>324</v>
      </c>
      <c r="K38" s="87">
        <f>SUM(C38:J38)</f>
        <v>2808</v>
      </c>
    </row>
    <row r="39" spans="1:11" ht="12.75">
      <c r="A39" s="87" t="s">
        <v>361</v>
      </c>
      <c r="B39" s="90">
        <f>6*12</f>
        <v>72</v>
      </c>
      <c r="C39" s="87">
        <f t="shared" si="6"/>
        <v>144</v>
      </c>
      <c r="D39" s="87">
        <f t="shared" si="6"/>
        <v>108</v>
      </c>
      <c r="E39" s="87">
        <f t="shared" si="6"/>
        <v>144</v>
      </c>
      <c r="F39" s="87">
        <f t="shared" si="6"/>
        <v>72</v>
      </c>
      <c r="G39" s="87">
        <f t="shared" si="6"/>
        <v>72</v>
      </c>
      <c r="H39" s="87">
        <f t="shared" si="6"/>
        <v>144</v>
      </c>
      <c r="I39" s="87">
        <f t="shared" si="6"/>
        <v>144</v>
      </c>
      <c r="J39" s="87">
        <f t="shared" si="6"/>
        <v>108</v>
      </c>
      <c r="K39" s="87">
        <f>SUM(C39:J39)</f>
        <v>936</v>
      </c>
    </row>
    <row r="40" spans="1:11" ht="12.75">
      <c r="A40" s="87" t="s">
        <v>362</v>
      </c>
      <c r="B40" s="90">
        <f>6*12</f>
        <v>72</v>
      </c>
      <c r="C40" s="87">
        <f t="shared" si="6"/>
        <v>144</v>
      </c>
      <c r="D40" s="87">
        <f t="shared" si="6"/>
        <v>108</v>
      </c>
      <c r="E40" s="87">
        <f t="shared" si="6"/>
        <v>144</v>
      </c>
      <c r="F40" s="87">
        <f t="shared" si="6"/>
        <v>72</v>
      </c>
      <c r="G40" s="87">
        <f t="shared" si="6"/>
        <v>72</v>
      </c>
      <c r="H40" s="87">
        <f t="shared" si="6"/>
        <v>144</v>
      </c>
      <c r="I40" s="87">
        <f t="shared" si="6"/>
        <v>144</v>
      </c>
      <c r="J40" s="87">
        <f t="shared" si="6"/>
        <v>108</v>
      </c>
      <c r="K40" s="87">
        <f>SUM(C40:J40)</f>
        <v>936</v>
      </c>
    </row>
    <row r="41" spans="1:11" ht="12.75">
      <c r="A41" s="99" t="s">
        <v>363</v>
      </c>
      <c r="B41" s="99">
        <f t="shared" ref="B41:K41" si="7">SUM(B38:B40)</f>
        <v>360</v>
      </c>
      <c r="C41" s="99">
        <f t="shared" si="7"/>
        <v>720</v>
      </c>
      <c r="D41" s="99">
        <f t="shared" si="7"/>
        <v>540</v>
      </c>
      <c r="E41" s="99">
        <f t="shared" si="7"/>
        <v>720</v>
      </c>
      <c r="F41" s="99">
        <f t="shared" si="7"/>
        <v>360</v>
      </c>
      <c r="G41" s="99">
        <f t="shared" si="7"/>
        <v>360</v>
      </c>
      <c r="H41" s="99">
        <f t="shared" si="7"/>
        <v>720</v>
      </c>
      <c r="I41" s="99">
        <f t="shared" si="7"/>
        <v>720</v>
      </c>
      <c r="J41" s="99">
        <f t="shared" si="7"/>
        <v>540</v>
      </c>
      <c r="K41" s="99">
        <f t="shared" si="7"/>
        <v>4680</v>
      </c>
    </row>
    <row r="42" spans="1:11" ht="12.75">
      <c r="A42" s="87" t="s">
        <v>163</v>
      </c>
      <c r="B42" s="90">
        <f>3*12</f>
        <v>36</v>
      </c>
      <c r="C42" s="87">
        <f t="shared" ref="C42:J43" si="8">$B42*C$36</f>
        <v>72</v>
      </c>
      <c r="D42" s="87">
        <f t="shared" si="8"/>
        <v>54</v>
      </c>
      <c r="E42" s="87">
        <f t="shared" si="8"/>
        <v>72</v>
      </c>
      <c r="F42" s="87">
        <f t="shared" si="8"/>
        <v>36</v>
      </c>
      <c r="G42" s="87">
        <f t="shared" si="8"/>
        <v>36</v>
      </c>
      <c r="H42" s="87">
        <f t="shared" si="8"/>
        <v>72</v>
      </c>
      <c r="I42" s="87">
        <f t="shared" si="8"/>
        <v>72</v>
      </c>
      <c r="J42" s="87">
        <f t="shared" si="8"/>
        <v>54</v>
      </c>
      <c r="K42" s="87">
        <f t="shared" ref="K42:K48" si="9">SUM(C42:J42)</f>
        <v>468</v>
      </c>
    </row>
    <row r="43" spans="1:11" ht="12.75">
      <c r="A43" s="87" t="s">
        <v>364</v>
      </c>
      <c r="B43" s="90">
        <f>10*12</f>
        <v>120</v>
      </c>
      <c r="C43" s="87">
        <f t="shared" si="8"/>
        <v>240</v>
      </c>
      <c r="D43" s="87">
        <f t="shared" si="8"/>
        <v>180</v>
      </c>
      <c r="E43" s="87">
        <f t="shared" si="8"/>
        <v>240</v>
      </c>
      <c r="F43" s="87">
        <f t="shared" si="8"/>
        <v>120</v>
      </c>
      <c r="G43" s="87">
        <f t="shared" si="8"/>
        <v>120</v>
      </c>
      <c r="H43" s="87">
        <f t="shared" si="8"/>
        <v>240</v>
      </c>
      <c r="I43" s="87">
        <f t="shared" si="8"/>
        <v>240</v>
      </c>
      <c r="J43" s="87">
        <f t="shared" si="8"/>
        <v>180</v>
      </c>
      <c r="K43" s="87">
        <f t="shared" si="9"/>
        <v>1560</v>
      </c>
    </row>
    <row r="44" spans="1:11" ht="12.75">
      <c r="A44" s="87" t="s">
        <v>164</v>
      </c>
      <c r="B44" s="93">
        <f>1%</f>
        <v>0.01</v>
      </c>
      <c r="C44" s="87">
        <f t="shared" ref="C44:J44" si="10">$B44*C12</f>
        <v>0</v>
      </c>
      <c r="D44" s="87">
        <f t="shared" si="10"/>
        <v>0</v>
      </c>
      <c r="E44" s="87">
        <f t="shared" si="10"/>
        <v>683.77030000000002</v>
      </c>
      <c r="F44" s="87">
        <f t="shared" si="10"/>
        <v>245.17740316461536</v>
      </c>
      <c r="G44" s="87">
        <f t="shared" si="10"/>
        <v>297.82067062538459</v>
      </c>
      <c r="H44" s="87">
        <f t="shared" si="10"/>
        <v>693.45075007599985</v>
      </c>
      <c r="I44" s="87">
        <f t="shared" si="10"/>
        <v>319.0986641935641</v>
      </c>
      <c r="J44" s="87">
        <f t="shared" si="10"/>
        <v>435.60999679487185</v>
      </c>
      <c r="K44" s="87">
        <f t="shared" si="9"/>
        <v>2674.9277848544357</v>
      </c>
    </row>
    <row r="45" spans="1:11" ht="12.75">
      <c r="A45" s="87" t="s">
        <v>365</v>
      </c>
      <c r="B45" s="90">
        <f>(3*2.8+3*2.5)*12</f>
        <v>190.79999999999998</v>
      </c>
      <c r="C45" s="87">
        <f t="shared" ref="C45:J48" si="11">$B45*C$36</f>
        <v>381.59999999999997</v>
      </c>
      <c r="D45" s="87">
        <f t="shared" si="11"/>
        <v>286.2</v>
      </c>
      <c r="E45" s="87">
        <f t="shared" si="11"/>
        <v>381.59999999999997</v>
      </c>
      <c r="F45" s="87">
        <f t="shared" si="11"/>
        <v>190.79999999999998</v>
      </c>
      <c r="G45" s="87">
        <f t="shared" si="11"/>
        <v>190.79999999999998</v>
      </c>
      <c r="H45" s="87">
        <f t="shared" si="11"/>
        <v>381.59999999999997</v>
      </c>
      <c r="I45" s="87">
        <f t="shared" si="11"/>
        <v>381.59999999999997</v>
      </c>
      <c r="J45" s="87">
        <f t="shared" si="11"/>
        <v>286.2</v>
      </c>
      <c r="K45" s="87">
        <f t="shared" si="9"/>
        <v>2480.3999999999996</v>
      </c>
    </row>
    <row r="46" spans="1:11" ht="12.75">
      <c r="A46" s="87" t="s">
        <v>366</v>
      </c>
      <c r="B46" s="90">
        <f>18*12</f>
        <v>216</v>
      </c>
      <c r="C46" s="87">
        <f t="shared" si="11"/>
        <v>432</v>
      </c>
      <c r="D46" s="87">
        <f t="shared" si="11"/>
        <v>324</v>
      </c>
      <c r="E46" s="87">
        <f t="shared" si="11"/>
        <v>432</v>
      </c>
      <c r="F46" s="87">
        <f t="shared" si="11"/>
        <v>216</v>
      </c>
      <c r="G46" s="87">
        <f t="shared" si="11"/>
        <v>216</v>
      </c>
      <c r="H46" s="87">
        <f t="shared" si="11"/>
        <v>432</v>
      </c>
      <c r="I46" s="87">
        <f t="shared" si="11"/>
        <v>432</v>
      </c>
      <c r="J46" s="87">
        <f t="shared" si="11"/>
        <v>324</v>
      </c>
      <c r="K46" s="87">
        <f t="shared" si="9"/>
        <v>2808</v>
      </c>
    </row>
    <row r="47" spans="1:11" ht="12.75">
      <c r="A47" s="87" t="s">
        <v>367</v>
      </c>
      <c r="B47" s="90">
        <f>6*12</f>
        <v>72</v>
      </c>
      <c r="C47" s="87">
        <f t="shared" si="11"/>
        <v>144</v>
      </c>
      <c r="D47" s="87">
        <f t="shared" si="11"/>
        <v>108</v>
      </c>
      <c r="E47" s="87">
        <f t="shared" si="11"/>
        <v>144</v>
      </c>
      <c r="F47" s="87">
        <f t="shared" si="11"/>
        <v>72</v>
      </c>
      <c r="G47" s="87">
        <f t="shared" si="11"/>
        <v>72</v>
      </c>
      <c r="H47" s="87">
        <f t="shared" si="11"/>
        <v>144</v>
      </c>
      <c r="I47" s="87">
        <f t="shared" si="11"/>
        <v>144</v>
      </c>
      <c r="J47" s="87">
        <f t="shared" si="11"/>
        <v>108</v>
      </c>
      <c r="K47" s="87">
        <f t="shared" si="9"/>
        <v>936</v>
      </c>
    </row>
    <row r="48" spans="1:11" ht="12.75">
      <c r="A48" s="87" t="s">
        <v>368</v>
      </c>
      <c r="B48" s="90">
        <f>10*12</f>
        <v>120</v>
      </c>
      <c r="C48" s="87">
        <f t="shared" si="11"/>
        <v>240</v>
      </c>
      <c r="D48" s="87">
        <f t="shared" si="11"/>
        <v>180</v>
      </c>
      <c r="E48" s="87">
        <f t="shared" si="11"/>
        <v>240</v>
      </c>
      <c r="F48" s="87">
        <f t="shared" si="11"/>
        <v>120</v>
      </c>
      <c r="G48" s="87">
        <f t="shared" si="11"/>
        <v>120</v>
      </c>
      <c r="H48" s="87">
        <f t="shared" si="11"/>
        <v>240</v>
      </c>
      <c r="I48" s="87">
        <f t="shared" si="11"/>
        <v>240</v>
      </c>
      <c r="J48" s="87">
        <f t="shared" si="11"/>
        <v>180</v>
      </c>
      <c r="K48" s="87">
        <f t="shared" si="9"/>
        <v>1560</v>
      </c>
    </row>
    <row r="49" spans="1:16" ht="12.75">
      <c r="A49" s="99" t="s">
        <v>369</v>
      </c>
      <c r="B49" s="99">
        <f t="shared" ref="B49:K49" si="12">SUM(B42:B48)</f>
        <v>754.81</v>
      </c>
      <c r="C49" s="99">
        <f t="shared" si="12"/>
        <v>1509.6</v>
      </c>
      <c r="D49" s="99">
        <f t="shared" si="12"/>
        <v>1132.2</v>
      </c>
      <c r="E49" s="99">
        <f t="shared" si="12"/>
        <v>2193.3703</v>
      </c>
      <c r="F49" s="99">
        <f t="shared" si="12"/>
        <v>999.97740316461534</v>
      </c>
      <c r="G49" s="99">
        <f t="shared" si="12"/>
        <v>1052.6206706253847</v>
      </c>
      <c r="H49" s="99">
        <f t="shared" si="12"/>
        <v>2203.0507500759995</v>
      </c>
      <c r="I49" s="99">
        <f t="shared" si="12"/>
        <v>1828.6986641935641</v>
      </c>
      <c r="J49" s="99">
        <f t="shared" si="12"/>
        <v>1567.8099967948719</v>
      </c>
      <c r="K49" s="99">
        <f t="shared" si="12"/>
        <v>12487.327784854435</v>
      </c>
    </row>
    <row r="50" spans="1:16" ht="12.75">
      <c r="A50" s="87" t="s">
        <v>370</v>
      </c>
      <c r="B50" s="90">
        <f>20</f>
        <v>20</v>
      </c>
      <c r="C50" s="87">
        <f t="shared" ref="C50:J50" si="13">$B50*C$36</f>
        <v>40</v>
      </c>
      <c r="D50" s="87">
        <f t="shared" si="13"/>
        <v>30</v>
      </c>
      <c r="E50" s="87">
        <f t="shared" si="13"/>
        <v>40</v>
      </c>
      <c r="F50" s="87">
        <f t="shared" si="13"/>
        <v>20</v>
      </c>
      <c r="G50" s="87">
        <f t="shared" si="13"/>
        <v>20</v>
      </c>
      <c r="H50" s="87">
        <f t="shared" si="13"/>
        <v>40</v>
      </c>
      <c r="I50" s="87">
        <f t="shared" si="13"/>
        <v>40</v>
      </c>
      <c r="J50" s="87">
        <f t="shared" si="13"/>
        <v>30</v>
      </c>
      <c r="K50" s="87">
        <f>SUM(C50:J50)</f>
        <v>260</v>
      </c>
    </row>
    <row r="51" spans="1:16" ht="12.75">
      <c r="A51" s="99" t="s">
        <v>371</v>
      </c>
      <c r="B51" s="99">
        <f t="shared" ref="B51:J51" si="14">SUM(B50:B50)</f>
        <v>20</v>
      </c>
      <c r="C51" s="99">
        <f t="shared" si="14"/>
        <v>40</v>
      </c>
      <c r="D51" s="99">
        <f t="shared" si="14"/>
        <v>30</v>
      </c>
      <c r="E51" s="99">
        <f t="shared" si="14"/>
        <v>40</v>
      </c>
      <c r="F51" s="99">
        <f t="shared" si="14"/>
        <v>20</v>
      </c>
      <c r="G51" s="99">
        <f t="shared" si="14"/>
        <v>20</v>
      </c>
      <c r="H51" s="99">
        <f t="shared" si="14"/>
        <v>40</v>
      </c>
      <c r="I51" s="99">
        <f t="shared" si="14"/>
        <v>40</v>
      </c>
      <c r="J51" s="99">
        <f t="shared" si="14"/>
        <v>30</v>
      </c>
      <c r="K51" s="99">
        <f>SUM(C51:J51)</f>
        <v>260</v>
      </c>
    </row>
    <row r="52" spans="1:16" ht="12.75">
      <c r="A52" s="87" t="s">
        <v>372</v>
      </c>
      <c r="B52" s="90">
        <v>9</v>
      </c>
      <c r="C52" s="87">
        <f t="shared" ref="C52:J52" si="15">$B$52+(C36-1)*6</f>
        <v>15</v>
      </c>
      <c r="D52" s="87">
        <f t="shared" si="15"/>
        <v>12</v>
      </c>
      <c r="E52" s="87">
        <f t="shared" si="15"/>
        <v>15</v>
      </c>
      <c r="F52" s="87">
        <f t="shared" si="15"/>
        <v>9</v>
      </c>
      <c r="G52" s="87">
        <f t="shared" si="15"/>
        <v>9</v>
      </c>
      <c r="H52" s="87">
        <f t="shared" si="15"/>
        <v>15</v>
      </c>
      <c r="I52" s="87">
        <f t="shared" si="15"/>
        <v>15</v>
      </c>
      <c r="J52" s="87">
        <f t="shared" si="15"/>
        <v>12</v>
      </c>
      <c r="K52" s="87">
        <f>SUM(C52:J52)</f>
        <v>102</v>
      </c>
    </row>
    <row r="53" spans="1:16" ht="12.75">
      <c r="A53" s="87" t="s">
        <v>373</v>
      </c>
      <c r="B53" s="90">
        <f>3*12*1.25</f>
        <v>45</v>
      </c>
      <c r="C53" s="87">
        <f t="shared" ref="C53:J53" si="16">B53</f>
        <v>45</v>
      </c>
      <c r="D53" s="87">
        <f t="shared" si="16"/>
        <v>45</v>
      </c>
      <c r="E53" s="87">
        <f t="shared" si="16"/>
        <v>45</v>
      </c>
      <c r="F53" s="87">
        <f t="shared" si="16"/>
        <v>45</v>
      </c>
      <c r="G53" s="87">
        <f t="shared" si="16"/>
        <v>45</v>
      </c>
      <c r="H53" s="87">
        <f t="shared" si="16"/>
        <v>45</v>
      </c>
      <c r="I53" s="87">
        <f t="shared" si="16"/>
        <v>45</v>
      </c>
      <c r="J53" s="87">
        <f t="shared" si="16"/>
        <v>45</v>
      </c>
      <c r="K53" s="87"/>
    </row>
    <row r="54" spans="1:16" ht="12.75">
      <c r="A54" s="99" t="s">
        <v>374</v>
      </c>
      <c r="B54" s="99">
        <f t="shared" ref="B54:J54" si="17">B52*B53</f>
        <v>405</v>
      </c>
      <c r="C54" s="99">
        <f t="shared" si="17"/>
        <v>675</v>
      </c>
      <c r="D54" s="99">
        <f t="shared" si="17"/>
        <v>540</v>
      </c>
      <c r="E54" s="99">
        <f t="shared" si="17"/>
        <v>675</v>
      </c>
      <c r="F54" s="99">
        <f t="shared" si="17"/>
        <v>405</v>
      </c>
      <c r="G54" s="99">
        <f t="shared" si="17"/>
        <v>405</v>
      </c>
      <c r="H54" s="99">
        <f t="shared" si="17"/>
        <v>675</v>
      </c>
      <c r="I54" s="99">
        <f t="shared" si="17"/>
        <v>675</v>
      </c>
      <c r="J54" s="99">
        <f t="shared" si="17"/>
        <v>540</v>
      </c>
      <c r="K54" s="99">
        <f>SUM(C54:J54)</f>
        <v>4590</v>
      </c>
    </row>
    <row r="55" spans="1:16" ht="12.75">
      <c r="A55" s="99" t="s">
        <v>375</v>
      </c>
      <c r="B55" s="99">
        <f>(238/1178)*(260000/5)</f>
        <v>10505.942275042444</v>
      </c>
      <c r="C55" s="99">
        <f>$B55*C36/SUM($C36:$J36)</f>
        <v>1616.2988115449914</v>
      </c>
      <c r="D55" s="99">
        <f t="shared" ref="D55:J55" si="18">$B55*D36/SUM($C36:$J36)</f>
        <v>1212.2241086587435</v>
      </c>
      <c r="E55" s="99">
        <f t="shared" si="18"/>
        <v>1616.2988115449914</v>
      </c>
      <c r="F55" s="99">
        <f t="shared" si="18"/>
        <v>808.1494057724957</v>
      </c>
      <c r="G55" s="99">
        <f t="shared" si="18"/>
        <v>808.1494057724957</v>
      </c>
      <c r="H55" s="99">
        <f t="shared" si="18"/>
        <v>1616.2988115449914</v>
      </c>
      <c r="I55" s="99">
        <f t="shared" si="18"/>
        <v>1616.2988115449914</v>
      </c>
      <c r="J55" s="99">
        <f t="shared" si="18"/>
        <v>1212.2241086587435</v>
      </c>
      <c r="K55" s="99">
        <f>SUM(C55:J55)</f>
        <v>10505.942275042444</v>
      </c>
    </row>
    <row r="56" spans="1:16" ht="12.75">
      <c r="A56" s="87"/>
      <c r="B56" s="87"/>
      <c r="C56" s="87"/>
      <c r="D56" s="87"/>
      <c r="E56" s="87"/>
      <c r="F56" s="87"/>
      <c r="G56" s="87"/>
      <c r="H56" s="87"/>
      <c r="I56" s="87"/>
      <c r="J56" s="87"/>
      <c r="K56" s="87"/>
    </row>
    <row r="57" spans="1:16" ht="13.5" thickBot="1">
      <c r="A57" s="91" t="s">
        <v>376</v>
      </c>
      <c r="B57" s="92"/>
      <c r="C57" s="92">
        <v>0</v>
      </c>
      <c r="D57" s="92">
        <v>0</v>
      </c>
      <c r="E57" s="92">
        <f t="shared" ref="E57:J57" si="19">E41+E49+E51+E54+E55</f>
        <v>5244.6691115449912</v>
      </c>
      <c r="F57" s="92">
        <f t="shared" si="19"/>
        <v>2593.126808937111</v>
      </c>
      <c r="G57" s="92">
        <f t="shared" si="19"/>
        <v>2645.7700763978805</v>
      </c>
      <c r="H57" s="92">
        <f t="shared" si="19"/>
        <v>5254.3495616209912</v>
      </c>
      <c r="I57" s="92">
        <f t="shared" si="19"/>
        <v>4879.9974757385553</v>
      </c>
      <c r="J57" s="92">
        <f t="shared" si="19"/>
        <v>3890.0341054536157</v>
      </c>
      <c r="K57" s="92">
        <f>SUM(C57:J57)</f>
        <v>24507.947139693144</v>
      </c>
    </row>
    <row r="58" spans="1:16" ht="12.75">
      <c r="A58" s="87" t="s">
        <v>377</v>
      </c>
      <c r="B58" s="100" t="s">
        <v>165</v>
      </c>
      <c r="C58" s="87"/>
      <c r="D58" s="87"/>
      <c r="E58" s="87"/>
      <c r="F58" s="87"/>
      <c r="G58" s="87"/>
      <c r="H58" s="87"/>
      <c r="I58" s="87"/>
      <c r="J58" s="87"/>
      <c r="K58" s="87"/>
    </row>
    <row r="59" spans="1:16" ht="12.75">
      <c r="A59" s="87" t="s">
        <v>378</v>
      </c>
      <c r="B59" s="101">
        <v>30</v>
      </c>
      <c r="C59" s="94">
        <f>1/B59</f>
        <v>3.3333333333333333E-2</v>
      </c>
      <c r="D59" s="94">
        <f t="shared" ref="D59:J60" si="20">C59</f>
        <v>3.3333333333333333E-2</v>
      </c>
      <c r="E59" s="94">
        <f t="shared" si="20"/>
        <v>3.3333333333333333E-2</v>
      </c>
      <c r="F59" s="94">
        <f t="shared" si="20"/>
        <v>3.3333333333333333E-2</v>
      </c>
      <c r="G59" s="94">
        <f t="shared" si="20"/>
        <v>3.3333333333333333E-2</v>
      </c>
      <c r="H59" s="94">
        <f t="shared" si="20"/>
        <v>3.3333333333333333E-2</v>
      </c>
      <c r="I59" s="94">
        <f t="shared" si="20"/>
        <v>3.3333333333333333E-2</v>
      </c>
      <c r="J59" s="94">
        <f t="shared" si="20"/>
        <v>3.3333333333333333E-2</v>
      </c>
      <c r="K59" s="94"/>
    </row>
    <row r="60" spans="1:16" ht="12.75">
      <c r="A60" s="87" t="s">
        <v>379</v>
      </c>
      <c r="B60" s="101">
        <v>10</v>
      </c>
      <c r="C60" s="94">
        <f>1/B60</f>
        <v>0.1</v>
      </c>
      <c r="D60" s="94">
        <f t="shared" si="20"/>
        <v>0.1</v>
      </c>
      <c r="E60" s="94">
        <f t="shared" si="20"/>
        <v>0.1</v>
      </c>
      <c r="F60" s="94">
        <f t="shared" si="20"/>
        <v>0.1</v>
      </c>
      <c r="G60" s="94">
        <f t="shared" si="20"/>
        <v>0.1</v>
      </c>
      <c r="H60" s="94">
        <f t="shared" si="20"/>
        <v>0.1</v>
      </c>
      <c r="I60" s="94">
        <f t="shared" si="20"/>
        <v>0.1</v>
      </c>
      <c r="J60" s="94">
        <f t="shared" si="20"/>
        <v>0.1</v>
      </c>
      <c r="K60" s="94"/>
    </row>
    <row r="61" spans="1:16" ht="13.5" thickBot="1">
      <c r="A61" s="91" t="s">
        <v>376</v>
      </c>
      <c r="B61" s="92"/>
      <c r="C61" s="92">
        <f t="shared" ref="C61:J61" si="21">C10*C59+C11*C60</f>
        <v>0</v>
      </c>
      <c r="D61" s="92">
        <f t="shared" si="21"/>
        <v>0</v>
      </c>
      <c r="E61" s="92">
        <f>E10*E59+E11*E60</f>
        <v>2224.4009999999998</v>
      </c>
      <c r="F61" s="92">
        <f t="shared" si="21"/>
        <v>844.4554464461537</v>
      </c>
      <c r="G61" s="92">
        <f t="shared" si="21"/>
        <v>1026.538132853846</v>
      </c>
      <c r="H61" s="92">
        <f t="shared" si="21"/>
        <v>2256.669166919999</v>
      </c>
      <c r="I61" s="92">
        <f t="shared" si="21"/>
        <v>1033.729307995641</v>
      </c>
      <c r="J61" s="92">
        <f t="shared" si="21"/>
        <v>1419.0824679487182</v>
      </c>
      <c r="K61" s="92">
        <f>SUM(C61:J61)</f>
        <v>8804.8755221643569</v>
      </c>
    </row>
    <row r="62" spans="1:16" ht="12.75">
      <c r="A62" s="87"/>
      <c r="B62" s="100"/>
      <c r="C62" s="87"/>
      <c r="D62" s="87"/>
      <c r="E62" s="87"/>
      <c r="F62" s="87"/>
      <c r="G62" s="87"/>
      <c r="H62" s="87"/>
      <c r="I62" s="87"/>
      <c r="J62" s="87"/>
      <c r="K62" s="87"/>
    </row>
    <row r="63" spans="1:16" ht="12.75">
      <c r="A63" s="87" t="s">
        <v>380</v>
      </c>
      <c r="B63" s="102">
        <v>0.35</v>
      </c>
      <c r="C63" s="87"/>
      <c r="D63" s="87"/>
      <c r="E63" s="87"/>
      <c r="F63" s="87"/>
      <c r="G63" s="87"/>
      <c r="H63" s="87"/>
      <c r="I63" s="87"/>
      <c r="J63" s="87"/>
      <c r="K63" s="87"/>
    </row>
    <row r="64" spans="1:16" s="134" customFormat="1" ht="13.5" thickBot="1">
      <c r="A64" s="132" t="s">
        <v>381</v>
      </c>
      <c r="B64" s="133">
        <v>0.08</v>
      </c>
      <c r="C64" s="132"/>
      <c r="D64" s="132"/>
      <c r="E64" s="132"/>
      <c r="F64" s="132"/>
      <c r="G64" s="132"/>
      <c r="H64" s="132"/>
      <c r="I64" s="132"/>
      <c r="J64" s="132"/>
      <c r="K64" s="132"/>
      <c r="L64" s="135"/>
      <c r="M64" s="135"/>
      <c r="N64" s="135"/>
      <c r="O64" s="135"/>
      <c r="P64" s="135"/>
    </row>
    <row r="65" spans="1:33" ht="12.75">
      <c r="A65" s="87"/>
      <c r="B65" s="87"/>
      <c r="C65" s="87"/>
      <c r="D65" s="87"/>
      <c r="E65" s="87"/>
      <c r="F65" s="87"/>
      <c r="G65" s="87"/>
      <c r="H65" s="87"/>
      <c r="I65" s="87"/>
      <c r="J65" s="87"/>
      <c r="K65" s="87"/>
    </row>
    <row r="66" spans="1:33" ht="12.75">
      <c r="A66" s="87"/>
      <c r="B66" s="87"/>
      <c r="C66" s="87"/>
      <c r="D66" s="87"/>
      <c r="E66" s="87"/>
      <c r="F66" s="87"/>
      <c r="G66" s="87"/>
      <c r="H66" s="87"/>
      <c r="I66" s="87"/>
      <c r="J66" s="87"/>
      <c r="K66" s="87"/>
    </row>
    <row r="67" spans="1:33" s="81" customFormat="1" ht="17.25" customHeight="1">
      <c r="A67" s="306" t="s">
        <v>253</v>
      </c>
      <c r="B67" s="82"/>
      <c r="C67" s="82"/>
      <c r="D67" s="82"/>
      <c r="E67" s="82"/>
      <c r="F67" s="82"/>
      <c r="G67" s="82"/>
      <c r="H67" s="82"/>
      <c r="I67" s="82"/>
      <c r="J67" s="82"/>
      <c r="K67" s="82"/>
      <c r="Q67" s="83" t="s">
        <v>156</v>
      </c>
      <c r="R67" s="83"/>
      <c r="S67" s="83"/>
      <c r="T67" s="83"/>
      <c r="U67" s="83"/>
      <c r="V67" s="83"/>
      <c r="W67" s="83"/>
      <c r="X67" s="83"/>
      <c r="Y67" s="83"/>
      <c r="Z67" s="83"/>
      <c r="AA67" s="83"/>
      <c r="AB67" s="83"/>
      <c r="AC67" s="83"/>
      <c r="AD67" s="83"/>
      <c r="AE67" s="83"/>
      <c r="AF67" s="83"/>
      <c r="AG67" s="83"/>
    </row>
    <row r="68" spans="1:33" ht="13.5" thickBot="1">
      <c r="A68" s="87"/>
      <c r="B68" s="87"/>
      <c r="C68" s="87"/>
      <c r="D68" s="87"/>
      <c r="E68" s="87"/>
      <c r="F68" s="87"/>
      <c r="G68" s="87"/>
      <c r="H68" s="87"/>
      <c r="I68" s="87"/>
      <c r="J68" s="87"/>
      <c r="K68" s="87"/>
    </row>
    <row r="69" spans="1:33" ht="12.75">
      <c r="A69" s="86" t="s">
        <v>156</v>
      </c>
      <c r="B69" s="86"/>
      <c r="C69" s="86" t="s">
        <v>16</v>
      </c>
      <c r="D69" s="86" t="s">
        <v>20</v>
      </c>
      <c r="E69" s="86" t="s">
        <v>21</v>
      </c>
      <c r="F69" s="86" t="s">
        <v>22</v>
      </c>
      <c r="G69" s="86" t="s">
        <v>157</v>
      </c>
      <c r="H69" s="86" t="s">
        <v>26</v>
      </c>
      <c r="I69" s="86" t="s">
        <v>158</v>
      </c>
      <c r="J69" s="86" t="s">
        <v>159</v>
      </c>
      <c r="K69" s="86" t="s">
        <v>160</v>
      </c>
    </row>
    <row r="70" spans="1:33" ht="12.75">
      <c r="A70" s="87"/>
      <c r="B70" s="88"/>
      <c r="C70" s="88"/>
      <c r="D70" s="88"/>
      <c r="E70" s="88"/>
      <c r="F70" s="88"/>
      <c r="G70" s="88"/>
      <c r="H70" s="88"/>
      <c r="I70" s="88"/>
      <c r="J70" s="88"/>
      <c r="K70" s="88"/>
    </row>
    <row r="71" spans="1:33" ht="12.75">
      <c r="A71" s="87" t="s">
        <v>382</v>
      </c>
      <c r="B71" s="103"/>
      <c r="C71" s="103">
        <f t="shared" ref="C71:J71" si="22">C34</f>
        <v>0</v>
      </c>
      <c r="D71" s="103">
        <f t="shared" si="22"/>
        <v>0</v>
      </c>
      <c r="E71" s="103">
        <f t="shared" si="22"/>
        <v>7439.7295310041263</v>
      </c>
      <c r="F71" s="103">
        <f t="shared" si="22"/>
        <v>2257.3653459587626</v>
      </c>
      <c r="G71" s="103">
        <f t="shared" si="22"/>
        <v>3782.5160701360824</v>
      </c>
      <c r="H71" s="103">
        <f t="shared" si="22"/>
        <v>11940.384123711341</v>
      </c>
      <c r="I71" s="103">
        <f t="shared" si="22"/>
        <v>3405.2986109690723</v>
      </c>
      <c r="J71" s="103">
        <f t="shared" si="22"/>
        <v>6076.7426919587633</v>
      </c>
      <c r="K71" s="103">
        <f>SUM(C71:J71)</f>
        <v>34902.036373738149</v>
      </c>
    </row>
    <row r="72" spans="1:33" ht="12.75">
      <c r="A72" s="87" t="s">
        <v>383</v>
      </c>
      <c r="B72" s="103"/>
      <c r="C72" s="103">
        <f t="shared" ref="C72:J72" si="23">C57</f>
        <v>0</v>
      </c>
      <c r="D72" s="103">
        <f t="shared" si="23"/>
        <v>0</v>
      </c>
      <c r="E72" s="103">
        <f t="shared" si="23"/>
        <v>5244.6691115449912</v>
      </c>
      <c r="F72" s="103">
        <f t="shared" si="23"/>
        <v>2593.126808937111</v>
      </c>
      <c r="G72" s="103">
        <f t="shared" si="23"/>
        <v>2645.7700763978805</v>
      </c>
      <c r="H72" s="103">
        <f t="shared" si="23"/>
        <v>5254.3495616209912</v>
      </c>
      <c r="I72" s="103">
        <f t="shared" si="23"/>
        <v>4879.9974757385553</v>
      </c>
      <c r="J72" s="103">
        <f t="shared" si="23"/>
        <v>3890.0341054536157</v>
      </c>
      <c r="K72" s="103">
        <f>SUM(C72:J72)</f>
        <v>24507.947139693144</v>
      </c>
    </row>
    <row r="73" spans="1:33" ht="12.75">
      <c r="A73" s="87" t="s">
        <v>384</v>
      </c>
      <c r="B73" s="103"/>
      <c r="C73" s="103">
        <f t="shared" ref="C73:J73" si="24">C61</f>
        <v>0</v>
      </c>
      <c r="D73" s="103">
        <f t="shared" si="24"/>
        <v>0</v>
      </c>
      <c r="E73" s="103">
        <f t="shared" si="24"/>
        <v>2224.4009999999998</v>
      </c>
      <c r="F73" s="103">
        <f t="shared" si="24"/>
        <v>844.4554464461537</v>
      </c>
      <c r="G73" s="103">
        <f t="shared" si="24"/>
        <v>1026.538132853846</v>
      </c>
      <c r="H73" s="103">
        <f t="shared" si="24"/>
        <v>2256.669166919999</v>
      </c>
      <c r="I73" s="103">
        <f t="shared" si="24"/>
        <v>1033.729307995641</v>
      </c>
      <c r="J73" s="103">
        <f t="shared" si="24"/>
        <v>1419.0824679487182</v>
      </c>
      <c r="K73" s="103">
        <f>SUM(C73:J73)</f>
        <v>8804.8755221643569</v>
      </c>
    </row>
    <row r="74" spans="1:33" ht="13.5" thickBot="1">
      <c r="A74" s="104" t="s">
        <v>385</v>
      </c>
      <c r="B74" s="105"/>
      <c r="C74" s="105">
        <f t="shared" ref="C74:J74" si="25">C71-C72-C73</f>
        <v>0</v>
      </c>
      <c r="D74" s="105">
        <f t="shared" si="25"/>
        <v>0</v>
      </c>
      <c r="E74" s="105">
        <f t="shared" si="25"/>
        <v>-29.340580540864721</v>
      </c>
      <c r="F74" s="105">
        <f t="shared" si="25"/>
        <v>-1180.2169094245021</v>
      </c>
      <c r="G74" s="105">
        <f t="shared" si="25"/>
        <v>110.2078608843558</v>
      </c>
      <c r="H74" s="105">
        <f t="shared" si="25"/>
        <v>4429.3653951703509</v>
      </c>
      <c r="I74" s="105">
        <f t="shared" si="25"/>
        <v>-2508.4281727651241</v>
      </c>
      <c r="J74" s="105">
        <f t="shared" si="25"/>
        <v>767.62611855642945</v>
      </c>
      <c r="K74" s="105">
        <f>SUM(C74:J74)</f>
        <v>1589.2137118806454</v>
      </c>
    </row>
    <row r="75" spans="1:33" ht="12.75">
      <c r="A75" s="87" t="s">
        <v>386</v>
      </c>
      <c r="B75" s="103"/>
      <c r="C75" s="103">
        <f t="shared" ref="C75:J75" si="26">IF(C74&gt;0,C74*$B$63,)</f>
        <v>0</v>
      </c>
      <c r="D75" s="103">
        <f t="shared" si="26"/>
        <v>0</v>
      </c>
      <c r="E75" s="103">
        <f t="shared" si="26"/>
        <v>0</v>
      </c>
      <c r="F75" s="103">
        <f t="shared" si="26"/>
        <v>0</v>
      </c>
      <c r="G75" s="103">
        <f t="shared" si="26"/>
        <v>38.572751309524527</v>
      </c>
      <c r="H75" s="103">
        <f t="shared" si="26"/>
        <v>1550.2778883096228</v>
      </c>
      <c r="I75" s="103">
        <f t="shared" si="26"/>
        <v>0</v>
      </c>
      <c r="J75" s="103">
        <f t="shared" si="26"/>
        <v>268.66914149475031</v>
      </c>
      <c r="K75" s="103">
        <f>SUM(C75:J75)</f>
        <v>1857.5197811138978</v>
      </c>
    </row>
    <row r="76" spans="1:33" ht="13.5" thickBot="1">
      <c r="A76" s="104" t="s">
        <v>387</v>
      </c>
      <c r="B76" s="105"/>
      <c r="C76" s="105">
        <f t="shared" ref="C76:K76" si="27">C74-C75</f>
        <v>0</v>
      </c>
      <c r="D76" s="105">
        <f t="shared" si="27"/>
        <v>0</v>
      </c>
      <c r="E76" s="105">
        <f t="shared" si="27"/>
        <v>-29.340580540864721</v>
      </c>
      <c r="F76" s="105">
        <f t="shared" si="27"/>
        <v>-1180.2169094245021</v>
      </c>
      <c r="G76" s="105">
        <f t="shared" si="27"/>
        <v>71.635109574831262</v>
      </c>
      <c r="H76" s="105">
        <f t="shared" si="27"/>
        <v>2879.0875068607284</v>
      </c>
      <c r="I76" s="105">
        <f t="shared" si="27"/>
        <v>-2508.4281727651241</v>
      </c>
      <c r="J76" s="105">
        <f t="shared" si="27"/>
        <v>498.95697706167914</v>
      </c>
      <c r="K76" s="105">
        <f t="shared" si="27"/>
        <v>-268.3060692332524</v>
      </c>
    </row>
    <row r="77" spans="1:33" ht="12.75">
      <c r="A77" s="87" t="s">
        <v>384</v>
      </c>
      <c r="B77" s="103"/>
      <c r="C77" s="103">
        <f t="shared" ref="C77:K77" si="28">C73</f>
        <v>0</v>
      </c>
      <c r="D77" s="103">
        <f t="shared" si="28"/>
        <v>0</v>
      </c>
      <c r="E77" s="103">
        <f t="shared" si="28"/>
        <v>2224.4009999999998</v>
      </c>
      <c r="F77" s="103">
        <f t="shared" si="28"/>
        <v>844.4554464461537</v>
      </c>
      <c r="G77" s="103">
        <f t="shared" si="28"/>
        <v>1026.538132853846</v>
      </c>
      <c r="H77" s="103">
        <f t="shared" si="28"/>
        <v>2256.669166919999</v>
      </c>
      <c r="I77" s="103">
        <f t="shared" si="28"/>
        <v>1033.729307995641</v>
      </c>
      <c r="J77" s="103">
        <f t="shared" si="28"/>
        <v>1419.0824679487182</v>
      </c>
      <c r="K77" s="103">
        <f t="shared" si="28"/>
        <v>8804.8755221643569</v>
      </c>
    </row>
    <row r="78" spans="1:33" ht="13.5" thickBot="1">
      <c r="A78" s="91" t="s">
        <v>166</v>
      </c>
      <c r="B78" s="106"/>
      <c r="C78" s="106">
        <f t="shared" ref="C78:K78" si="29">C76+C77</f>
        <v>0</v>
      </c>
      <c r="D78" s="106">
        <f t="shared" si="29"/>
        <v>0</v>
      </c>
      <c r="E78" s="106">
        <f t="shared" si="29"/>
        <v>2195.0604194591351</v>
      </c>
      <c r="F78" s="106">
        <f t="shared" si="29"/>
        <v>-335.76146297834839</v>
      </c>
      <c r="G78" s="106">
        <f t="shared" si="29"/>
        <v>1098.1732424286772</v>
      </c>
      <c r="H78" s="106">
        <f t="shared" si="29"/>
        <v>5135.7566737807274</v>
      </c>
      <c r="I78" s="106">
        <f t="shared" si="29"/>
        <v>-1474.6988647694832</v>
      </c>
      <c r="J78" s="106">
        <f t="shared" si="29"/>
        <v>1918.0394450103972</v>
      </c>
      <c r="K78" s="106">
        <f t="shared" si="29"/>
        <v>8536.569452931104</v>
      </c>
    </row>
    <row r="80" spans="1:33" s="81" customFormat="1" ht="17.25" customHeight="1">
      <c r="A80" s="306" t="s">
        <v>240</v>
      </c>
      <c r="B80" s="82"/>
      <c r="C80" s="82"/>
      <c r="D80" s="82"/>
      <c r="E80" s="82"/>
      <c r="F80" s="82"/>
      <c r="G80" s="82"/>
      <c r="H80" s="82"/>
      <c r="I80" s="82"/>
      <c r="J80" s="82"/>
      <c r="K80" s="82"/>
      <c r="Q80" s="83" t="s">
        <v>156</v>
      </c>
      <c r="R80" s="83"/>
      <c r="S80" s="83"/>
      <c r="T80" s="83"/>
      <c r="U80" s="83"/>
      <c r="V80" s="83"/>
      <c r="W80" s="83"/>
      <c r="X80" s="83"/>
      <c r="Y80" s="83"/>
      <c r="Z80" s="83"/>
      <c r="AA80" s="83"/>
      <c r="AB80" s="83"/>
      <c r="AC80" s="83"/>
      <c r="AD80" s="83"/>
      <c r="AE80" s="83"/>
      <c r="AF80" s="83"/>
      <c r="AG80" s="83"/>
    </row>
    <row r="81" spans="1:34" ht="17.25" thickBot="1"/>
    <row r="82" spans="1:34" ht="12.75">
      <c r="A82" s="86" t="s">
        <v>156</v>
      </c>
      <c r="B82" s="86"/>
      <c r="C82" s="86">
        <v>1</v>
      </c>
      <c r="D82" s="86">
        <f t="shared" ref="D82:AH82" si="30">+C82+1</f>
        <v>2</v>
      </c>
      <c r="E82" s="86">
        <f t="shared" si="30"/>
        <v>3</v>
      </c>
      <c r="F82" s="86">
        <f t="shared" si="30"/>
        <v>4</v>
      </c>
      <c r="G82" s="86">
        <f t="shared" si="30"/>
        <v>5</v>
      </c>
      <c r="H82" s="86">
        <f t="shared" si="30"/>
        <v>6</v>
      </c>
      <c r="I82" s="86">
        <f t="shared" si="30"/>
        <v>7</v>
      </c>
      <c r="J82" s="86">
        <f t="shared" si="30"/>
        <v>8</v>
      </c>
      <c r="K82" s="86">
        <f t="shared" si="30"/>
        <v>9</v>
      </c>
      <c r="L82" s="86">
        <f t="shared" si="30"/>
        <v>10</v>
      </c>
      <c r="M82" s="86">
        <f t="shared" si="30"/>
        <v>11</v>
      </c>
      <c r="N82" s="86">
        <f t="shared" si="30"/>
        <v>12</v>
      </c>
      <c r="O82" s="86">
        <f t="shared" si="30"/>
        <v>13</v>
      </c>
      <c r="P82" s="86">
        <f t="shared" si="30"/>
        <v>14</v>
      </c>
      <c r="Q82" s="86">
        <f t="shared" si="30"/>
        <v>15</v>
      </c>
      <c r="R82" s="86">
        <f t="shared" si="30"/>
        <v>16</v>
      </c>
      <c r="S82" s="86">
        <f t="shared" si="30"/>
        <v>17</v>
      </c>
      <c r="T82" s="86">
        <f t="shared" si="30"/>
        <v>18</v>
      </c>
      <c r="U82" s="86">
        <f t="shared" si="30"/>
        <v>19</v>
      </c>
      <c r="V82" s="86">
        <f t="shared" si="30"/>
        <v>20</v>
      </c>
      <c r="W82" s="86">
        <f t="shared" si="30"/>
        <v>21</v>
      </c>
      <c r="X82" s="86">
        <f t="shared" si="30"/>
        <v>22</v>
      </c>
      <c r="Y82" s="86">
        <f t="shared" si="30"/>
        <v>23</v>
      </c>
      <c r="Z82" s="86">
        <f t="shared" si="30"/>
        <v>24</v>
      </c>
      <c r="AA82" s="86">
        <f t="shared" si="30"/>
        <v>25</v>
      </c>
      <c r="AB82" s="86">
        <f t="shared" si="30"/>
        <v>26</v>
      </c>
      <c r="AC82" s="86">
        <f t="shared" si="30"/>
        <v>27</v>
      </c>
      <c r="AD82" s="86">
        <f t="shared" si="30"/>
        <v>28</v>
      </c>
      <c r="AE82" s="86">
        <f t="shared" si="30"/>
        <v>29</v>
      </c>
      <c r="AF82" s="86">
        <f t="shared" si="30"/>
        <v>30</v>
      </c>
      <c r="AG82" s="86">
        <f t="shared" si="30"/>
        <v>31</v>
      </c>
      <c r="AH82" s="86">
        <f t="shared" si="30"/>
        <v>32</v>
      </c>
    </row>
    <row r="83" spans="1:34" ht="12.75">
      <c r="A83" s="87"/>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row>
    <row r="84" spans="1:34" ht="12.75">
      <c r="A84" s="87" t="s">
        <v>382</v>
      </c>
      <c r="B84" s="87"/>
      <c r="C84" s="103">
        <f>C$15*$C71+C$16*$D71+C$17*$E71+C$18*$F71+C$19*$G71+C$20*$H71+C$21*$I71+C$22*$J71</f>
        <v>0</v>
      </c>
      <c r="D84" s="103">
        <f>D$15*$C71+D$16*$D71+D$17*$E71+D$18*$F71+D$19*$G71+D$20*$H71+D$21*$I71+D$22*$J71</f>
        <v>13479.61094709897</v>
      </c>
      <c r="E84" s="103">
        <f t="shared" ref="E84:K84" si="31">E$15*$C71+E$16*$D71+E$17*$E71+E$18*$F71+E$19*$G71+E$20*$H71+E$21*$I71+E$22*$J71</f>
        <v>34902.036373738149</v>
      </c>
      <c r="F84" s="103">
        <f t="shared" si="31"/>
        <v>34902.036373738149</v>
      </c>
      <c r="G84" s="103">
        <f t="shared" si="31"/>
        <v>34902.036373738149</v>
      </c>
      <c r="H84" s="103">
        <f t="shared" si="31"/>
        <v>34902.036373738149</v>
      </c>
      <c r="I84" s="103">
        <f t="shared" si="31"/>
        <v>34902.036373738149</v>
      </c>
      <c r="J84" s="103">
        <f t="shared" si="31"/>
        <v>34902.036373738149</v>
      </c>
      <c r="K84" s="103">
        <f t="shared" si="31"/>
        <v>34902.036373738149</v>
      </c>
      <c r="L84" s="103">
        <f t="shared" ref="L84:AH84" si="32">K84</f>
        <v>34902.036373738149</v>
      </c>
      <c r="M84" s="103">
        <f t="shared" si="32"/>
        <v>34902.036373738149</v>
      </c>
      <c r="N84" s="103">
        <f t="shared" si="32"/>
        <v>34902.036373738149</v>
      </c>
      <c r="O84" s="103">
        <f t="shared" si="32"/>
        <v>34902.036373738149</v>
      </c>
      <c r="P84" s="103">
        <f t="shared" si="32"/>
        <v>34902.036373738149</v>
      </c>
      <c r="Q84" s="103">
        <f t="shared" si="32"/>
        <v>34902.036373738149</v>
      </c>
      <c r="R84" s="103">
        <f t="shared" si="32"/>
        <v>34902.036373738149</v>
      </c>
      <c r="S84" s="103">
        <f t="shared" si="32"/>
        <v>34902.036373738149</v>
      </c>
      <c r="T84" s="103">
        <f t="shared" si="32"/>
        <v>34902.036373738149</v>
      </c>
      <c r="U84" s="103">
        <f t="shared" si="32"/>
        <v>34902.036373738149</v>
      </c>
      <c r="V84" s="103">
        <f t="shared" si="32"/>
        <v>34902.036373738149</v>
      </c>
      <c r="W84" s="103">
        <f t="shared" si="32"/>
        <v>34902.036373738149</v>
      </c>
      <c r="X84" s="103">
        <f t="shared" si="32"/>
        <v>34902.036373738149</v>
      </c>
      <c r="Y84" s="103">
        <f t="shared" si="32"/>
        <v>34902.036373738149</v>
      </c>
      <c r="Z84" s="103">
        <f t="shared" si="32"/>
        <v>34902.036373738149</v>
      </c>
      <c r="AA84" s="103">
        <f t="shared" si="32"/>
        <v>34902.036373738149</v>
      </c>
      <c r="AB84" s="103">
        <f t="shared" si="32"/>
        <v>34902.036373738149</v>
      </c>
      <c r="AC84" s="103">
        <f t="shared" si="32"/>
        <v>34902.036373738149</v>
      </c>
      <c r="AD84" s="103">
        <f t="shared" si="32"/>
        <v>34902.036373738149</v>
      </c>
      <c r="AE84" s="103">
        <f t="shared" si="32"/>
        <v>34902.036373738149</v>
      </c>
      <c r="AF84" s="103">
        <f t="shared" si="32"/>
        <v>34902.036373738149</v>
      </c>
      <c r="AG84" s="103">
        <f t="shared" si="32"/>
        <v>34902.036373738149</v>
      </c>
      <c r="AH84" s="103">
        <f t="shared" si="32"/>
        <v>34902.036373738149</v>
      </c>
    </row>
    <row r="85" spans="1:34" ht="12.75">
      <c r="A85" s="87" t="s">
        <v>383</v>
      </c>
      <c r="B85" s="87"/>
      <c r="C85" s="103">
        <f t="shared" ref="C85:K85" si="33">C$15*$C72+C$16*$D72+C$17*$E72+C$18*$F72+C$19*$G72+C$20*$H72+C$21*$I72+C$22*$J72</f>
        <v>0</v>
      </c>
      <c r="D85" s="103">
        <f t="shared" si="33"/>
        <v>10483.565996879983</v>
      </c>
      <c r="E85" s="103">
        <f>E$15*$C72+E$16*$D72+E$17*$E72+E$18*$F72+E$19*$G72+E$20*$H72+E$21*$I72+E$22*$J72</f>
        <v>24507.947139693144</v>
      </c>
      <c r="F85" s="103">
        <f t="shared" si="33"/>
        <v>24507.947139693144</v>
      </c>
      <c r="G85" s="103">
        <f t="shared" si="33"/>
        <v>24507.947139693144</v>
      </c>
      <c r="H85" s="103">
        <f t="shared" si="33"/>
        <v>24507.947139693144</v>
      </c>
      <c r="I85" s="103">
        <f t="shared" si="33"/>
        <v>24507.947139693144</v>
      </c>
      <c r="J85" s="103">
        <f t="shared" si="33"/>
        <v>24507.947139693144</v>
      </c>
      <c r="K85" s="103">
        <f t="shared" si="33"/>
        <v>24507.947139693144</v>
      </c>
      <c r="L85" s="103">
        <f t="shared" ref="L85:AH85" si="34">K85</f>
        <v>24507.947139693144</v>
      </c>
      <c r="M85" s="103">
        <f t="shared" si="34"/>
        <v>24507.947139693144</v>
      </c>
      <c r="N85" s="103">
        <f t="shared" si="34"/>
        <v>24507.947139693144</v>
      </c>
      <c r="O85" s="103">
        <f t="shared" si="34"/>
        <v>24507.947139693144</v>
      </c>
      <c r="P85" s="103">
        <f t="shared" si="34"/>
        <v>24507.947139693144</v>
      </c>
      <c r="Q85" s="103">
        <f t="shared" si="34"/>
        <v>24507.947139693144</v>
      </c>
      <c r="R85" s="103">
        <f t="shared" si="34"/>
        <v>24507.947139693144</v>
      </c>
      <c r="S85" s="103">
        <f t="shared" si="34"/>
        <v>24507.947139693144</v>
      </c>
      <c r="T85" s="103">
        <f t="shared" si="34"/>
        <v>24507.947139693144</v>
      </c>
      <c r="U85" s="103">
        <f t="shared" si="34"/>
        <v>24507.947139693144</v>
      </c>
      <c r="V85" s="103">
        <f t="shared" si="34"/>
        <v>24507.947139693144</v>
      </c>
      <c r="W85" s="103">
        <f t="shared" si="34"/>
        <v>24507.947139693144</v>
      </c>
      <c r="X85" s="103">
        <f t="shared" si="34"/>
        <v>24507.947139693144</v>
      </c>
      <c r="Y85" s="103">
        <f t="shared" si="34"/>
        <v>24507.947139693144</v>
      </c>
      <c r="Z85" s="103">
        <f t="shared" si="34"/>
        <v>24507.947139693144</v>
      </c>
      <c r="AA85" s="103">
        <f t="shared" si="34"/>
        <v>24507.947139693144</v>
      </c>
      <c r="AB85" s="103">
        <f t="shared" si="34"/>
        <v>24507.947139693144</v>
      </c>
      <c r="AC85" s="103">
        <f t="shared" si="34"/>
        <v>24507.947139693144</v>
      </c>
      <c r="AD85" s="103">
        <f t="shared" si="34"/>
        <v>24507.947139693144</v>
      </c>
      <c r="AE85" s="103">
        <f t="shared" si="34"/>
        <v>24507.947139693144</v>
      </c>
      <c r="AF85" s="103">
        <f t="shared" si="34"/>
        <v>24507.947139693144</v>
      </c>
      <c r="AG85" s="103">
        <f t="shared" si="34"/>
        <v>24507.947139693144</v>
      </c>
      <c r="AH85" s="103">
        <f t="shared" si="34"/>
        <v>24507.947139693144</v>
      </c>
    </row>
    <row r="86" spans="1:34" ht="12.75">
      <c r="A86" s="87" t="s">
        <v>384</v>
      </c>
      <c r="B86" s="87"/>
      <c r="C86" s="103">
        <f t="shared" ref="C86:K86" si="35">C$15*$C73+C$16*$D73+C$17*$E73+C$18*$F73+C$19*$G73+C$20*$H73+C$21*$I73+C$22*$J73</f>
        <v>0</v>
      </c>
      <c r="D86" s="103">
        <f t="shared" si="35"/>
        <v>4095.3945792999994</v>
      </c>
      <c r="E86" s="103">
        <f>E$15*$C73+E$16*$D73+E$17*$E73+E$18*$F73+E$19*$G73+E$20*$H73+E$21*$I73+E$22*$J73</f>
        <v>8804.8755221643569</v>
      </c>
      <c r="F86" s="103">
        <f t="shared" si="35"/>
        <v>8804.8755221643569</v>
      </c>
      <c r="G86" s="103">
        <f t="shared" si="35"/>
        <v>8804.8755221643569</v>
      </c>
      <c r="H86" s="103">
        <f t="shared" si="35"/>
        <v>8804.8755221643569</v>
      </c>
      <c r="I86" s="103">
        <f t="shared" si="35"/>
        <v>8804.8755221643569</v>
      </c>
      <c r="J86" s="103">
        <f t="shared" si="35"/>
        <v>8804.8755221643569</v>
      </c>
      <c r="K86" s="103">
        <f t="shared" si="35"/>
        <v>8804.8755221643569</v>
      </c>
      <c r="L86" s="103">
        <f t="shared" ref="L86:AH86" si="36">K86</f>
        <v>8804.8755221643569</v>
      </c>
      <c r="M86" s="103">
        <f t="shared" si="36"/>
        <v>8804.8755221643569</v>
      </c>
      <c r="N86" s="103">
        <f t="shared" si="36"/>
        <v>8804.8755221643569</v>
      </c>
      <c r="O86" s="103">
        <f t="shared" si="36"/>
        <v>8804.8755221643569</v>
      </c>
      <c r="P86" s="103">
        <f t="shared" si="36"/>
        <v>8804.8755221643569</v>
      </c>
      <c r="Q86" s="103">
        <f t="shared" si="36"/>
        <v>8804.8755221643569</v>
      </c>
      <c r="R86" s="103">
        <f t="shared" si="36"/>
        <v>8804.8755221643569</v>
      </c>
      <c r="S86" s="103">
        <f t="shared" si="36"/>
        <v>8804.8755221643569</v>
      </c>
      <c r="T86" s="103">
        <f t="shared" si="36"/>
        <v>8804.8755221643569</v>
      </c>
      <c r="U86" s="103">
        <f t="shared" si="36"/>
        <v>8804.8755221643569</v>
      </c>
      <c r="V86" s="103">
        <f t="shared" si="36"/>
        <v>8804.8755221643569</v>
      </c>
      <c r="W86" s="103">
        <f t="shared" si="36"/>
        <v>8804.8755221643569</v>
      </c>
      <c r="X86" s="103">
        <f t="shared" si="36"/>
        <v>8804.8755221643569</v>
      </c>
      <c r="Y86" s="103">
        <f t="shared" si="36"/>
        <v>8804.8755221643569</v>
      </c>
      <c r="Z86" s="103">
        <f t="shared" si="36"/>
        <v>8804.8755221643569</v>
      </c>
      <c r="AA86" s="103">
        <f t="shared" si="36"/>
        <v>8804.8755221643569</v>
      </c>
      <c r="AB86" s="103">
        <f t="shared" si="36"/>
        <v>8804.8755221643569</v>
      </c>
      <c r="AC86" s="103">
        <f t="shared" si="36"/>
        <v>8804.8755221643569</v>
      </c>
      <c r="AD86" s="103">
        <f t="shared" si="36"/>
        <v>8804.8755221643569</v>
      </c>
      <c r="AE86" s="103">
        <f t="shared" si="36"/>
        <v>8804.8755221643569</v>
      </c>
      <c r="AF86" s="103">
        <f t="shared" si="36"/>
        <v>8804.8755221643569</v>
      </c>
      <c r="AG86" s="103">
        <f t="shared" si="36"/>
        <v>8804.8755221643569</v>
      </c>
      <c r="AH86" s="103">
        <f t="shared" si="36"/>
        <v>8804.8755221643569</v>
      </c>
    </row>
    <row r="87" spans="1:34" ht="13.5" thickBot="1">
      <c r="A87" s="104" t="s">
        <v>385</v>
      </c>
      <c r="B87" s="107"/>
      <c r="C87" s="105">
        <f t="shared" ref="C87:AH87" si="37">C84-C85-C86</f>
        <v>0</v>
      </c>
      <c r="D87" s="105">
        <f t="shared" si="37"/>
        <v>-1099.3496290810117</v>
      </c>
      <c r="E87" s="105">
        <f>E84-E85-E86</f>
        <v>1589.2137118806477</v>
      </c>
      <c r="F87" s="105">
        <f t="shared" si="37"/>
        <v>1589.2137118806477</v>
      </c>
      <c r="G87" s="105">
        <f t="shared" si="37"/>
        <v>1589.2137118806477</v>
      </c>
      <c r="H87" s="105">
        <f t="shared" si="37"/>
        <v>1589.2137118806477</v>
      </c>
      <c r="I87" s="105">
        <f t="shared" si="37"/>
        <v>1589.2137118806477</v>
      </c>
      <c r="J87" s="105">
        <f t="shared" si="37"/>
        <v>1589.2137118806477</v>
      </c>
      <c r="K87" s="105">
        <f t="shared" si="37"/>
        <v>1589.2137118806477</v>
      </c>
      <c r="L87" s="105">
        <f t="shared" si="37"/>
        <v>1589.2137118806477</v>
      </c>
      <c r="M87" s="105">
        <f t="shared" si="37"/>
        <v>1589.2137118806477</v>
      </c>
      <c r="N87" s="105">
        <f t="shared" si="37"/>
        <v>1589.2137118806477</v>
      </c>
      <c r="O87" s="105">
        <f t="shared" si="37"/>
        <v>1589.2137118806477</v>
      </c>
      <c r="P87" s="105">
        <f t="shared" si="37"/>
        <v>1589.2137118806477</v>
      </c>
      <c r="Q87" s="105">
        <f t="shared" si="37"/>
        <v>1589.2137118806477</v>
      </c>
      <c r="R87" s="105">
        <f t="shared" si="37"/>
        <v>1589.2137118806477</v>
      </c>
      <c r="S87" s="105">
        <f t="shared" si="37"/>
        <v>1589.2137118806477</v>
      </c>
      <c r="T87" s="105">
        <f t="shared" si="37"/>
        <v>1589.2137118806477</v>
      </c>
      <c r="U87" s="105">
        <f t="shared" si="37"/>
        <v>1589.2137118806477</v>
      </c>
      <c r="V87" s="105">
        <f t="shared" si="37"/>
        <v>1589.2137118806477</v>
      </c>
      <c r="W87" s="105">
        <f t="shared" si="37"/>
        <v>1589.2137118806477</v>
      </c>
      <c r="X87" s="105">
        <f t="shared" si="37"/>
        <v>1589.2137118806477</v>
      </c>
      <c r="Y87" s="105">
        <f t="shared" si="37"/>
        <v>1589.2137118806477</v>
      </c>
      <c r="Z87" s="105">
        <f t="shared" si="37"/>
        <v>1589.2137118806477</v>
      </c>
      <c r="AA87" s="105">
        <f t="shared" si="37"/>
        <v>1589.2137118806477</v>
      </c>
      <c r="AB87" s="105">
        <f t="shared" si="37"/>
        <v>1589.2137118806477</v>
      </c>
      <c r="AC87" s="105">
        <f t="shared" si="37"/>
        <v>1589.2137118806477</v>
      </c>
      <c r="AD87" s="105">
        <f t="shared" si="37"/>
        <v>1589.2137118806477</v>
      </c>
      <c r="AE87" s="105">
        <f t="shared" si="37"/>
        <v>1589.2137118806477</v>
      </c>
      <c r="AF87" s="105">
        <f t="shared" si="37"/>
        <v>1589.2137118806477</v>
      </c>
      <c r="AG87" s="105">
        <f t="shared" si="37"/>
        <v>1589.2137118806477</v>
      </c>
      <c r="AH87" s="105">
        <f t="shared" si="37"/>
        <v>1589.2137118806477</v>
      </c>
    </row>
    <row r="88" spans="1:34" ht="12.75">
      <c r="A88" s="87" t="s">
        <v>386</v>
      </c>
      <c r="B88" s="87"/>
      <c r="C88" s="103">
        <f>IF(C87&gt;0,C87*$B$63,)</f>
        <v>0</v>
      </c>
      <c r="D88" s="103">
        <f>SUM(C75:G75)</f>
        <v>38.572751309524527</v>
      </c>
      <c r="E88" s="103">
        <f>K75</f>
        <v>1857.5197811138978</v>
      </c>
      <c r="F88" s="103">
        <f>E88</f>
        <v>1857.5197811138978</v>
      </c>
      <c r="G88" s="103">
        <f t="shared" ref="G88:AH88" si="38">F88</f>
        <v>1857.5197811138978</v>
      </c>
      <c r="H88" s="103">
        <f t="shared" si="38"/>
        <v>1857.5197811138978</v>
      </c>
      <c r="I88" s="103">
        <f t="shared" si="38"/>
        <v>1857.5197811138978</v>
      </c>
      <c r="J88" s="103">
        <f t="shared" si="38"/>
        <v>1857.5197811138978</v>
      </c>
      <c r="K88" s="103">
        <f t="shared" si="38"/>
        <v>1857.5197811138978</v>
      </c>
      <c r="L88" s="103">
        <f t="shared" si="38"/>
        <v>1857.5197811138978</v>
      </c>
      <c r="M88" s="103">
        <f t="shared" si="38"/>
        <v>1857.5197811138978</v>
      </c>
      <c r="N88" s="103">
        <f t="shared" si="38"/>
        <v>1857.5197811138978</v>
      </c>
      <c r="O88" s="103">
        <f t="shared" si="38"/>
        <v>1857.5197811138978</v>
      </c>
      <c r="P88" s="103">
        <f t="shared" si="38"/>
        <v>1857.5197811138978</v>
      </c>
      <c r="Q88" s="103">
        <f t="shared" si="38"/>
        <v>1857.5197811138978</v>
      </c>
      <c r="R88" s="103">
        <f t="shared" si="38"/>
        <v>1857.5197811138978</v>
      </c>
      <c r="S88" s="103">
        <f t="shared" si="38"/>
        <v>1857.5197811138978</v>
      </c>
      <c r="T88" s="103">
        <f t="shared" si="38"/>
        <v>1857.5197811138978</v>
      </c>
      <c r="U88" s="103">
        <f t="shared" si="38"/>
        <v>1857.5197811138978</v>
      </c>
      <c r="V88" s="103">
        <f t="shared" si="38"/>
        <v>1857.5197811138978</v>
      </c>
      <c r="W88" s="103">
        <f t="shared" si="38"/>
        <v>1857.5197811138978</v>
      </c>
      <c r="X88" s="103">
        <f t="shared" si="38"/>
        <v>1857.5197811138978</v>
      </c>
      <c r="Y88" s="103">
        <f t="shared" si="38"/>
        <v>1857.5197811138978</v>
      </c>
      <c r="Z88" s="103">
        <f t="shared" si="38"/>
        <v>1857.5197811138978</v>
      </c>
      <c r="AA88" s="103">
        <f t="shared" si="38"/>
        <v>1857.5197811138978</v>
      </c>
      <c r="AB88" s="103">
        <f t="shared" si="38"/>
        <v>1857.5197811138978</v>
      </c>
      <c r="AC88" s="103">
        <f t="shared" si="38"/>
        <v>1857.5197811138978</v>
      </c>
      <c r="AD88" s="103">
        <f t="shared" si="38"/>
        <v>1857.5197811138978</v>
      </c>
      <c r="AE88" s="103">
        <f t="shared" si="38"/>
        <v>1857.5197811138978</v>
      </c>
      <c r="AF88" s="103">
        <f t="shared" si="38"/>
        <v>1857.5197811138978</v>
      </c>
      <c r="AG88" s="103">
        <f t="shared" si="38"/>
        <v>1857.5197811138978</v>
      </c>
      <c r="AH88" s="103">
        <f t="shared" si="38"/>
        <v>1857.5197811138978</v>
      </c>
    </row>
    <row r="89" spans="1:34" ht="13.5" thickBot="1">
      <c r="A89" s="104" t="s">
        <v>387</v>
      </c>
      <c r="B89" s="107"/>
      <c r="C89" s="105">
        <f t="shared" ref="C89:AH89" si="39">C87-C88</f>
        <v>0</v>
      </c>
      <c r="D89" s="105">
        <f t="shared" si="39"/>
        <v>-1137.9223803905363</v>
      </c>
      <c r="E89" s="105">
        <f t="shared" si="39"/>
        <v>-268.30606923325013</v>
      </c>
      <c r="F89" s="105">
        <f t="shared" si="39"/>
        <v>-268.30606923325013</v>
      </c>
      <c r="G89" s="105">
        <f t="shared" si="39"/>
        <v>-268.30606923325013</v>
      </c>
      <c r="H89" s="105">
        <f t="shared" si="39"/>
        <v>-268.30606923325013</v>
      </c>
      <c r="I89" s="105">
        <f t="shared" si="39"/>
        <v>-268.30606923325013</v>
      </c>
      <c r="J89" s="105">
        <f t="shared" si="39"/>
        <v>-268.30606923325013</v>
      </c>
      <c r="K89" s="105">
        <f t="shared" si="39"/>
        <v>-268.30606923325013</v>
      </c>
      <c r="L89" s="105">
        <f t="shared" si="39"/>
        <v>-268.30606923325013</v>
      </c>
      <c r="M89" s="105">
        <f t="shared" si="39"/>
        <v>-268.30606923325013</v>
      </c>
      <c r="N89" s="105">
        <f t="shared" si="39"/>
        <v>-268.30606923325013</v>
      </c>
      <c r="O89" s="105">
        <f t="shared" si="39"/>
        <v>-268.30606923325013</v>
      </c>
      <c r="P89" s="105">
        <f t="shared" si="39"/>
        <v>-268.30606923325013</v>
      </c>
      <c r="Q89" s="105">
        <f t="shared" si="39"/>
        <v>-268.30606923325013</v>
      </c>
      <c r="R89" s="105">
        <f t="shared" si="39"/>
        <v>-268.30606923325013</v>
      </c>
      <c r="S89" s="105">
        <f t="shared" si="39"/>
        <v>-268.30606923325013</v>
      </c>
      <c r="T89" s="105">
        <f t="shared" si="39"/>
        <v>-268.30606923325013</v>
      </c>
      <c r="U89" s="105">
        <f t="shared" si="39"/>
        <v>-268.30606923325013</v>
      </c>
      <c r="V89" s="105">
        <f t="shared" si="39"/>
        <v>-268.30606923325013</v>
      </c>
      <c r="W89" s="105">
        <f t="shared" si="39"/>
        <v>-268.30606923325013</v>
      </c>
      <c r="X89" s="105">
        <f t="shared" si="39"/>
        <v>-268.30606923325013</v>
      </c>
      <c r="Y89" s="105">
        <f t="shared" si="39"/>
        <v>-268.30606923325013</v>
      </c>
      <c r="Z89" s="105">
        <f t="shared" si="39"/>
        <v>-268.30606923325013</v>
      </c>
      <c r="AA89" s="105">
        <f t="shared" si="39"/>
        <v>-268.30606923325013</v>
      </c>
      <c r="AB89" s="105">
        <f t="shared" si="39"/>
        <v>-268.30606923325013</v>
      </c>
      <c r="AC89" s="105">
        <f t="shared" si="39"/>
        <v>-268.30606923325013</v>
      </c>
      <c r="AD89" s="105">
        <f t="shared" si="39"/>
        <v>-268.30606923325013</v>
      </c>
      <c r="AE89" s="105">
        <f t="shared" si="39"/>
        <v>-268.30606923325013</v>
      </c>
      <c r="AF89" s="105">
        <f t="shared" si="39"/>
        <v>-268.30606923325013</v>
      </c>
      <c r="AG89" s="105">
        <f t="shared" si="39"/>
        <v>-268.30606923325013</v>
      </c>
      <c r="AH89" s="105">
        <f t="shared" si="39"/>
        <v>-268.30606923325013</v>
      </c>
    </row>
    <row r="90" spans="1:34" ht="12.75">
      <c r="A90" s="87" t="s">
        <v>384</v>
      </c>
      <c r="B90" s="87"/>
      <c r="C90" s="103">
        <f>C$15*$C77+C$16*$D77+C$17*$E77+C$18*$F77+C$19*$G77+C$20*$H77+C$21*$I77+C$22*$J77</f>
        <v>0</v>
      </c>
      <c r="D90" s="103">
        <f t="shared" ref="D90:K90" si="40">D$15*$C77+D$16*$D77+D$17*$E77+D$18*$F77+D$19*$G77+D$20*$H77+D$21*$I77+D$22*$J77</f>
        <v>4095.3945792999994</v>
      </c>
      <c r="E90" s="103">
        <f t="shared" si="40"/>
        <v>8804.8755221643569</v>
      </c>
      <c r="F90" s="103">
        <f t="shared" si="40"/>
        <v>8804.8755221643569</v>
      </c>
      <c r="G90" s="103">
        <f t="shared" si="40"/>
        <v>8804.8755221643569</v>
      </c>
      <c r="H90" s="103">
        <f t="shared" si="40"/>
        <v>8804.8755221643569</v>
      </c>
      <c r="I90" s="103">
        <f t="shared" si="40"/>
        <v>8804.8755221643569</v>
      </c>
      <c r="J90" s="103">
        <f t="shared" si="40"/>
        <v>8804.8755221643569</v>
      </c>
      <c r="K90" s="103">
        <f t="shared" si="40"/>
        <v>8804.8755221643569</v>
      </c>
      <c r="L90" s="103">
        <f t="shared" ref="L90:AH90" si="41">K90</f>
        <v>8804.8755221643569</v>
      </c>
      <c r="M90" s="103">
        <f t="shared" si="41"/>
        <v>8804.8755221643569</v>
      </c>
      <c r="N90" s="103">
        <f t="shared" si="41"/>
        <v>8804.8755221643569</v>
      </c>
      <c r="O90" s="103">
        <f t="shared" si="41"/>
        <v>8804.8755221643569</v>
      </c>
      <c r="P90" s="103">
        <f t="shared" si="41"/>
        <v>8804.8755221643569</v>
      </c>
      <c r="Q90" s="103">
        <f t="shared" si="41"/>
        <v>8804.8755221643569</v>
      </c>
      <c r="R90" s="103">
        <f t="shared" si="41"/>
        <v>8804.8755221643569</v>
      </c>
      <c r="S90" s="103">
        <f t="shared" si="41"/>
        <v>8804.8755221643569</v>
      </c>
      <c r="T90" s="103">
        <f t="shared" si="41"/>
        <v>8804.8755221643569</v>
      </c>
      <c r="U90" s="103">
        <f t="shared" si="41"/>
        <v>8804.8755221643569</v>
      </c>
      <c r="V90" s="103">
        <f t="shared" si="41"/>
        <v>8804.8755221643569</v>
      </c>
      <c r="W90" s="103">
        <f t="shared" si="41"/>
        <v>8804.8755221643569</v>
      </c>
      <c r="X90" s="103">
        <f t="shared" si="41"/>
        <v>8804.8755221643569</v>
      </c>
      <c r="Y90" s="103">
        <f t="shared" si="41"/>
        <v>8804.8755221643569</v>
      </c>
      <c r="Z90" s="103">
        <f t="shared" si="41"/>
        <v>8804.8755221643569</v>
      </c>
      <c r="AA90" s="103">
        <f t="shared" si="41"/>
        <v>8804.8755221643569</v>
      </c>
      <c r="AB90" s="103">
        <f t="shared" si="41"/>
        <v>8804.8755221643569</v>
      </c>
      <c r="AC90" s="103">
        <f t="shared" si="41"/>
        <v>8804.8755221643569</v>
      </c>
      <c r="AD90" s="103">
        <f t="shared" si="41"/>
        <v>8804.8755221643569</v>
      </c>
      <c r="AE90" s="103">
        <f t="shared" si="41"/>
        <v>8804.8755221643569</v>
      </c>
      <c r="AF90" s="103">
        <f t="shared" si="41"/>
        <v>8804.8755221643569</v>
      </c>
      <c r="AG90" s="103">
        <f t="shared" si="41"/>
        <v>8804.8755221643569</v>
      </c>
      <c r="AH90" s="103">
        <f t="shared" si="41"/>
        <v>8804.8755221643569</v>
      </c>
    </row>
    <row r="91" spans="1:34" ht="13.5" thickBot="1">
      <c r="A91" s="91" t="s">
        <v>166</v>
      </c>
      <c r="B91" s="92"/>
      <c r="C91" s="106">
        <f t="shared" ref="C91:AH91" si="42">C89+C90</f>
        <v>0</v>
      </c>
      <c r="D91" s="106">
        <f>D89+D90</f>
        <v>2957.4721989094633</v>
      </c>
      <c r="E91" s="106">
        <f t="shared" si="42"/>
        <v>8536.5694529311077</v>
      </c>
      <c r="F91" s="106">
        <f t="shared" si="42"/>
        <v>8536.5694529311077</v>
      </c>
      <c r="G91" s="106">
        <f t="shared" si="42"/>
        <v>8536.5694529311077</v>
      </c>
      <c r="H91" s="106">
        <f t="shared" si="42"/>
        <v>8536.5694529311077</v>
      </c>
      <c r="I91" s="106">
        <f t="shared" si="42"/>
        <v>8536.5694529311077</v>
      </c>
      <c r="J91" s="106">
        <f t="shared" si="42"/>
        <v>8536.5694529311077</v>
      </c>
      <c r="K91" s="106">
        <f t="shared" si="42"/>
        <v>8536.5694529311077</v>
      </c>
      <c r="L91" s="106">
        <f t="shared" si="42"/>
        <v>8536.5694529311077</v>
      </c>
      <c r="M91" s="106">
        <f t="shared" si="42"/>
        <v>8536.5694529311077</v>
      </c>
      <c r="N91" s="106">
        <f t="shared" si="42"/>
        <v>8536.5694529311077</v>
      </c>
      <c r="O91" s="106">
        <f t="shared" si="42"/>
        <v>8536.5694529311077</v>
      </c>
      <c r="P91" s="106">
        <f t="shared" si="42"/>
        <v>8536.5694529311077</v>
      </c>
      <c r="Q91" s="106">
        <f t="shared" si="42"/>
        <v>8536.5694529311077</v>
      </c>
      <c r="R91" s="106">
        <f t="shared" si="42"/>
        <v>8536.5694529311077</v>
      </c>
      <c r="S91" s="106">
        <f t="shared" si="42"/>
        <v>8536.5694529311077</v>
      </c>
      <c r="T91" s="106">
        <f t="shared" si="42"/>
        <v>8536.5694529311077</v>
      </c>
      <c r="U91" s="106">
        <f t="shared" si="42"/>
        <v>8536.5694529311077</v>
      </c>
      <c r="V91" s="106">
        <f t="shared" si="42"/>
        <v>8536.5694529311077</v>
      </c>
      <c r="W91" s="106">
        <f t="shared" si="42"/>
        <v>8536.5694529311077</v>
      </c>
      <c r="X91" s="106">
        <f t="shared" si="42"/>
        <v>8536.5694529311077</v>
      </c>
      <c r="Y91" s="106">
        <f t="shared" si="42"/>
        <v>8536.5694529311077</v>
      </c>
      <c r="Z91" s="106">
        <f t="shared" si="42"/>
        <v>8536.5694529311077</v>
      </c>
      <c r="AA91" s="106">
        <f t="shared" si="42"/>
        <v>8536.5694529311077</v>
      </c>
      <c r="AB91" s="106">
        <f t="shared" si="42"/>
        <v>8536.5694529311077</v>
      </c>
      <c r="AC91" s="106">
        <f t="shared" si="42"/>
        <v>8536.5694529311077</v>
      </c>
      <c r="AD91" s="106">
        <f t="shared" si="42"/>
        <v>8536.5694529311077</v>
      </c>
      <c r="AE91" s="106">
        <f t="shared" si="42"/>
        <v>8536.5694529311077</v>
      </c>
      <c r="AF91" s="106">
        <f t="shared" si="42"/>
        <v>8536.5694529311077</v>
      </c>
      <c r="AG91" s="106">
        <f t="shared" si="42"/>
        <v>8536.5694529311077</v>
      </c>
      <c r="AH91" s="106">
        <f t="shared" si="42"/>
        <v>8536.5694529311077</v>
      </c>
    </row>
    <row r="92" spans="1:34" ht="13.5" thickBot="1">
      <c r="A92" s="91" t="s">
        <v>388</v>
      </c>
      <c r="B92" s="92"/>
      <c r="C92" s="106">
        <f t="shared" ref="C92:AH92" si="43">C91+B92</f>
        <v>0</v>
      </c>
      <c r="D92" s="106">
        <f t="shared" si="43"/>
        <v>2957.4721989094633</v>
      </c>
      <c r="E92" s="106">
        <f t="shared" si="43"/>
        <v>11494.041651840571</v>
      </c>
      <c r="F92" s="106">
        <f t="shared" si="43"/>
        <v>20030.611104771677</v>
      </c>
      <c r="G92" s="106">
        <f t="shared" si="43"/>
        <v>28567.180557702784</v>
      </c>
      <c r="H92" s="106">
        <f t="shared" si="43"/>
        <v>37103.750010633892</v>
      </c>
      <c r="I92" s="106">
        <f t="shared" si="43"/>
        <v>45640.319463565</v>
      </c>
      <c r="J92" s="106">
        <f t="shared" si="43"/>
        <v>54176.888916496107</v>
      </c>
      <c r="K92" s="106">
        <f t="shared" si="43"/>
        <v>62713.458369427215</v>
      </c>
      <c r="L92" s="106">
        <f t="shared" si="43"/>
        <v>71250.02782235833</v>
      </c>
      <c r="M92" s="106">
        <f t="shared" si="43"/>
        <v>79786.597275289445</v>
      </c>
      <c r="N92" s="106">
        <f t="shared" si="43"/>
        <v>88323.16672822056</v>
      </c>
      <c r="O92" s="106">
        <f t="shared" si="43"/>
        <v>96859.736181151675</v>
      </c>
      <c r="P92" s="106">
        <f t="shared" si="43"/>
        <v>105396.30563408279</v>
      </c>
      <c r="Q92" s="106">
        <f t="shared" si="43"/>
        <v>113932.8750870139</v>
      </c>
      <c r="R92" s="106">
        <f t="shared" si="43"/>
        <v>122469.44453994502</v>
      </c>
      <c r="S92" s="106">
        <f t="shared" si="43"/>
        <v>131006.01399287613</v>
      </c>
      <c r="T92" s="106">
        <f t="shared" si="43"/>
        <v>139542.58344580725</v>
      </c>
      <c r="U92" s="106">
        <f t="shared" si="43"/>
        <v>148079.15289873836</v>
      </c>
      <c r="V92" s="106">
        <f t="shared" si="43"/>
        <v>156615.72235166948</v>
      </c>
      <c r="W92" s="106">
        <f t="shared" si="43"/>
        <v>165152.29180460059</v>
      </c>
      <c r="X92" s="106">
        <f t="shared" si="43"/>
        <v>173688.86125753171</v>
      </c>
      <c r="Y92" s="106">
        <f t="shared" si="43"/>
        <v>182225.43071046282</v>
      </c>
      <c r="Z92" s="106">
        <f t="shared" si="43"/>
        <v>190762.00016339394</v>
      </c>
      <c r="AA92" s="106">
        <f t="shared" si="43"/>
        <v>199298.56961632505</v>
      </c>
      <c r="AB92" s="106">
        <f t="shared" si="43"/>
        <v>207835.13906925617</v>
      </c>
      <c r="AC92" s="106">
        <f t="shared" si="43"/>
        <v>216371.70852218728</v>
      </c>
      <c r="AD92" s="106">
        <f t="shared" si="43"/>
        <v>224908.2779751184</v>
      </c>
      <c r="AE92" s="106">
        <f t="shared" si="43"/>
        <v>233444.84742804951</v>
      </c>
      <c r="AF92" s="106">
        <f t="shared" si="43"/>
        <v>241981.41688098063</v>
      </c>
      <c r="AG92" s="106">
        <f t="shared" si="43"/>
        <v>250517.98633391174</v>
      </c>
      <c r="AH92" s="106">
        <f t="shared" si="43"/>
        <v>259054.55578684286</v>
      </c>
    </row>
    <row r="94" spans="1:34" ht="17.25" thickBot="1"/>
    <row r="95" spans="1:34" ht="12.75">
      <c r="A95" s="86" t="s">
        <v>156</v>
      </c>
      <c r="B95" s="86">
        <v>0</v>
      </c>
      <c r="C95" s="86">
        <f t="shared" ref="C95:AH95" si="44">+B95+1</f>
        <v>1</v>
      </c>
      <c r="D95" s="86">
        <f t="shared" si="44"/>
        <v>2</v>
      </c>
      <c r="E95" s="86">
        <f t="shared" si="44"/>
        <v>3</v>
      </c>
      <c r="F95" s="86">
        <f t="shared" si="44"/>
        <v>4</v>
      </c>
      <c r="G95" s="86">
        <f t="shared" si="44"/>
        <v>5</v>
      </c>
      <c r="H95" s="86">
        <f t="shared" si="44"/>
        <v>6</v>
      </c>
      <c r="I95" s="86">
        <f t="shared" si="44"/>
        <v>7</v>
      </c>
      <c r="J95" s="86">
        <f t="shared" si="44"/>
        <v>8</v>
      </c>
      <c r="K95" s="86">
        <f t="shared" si="44"/>
        <v>9</v>
      </c>
      <c r="L95" s="86">
        <f t="shared" si="44"/>
        <v>10</v>
      </c>
      <c r="M95" s="86">
        <f t="shared" si="44"/>
        <v>11</v>
      </c>
      <c r="N95" s="86">
        <f t="shared" si="44"/>
        <v>12</v>
      </c>
      <c r="O95" s="86">
        <f t="shared" si="44"/>
        <v>13</v>
      </c>
      <c r="P95" s="86">
        <f t="shared" si="44"/>
        <v>14</v>
      </c>
      <c r="Q95" s="86">
        <f t="shared" si="44"/>
        <v>15</v>
      </c>
      <c r="R95" s="86">
        <f t="shared" si="44"/>
        <v>16</v>
      </c>
      <c r="S95" s="86">
        <f t="shared" si="44"/>
        <v>17</v>
      </c>
      <c r="T95" s="86">
        <f t="shared" si="44"/>
        <v>18</v>
      </c>
      <c r="U95" s="86">
        <f t="shared" si="44"/>
        <v>19</v>
      </c>
      <c r="V95" s="86">
        <f t="shared" si="44"/>
        <v>20</v>
      </c>
      <c r="W95" s="86">
        <f t="shared" si="44"/>
        <v>21</v>
      </c>
      <c r="X95" s="86">
        <f t="shared" si="44"/>
        <v>22</v>
      </c>
      <c r="Y95" s="86">
        <f t="shared" si="44"/>
        <v>23</v>
      </c>
      <c r="Z95" s="86">
        <f t="shared" si="44"/>
        <v>24</v>
      </c>
      <c r="AA95" s="86">
        <f t="shared" si="44"/>
        <v>25</v>
      </c>
      <c r="AB95" s="86">
        <f t="shared" si="44"/>
        <v>26</v>
      </c>
      <c r="AC95" s="86">
        <f t="shared" si="44"/>
        <v>27</v>
      </c>
      <c r="AD95" s="86">
        <f t="shared" si="44"/>
        <v>28</v>
      </c>
      <c r="AE95" s="86">
        <f t="shared" si="44"/>
        <v>29</v>
      </c>
      <c r="AF95" s="86">
        <f t="shared" si="44"/>
        <v>30</v>
      </c>
      <c r="AG95" s="86">
        <f t="shared" si="44"/>
        <v>31</v>
      </c>
      <c r="AH95" s="86">
        <f t="shared" si="44"/>
        <v>32</v>
      </c>
    </row>
    <row r="96" spans="1:34" ht="12.75">
      <c r="A96" s="87" t="s">
        <v>389</v>
      </c>
      <c r="B96" s="103">
        <f>B104*'ERR &amp; Sensitivity Analysis'!$G$10</f>
        <v>0</v>
      </c>
      <c r="C96" s="103">
        <f>C104*'ERR &amp; Sensitivity Analysis'!$G$10</f>
        <v>-4808.9482549002023</v>
      </c>
      <c r="D96" s="103">
        <f>D104*'ERR &amp; Sensitivity Analysis'!$G$10</f>
        <v>-14636.902685901854</v>
      </c>
      <c r="E96" s="103">
        <f>E104*'ERR &amp; Sensitivity Analysis'!$G$10</f>
        <v>-22147.326330906362</v>
      </c>
      <c r="F96" s="103">
        <f>F104*'ERR &amp; Sensitivity Analysis'!$G$10</f>
        <v>-107329.92250361126</v>
      </c>
      <c r="G96" s="103">
        <f>G104*'ERR &amp; Sensitivity Analysis'!$G$10</f>
        <v>-226808.24704911638</v>
      </c>
      <c r="H96" s="103">
        <f>H104*'ERR &amp; Sensitivity Analysis'!$G$10</f>
        <v>0</v>
      </c>
      <c r="I96" s="103">
        <f>I104*'ERR &amp; Sensitivity Analysis'!$G$10</f>
        <v>0</v>
      </c>
      <c r="J96" s="103">
        <f>J104*'ERR &amp; Sensitivity Analysis'!$G$10</f>
        <v>0</v>
      </c>
      <c r="K96" s="103">
        <f>K104*'ERR &amp; Sensitivity Analysis'!$G$10</f>
        <v>0</v>
      </c>
      <c r="L96" s="103">
        <f>L104*'ERR &amp; Sensitivity Analysis'!$G$10</f>
        <v>0</v>
      </c>
      <c r="M96" s="103">
        <f>M104*'ERR &amp; Sensitivity Analysis'!$G$10</f>
        <v>-8248</v>
      </c>
      <c r="N96" s="103">
        <f>N104*'ERR &amp; Sensitivity Analysis'!$G$10</f>
        <v>-8248</v>
      </c>
      <c r="O96" s="103">
        <f>O104*'ERR &amp; Sensitivity Analysis'!$G$10</f>
        <v>0</v>
      </c>
      <c r="P96" s="103">
        <f>P104*'ERR &amp; Sensitivity Analysis'!$G$10</f>
        <v>0</v>
      </c>
      <c r="Q96" s="103">
        <f>Q104*'ERR &amp; Sensitivity Analysis'!$G$10</f>
        <v>0</v>
      </c>
      <c r="R96" s="103">
        <f>R104*'ERR &amp; Sensitivity Analysis'!$G$10</f>
        <v>0</v>
      </c>
      <c r="S96" s="103">
        <f>S104*'ERR &amp; Sensitivity Analysis'!$G$10</f>
        <v>0</v>
      </c>
      <c r="T96" s="103">
        <f>T104*'ERR &amp; Sensitivity Analysis'!$G$10</f>
        <v>0</v>
      </c>
      <c r="U96" s="103">
        <f>U104*'ERR &amp; Sensitivity Analysis'!$G$10</f>
        <v>0</v>
      </c>
      <c r="V96" s="103">
        <f>V104*'ERR &amp; Sensitivity Analysis'!$G$10</f>
        <v>0</v>
      </c>
      <c r="W96" s="103">
        <f>W104*'ERR &amp; Sensitivity Analysis'!$G$10</f>
        <v>-8248</v>
      </c>
      <c r="X96" s="103">
        <f>X104*'ERR &amp; Sensitivity Analysis'!$G$10</f>
        <v>-8248</v>
      </c>
      <c r="Y96" s="103">
        <f>Y104*'ERR &amp; Sensitivity Analysis'!$G$10</f>
        <v>0</v>
      </c>
      <c r="Z96" s="103">
        <f>Z104*'ERR &amp; Sensitivity Analysis'!$G$10</f>
        <v>0</v>
      </c>
      <c r="AA96" s="103">
        <f>AA104*'ERR &amp; Sensitivity Analysis'!$G$10</f>
        <v>0</v>
      </c>
      <c r="AB96" s="103">
        <f>AB104*'ERR &amp; Sensitivity Analysis'!$G$10</f>
        <v>0</v>
      </c>
      <c r="AC96" s="103">
        <f>AC104*'ERR &amp; Sensitivity Analysis'!$G$10</f>
        <v>0</v>
      </c>
      <c r="AD96" s="103">
        <f>AD104*'ERR &amp; Sensitivity Analysis'!$G$10</f>
        <v>0</v>
      </c>
      <c r="AE96" s="103">
        <f>AE104*'ERR &amp; Sensitivity Analysis'!$G$10</f>
        <v>0</v>
      </c>
      <c r="AF96" s="103">
        <f>AF104*'ERR &amp; Sensitivity Analysis'!$G$10</f>
        <v>-211833.0348957</v>
      </c>
      <c r="AG96" s="103">
        <f>AG104*'ERR &amp; Sensitivity Analysis'!$G$10</f>
        <v>-8248</v>
      </c>
      <c r="AH96" s="103">
        <f>AH104*'ERR &amp; Sensitivity Analysis'!$G$10</f>
        <v>-8248</v>
      </c>
    </row>
    <row r="97" spans="1:34" ht="12.75">
      <c r="A97" s="87" t="s">
        <v>166</v>
      </c>
      <c r="B97" s="103">
        <f>B91*'ERR &amp; Sensitivity Analysis'!$G$11</f>
        <v>0</v>
      </c>
      <c r="C97" s="103">
        <f>C91*'ERR &amp; Sensitivity Analysis'!$G$11</f>
        <v>0</v>
      </c>
      <c r="D97" s="103">
        <f>D91*'ERR &amp; Sensitivity Analysis'!$G$11</f>
        <v>2957.4721989094633</v>
      </c>
      <c r="E97" s="103">
        <f>E91*'ERR &amp; Sensitivity Analysis'!$G$11</f>
        <v>8536.5694529311077</v>
      </c>
      <c r="F97" s="103">
        <f>F91*'ERR &amp; Sensitivity Analysis'!$G$11</f>
        <v>8536.5694529311077</v>
      </c>
      <c r="G97" s="103">
        <f>G91*'ERR &amp; Sensitivity Analysis'!$G$11</f>
        <v>8536.5694529311077</v>
      </c>
      <c r="H97" s="103">
        <f>H91*'ERR &amp; Sensitivity Analysis'!$G$11</f>
        <v>8536.5694529311077</v>
      </c>
      <c r="I97" s="103">
        <f>I91*'ERR &amp; Sensitivity Analysis'!$G$11</f>
        <v>8536.5694529311077</v>
      </c>
      <c r="J97" s="103">
        <f>J91*'ERR &amp; Sensitivity Analysis'!$G$11</f>
        <v>8536.5694529311077</v>
      </c>
      <c r="K97" s="103">
        <f>K91*'ERR &amp; Sensitivity Analysis'!$G$11</f>
        <v>8536.5694529311077</v>
      </c>
      <c r="L97" s="103">
        <f>L91*'ERR &amp; Sensitivity Analysis'!$G$11</f>
        <v>8536.5694529311077</v>
      </c>
      <c r="M97" s="103">
        <f>M91*'ERR &amp; Sensitivity Analysis'!$G$11</f>
        <v>8536.5694529311077</v>
      </c>
      <c r="N97" s="103">
        <f>N91*'ERR &amp; Sensitivity Analysis'!$G$11</f>
        <v>8536.5694529311077</v>
      </c>
      <c r="O97" s="103">
        <f>O91*'ERR &amp; Sensitivity Analysis'!$G$11</f>
        <v>8536.5694529311077</v>
      </c>
      <c r="P97" s="103">
        <f>P91*'ERR &amp; Sensitivity Analysis'!$G$11</f>
        <v>8536.5694529311077</v>
      </c>
      <c r="Q97" s="103">
        <f>Q91*'ERR &amp; Sensitivity Analysis'!$G$11</f>
        <v>8536.5694529311077</v>
      </c>
      <c r="R97" s="103">
        <f>R91*'ERR &amp; Sensitivity Analysis'!$G$11</f>
        <v>8536.5694529311077</v>
      </c>
      <c r="S97" s="103">
        <f>S91*'ERR &amp; Sensitivity Analysis'!$G$11</f>
        <v>8536.5694529311077</v>
      </c>
      <c r="T97" s="103">
        <f>T91*'ERR &amp; Sensitivity Analysis'!$G$11</f>
        <v>8536.5694529311077</v>
      </c>
      <c r="U97" s="103">
        <f>U91*'ERR &amp; Sensitivity Analysis'!$G$11</f>
        <v>8536.5694529311077</v>
      </c>
      <c r="V97" s="103">
        <f>V91*'ERR &amp; Sensitivity Analysis'!$G$11</f>
        <v>8536.5694529311077</v>
      </c>
      <c r="W97" s="103">
        <f>W91*'ERR &amp; Sensitivity Analysis'!$G$11</f>
        <v>8536.5694529311077</v>
      </c>
      <c r="X97" s="103">
        <f>X91*'ERR &amp; Sensitivity Analysis'!$G$11</f>
        <v>8536.5694529311077</v>
      </c>
      <c r="Y97" s="103">
        <f>Y91*'ERR &amp; Sensitivity Analysis'!$G$11</f>
        <v>8536.5694529311077</v>
      </c>
      <c r="Z97" s="103">
        <f>Z91*'ERR &amp; Sensitivity Analysis'!$G$11</f>
        <v>8536.5694529311077</v>
      </c>
      <c r="AA97" s="103">
        <f>AA91*'ERR &amp; Sensitivity Analysis'!$G$11</f>
        <v>8536.5694529311077</v>
      </c>
      <c r="AB97" s="103">
        <f>AB91*'ERR &amp; Sensitivity Analysis'!$G$11</f>
        <v>8536.5694529311077</v>
      </c>
      <c r="AC97" s="103">
        <f>AC91*'ERR &amp; Sensitivity Analysis'!$G$11</f>
        <v>8536.5694529311077</v>
      </c>
      <c r="AD97" s="103">
        <f>AD91*'ERR &amp; Sensitivity Analysis'!$G$11</f>
        <v>8536.5694529311077</v>
      </c>
      <c r="AE97" s="103">
        <f>AE91*'ERR &amp; Sensitivity Analysis'!$G$11</f>
        <v>8536.5694529311077</v>
      </c>
      <c r="AF97" s="103">
        <f>AF91*'ERR &amp; Sensitivity Analysis'!$G$11</f>
        <v>8536.5694529311077</v>
      </c>
      <c r="AG97" s="103">
        <f>AG91*'ERR &amp; Sensitivity Analysis'!$G$11</f>
        <v>8536.5694529311077</v>
      </c>
      <c r="AH97" s="103">
        <f>AH91*'ERR &amp; Sensitivity Analysis'!$G$11</f>
        <v>8536.5694529311077</v>
      </c>
    </row>
    <row r="98" spans="1:34" ht="13.5" thickBot="1">
      <c r="A98" s="104" t="s">
        <v>205</v>
      </c>
      <c r="B98" s="105">
        <f>B96+B97</f>
        <v>0</v>
      </c>
      <c r="C98" s="105">
        <f>C96+C97</f>
        <v>-4808.9482549002023</v>
      </c>
      <c r="D98" s="105">
        <f>D96+D97</f>
        <v>-11679.430486992391</v>
      </c>
      <c r="E98" s="105">
        <f t="shared" ref="E98:AH98" si="45">E96+E97</f>
        <v>-13610.756877975255</v>
      </c>
      <c r="F98" s="105">
        <f t="shared" si="45"/>
        <v>-98793.353050680162</v>
      </c>
      <c r="G98" s="105">
        <f t="shared" si="45"/>
        <v>-218271.67759618527</v>
      </c>
      <c r="H98" s="105">
        <f t="shared" si="45"/>
        <v>8536.5694529311077</v>
      </c>
      <c r="I98" s="105">
        <f t="shared" si="45"/>
        <v>8536.5694529311077</v>
      </c>
      <c r="J98" s="105">
        <f t="shared" si="45"/>
        <v>8536.5694529311077</v>
      </c>
      <c r="K98" s="105">
        <f t="shared" si="45"/>
        <v>8536.5694529311077</v>
      </c>
      <c r="L98" s="105">
        <f t="shared" si="45"/>
        <v>8536.5694529311077</v>
      </c>
      <c r="M98" s="105">
        <f t="shared" si="45"/>
        <v>288.56945293110766</v>
      </c>
      <c r="N98" s="105">
        <f t="shared" si="45"/>
        <v>288.56945293110766</v>
      </c>
      <c r="O98" s="105">
        <f t="shared" si="45"/>
        <v>8536.5694529311077</v>
      </c>
      <c r="P98" s="105">
        <f t="shared" si="45"/>
        <v>8536.5694529311077</v>
      </c>
      <c r="Q98" s="105">
        <f t="shared" si="45"/>
        <v>8536.5694529311077</v>
      </c>
      <c r="R98" s="105">
        <f t="shared" si="45"/>
        <v>8536.5694529311077</v>
      </c>
      <c r="S98" s="105">
        <f t="shared" si="45"/>
        <v>8536.5694529311077</v>
      </c>
      <c r="T98" s="105">
        <f t="shared" si="45"/>
        <v>8536.5694529311077</v>
      </c>
      <c r="U98" s="105">
        <f t="shared" si="45"/>
        <v>8536.5694529311077</v>
      </c>
      <c r="V98" s="105">
        <f t="shared" si="45"/>
        <v>8536.5694529311077</v>
      </c>
      <c r="W98" s="105">
        <f t="shared" si="45"/>
        <v>288.56945293110766</v>
      </c>
      <c r="X98" s="105">
        <f t="shared" si="45"/>
        <v>288.56945293110766</v>
      </c>
      <c r="Y98" s="105">
        <f t="shared" si="45"/>
        <v>8536.5694529311077</v>
      </c>
      <c r="Z98" s="105">
        <f t="shared" si="45"/>
        <v>8536.5694529311077</v>
      </c>
      <c r="AA98" s="105">
        <f t="shared" si="45"/>
        <v>8536.5694529311077</v>
      </c>
      <c r="AB98" s="105">
        <f t="shared" si="45"/>
        <v>8536.5694529311077</v>
      </c>
      <c r="AC98" s="105">
        <f t="shared" si="45"/>
        <v>8536.5694529311077</v>
      </c>
      <c r="AD98" s="105">
        <f t="shared" si="45"/>
        <v>8536.5694529311077</v>
      </c>
      <c r="AE98" s="105">
        <f t="shared" si="45"/>
        <v>8536.5694529311077</v>
      </c>
      <c r="AF98" s="105">
        <f t="shared" si="45"/>
        <v>-203296.46544276888</v>
      </c>
      <c r="AG98" s="105">
        <f t="shared" si="45"/>
        <v>288.56945293110766</v>
      </c>
      <c r="AH98" s="105">
        <f t="shared" si="45"/>
        <v>288.56945293110766</v>
      </c>
    </row>
    <row r="99" spans="1:34" ht="12.75">
      <c r="A99" s="99"/>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row>
    <row r="100" spans="1:34" ht="12.75">
      <c r="B100" s="307"/>
      <c r="C100" s="307"/>
      <c r="D100" s="307"/>
      <c r="E100" s="307"/>
      <c r="F100" s="307"/>
      <c r="G100" s="307"/>
      <c r="H100" s="307"/>
      <c r="I100" s="307"/>
      <c r="J100" s="307"/>
      <c r="K100" s="307"/>
      <c r="L100" s="307"/>
      <c r="M100" s="307"/>
      <c r="N100" s="307"/>
      <c r="O100" s="307"/>
      <c r="P100" s="307"/>
      <c r="Q100" s="307"/>
      <c r="R100" s="307"/>
      <c r="S100" s="307"/>
      <c r="T100" s="307"/>
      <c r="U100" s="307"/>
      <c r="V100" s="307"/>
      <c r="W100" s="307"/>
      <c r="X100" s="307"/>
      <c r="Y100" s="307"/>
      <c r="Z100" s="307"/>
      <c r="AA100" s="307"/>
      <c r="AB100" s="307"/>
      <c r="AC100" s="307"/>
      <c r="AD100" s="307"/>
      <c r="AE100" s="307"/>
      <c r="AF100" s="307"/>
    </row>
    <row r="101" spans="1:34" s="81" customFormat="1" ht="17.25" customHeight="1">
      <c r="A101" s="306" t="s">
        <v>178</v>
      </c>
      <c r="B101" s="82"/>
      <c r="C101" s="82"/>
      <c r="D101" s="82"/>
      <c r="E101" s="82"/>
      <c r="F101" s="82"/>
      <c r="G101" s="82"/>
      <c r="H101" s="82"/>
      <c r="I101" s="82"/>
      <c r="J101" s="82"/>
      <c r="K101" s="82"/>
      <c r="Q101" s="83" t="s">
        <v>156</v>
      </c>
      <c r="R101" s="83"/>
      <c r="S101" s="83"/>
      <c r="T101" s="83"/>
      <c r="U101" s="83"/>
      <c r="V101" s="83"/>
      <c r="W101" s="83"/>
      <c r="X101" s="83"/>
      <c r="Y101" s="83"/>
      <c r="Z101" s="83"/>
      <c r="AA101" s="83"/>
      <c r="AB101" s="83"/>
      <c r="AC101" s="83"/>
      <c r="AD101" s="83"/>
      <c r="AE101" s="83"/>
      <c r="AF101" s="83"/>
      <c r="AG101" s="83"/>
    </row>
    <row r="102" spans="1:34" s="11" customFormat="1" ht="17.25" customHeight="1" thickBot="1"/>
    <row r="103" spans="1:34" ht="12.75">
      <c r="A103" s="86" t="s">
        <v>156</v>
      </c>
      <c r="B103" s="86">
        <v>0</v>
      </c>
      <c r="C103" s="86">
        <f t="shared" ref="C103:AH103" si="46">+B103+1</f>
        <v>1</v>
      </c>
      <c r="D103" s="86">
        <f t="shared" si="46"/>
        <v>2</v>
      </c>
      <c r="E103" s="86">
        <f t="shared" si="46"/>
        <v>3</v>
      </c>
      <c r="F103" s="86">
        <f t="shared" si="46"/>
        <v>4</v>
      </c>
      <c r="G103" s="86">
        <f t="shared" si="46"/>
        <v>5</v>
      </c>
      <c r="H103" s="86">
        <f t="shared" si="46"/>
        <v>6</v>
      </c>
      <c r="I103" s="86">
        <f t="shared" si="46"/>
        <v>7</v>
      </c>
      <c r="J103" s="86">
        <f t="shared" si="46"/>
        <v>8</v>
      </c>
      <c r="K103" s="86">
        <f t="shared" si="46"/>
        <v>9</v>
      </c>
      <c r="L103" s="86">
        <f t="shared" si="46"/>
        <v>10</v>
      </c>
      <c r="M103" s="86">
        <f t="shared" si="46"/>
        <v>11</v>
      </c>
      <c r="N103" s="86">
        <f t="shared" si="46"/>
        <v>12</v>
      </c>
      <c r="O103" s="86">
        <f t="shared" si="46"/>
        <v>13</v>
      </c>
      <c r="P103" s="86">
        <f t="shared" si="46"/>
        <v>14</v>
      </c>
      <c r="Q103" s="86">
        <f t="shared" si="46"/>
        <v>15</v>
      </c>
      <c r="R103" s="86">
        <f t="shared" si="46"/>
        <v>16</v>
      </c>
      <c r="S103" s="86">
        <f t="shared" si="46"/>
        <v>17</v>
      </c>
      <c r="T103" s="86">
        <f t="shared" si="46"/>
        <v>18</v>
      </c>
      <c r="U103" s="86">
        <f t="shared" si="46"/>
        <v>19</v>
      </c>
      <c r="V103" s="86">
        <f t="shared" si="46"/>
        <v>20</v>
      </c>
      <c r="W103" s="86">
        <f t="shared" si="46"/>
        <v>21</v>
      </c>
      <c r="X103" s="86">
        <f t="shared" si="46"/>
        <v>22</v>
      </c>
      <c r="Y103" s="86">
        <f t="shared" si="46"/>
        <v>23</v>
      </c>
      <c r="Z103" s="86">
        <f t="shared" si="46"/>
        <v>24</v>
      </c>
      <c r="AA103" s="86">
        <f t="shared" si="46"/>
        <v>25</v>
      </c>
      <c r="AB103" s="86">
        <f t="shared" si="46"/>
        <v>26</v>
      </c>
      <c r="AC103" s="86">
        <f t="shared" si="46"/>
        <v>27</v>
      </c>
      <c r="AD103" s="86">
        <f t="shared" si="46"/>
        <v>28</v>
      </c>
      <c r="AE103" s="86">
        <f t="shared" si="46"/>
        <v>29</v>
      </c>
      <c r="AF103" s="86">
        <f t="shared" si="46"/>
        <v>30</v>
      </c>
      <c r="AG103" s="86">
        <f t="shared" si="46"/>
        <v>31</v>
      </c>
      <c r="AH103" s="86">
        <f t="shared" si="46"/>
        <v>32</v>
      </c>
    </row>
    <row r="104" spans="1:34" ht="13.5" thickBot="1">
      <c r="A104" s="104" t="s">
        <v>389</v>
      </c>
      <c r="B104" s="105">
        <f t="shared" ref="B104:AH104" si="47">SUM(B105:B106)</f>
        <v>0</v>
      </c>
      <c r="C104" s="105">
        <f>SUM(C105:C106)</f>
        <v>-4808.9482549002023</v>
      </c>
      <c r="D104" s="105">
        <f t="shared" si="47"/>
        <v>-14636.902685901854</v>
      </c>
      <c r="E104" s="105">
        <f t="shared" si="47"/>
        <v>-22147.326330906362</v>
      </c>
      <c r="F104" s="105">
        <f t="shared" si="47"/>
        <v>-107329.92250361126</v>
      </c>
      <c r="G104" s="105">
        <f t="shared" si="47"/>
        <v>-226808.24704911638</v>
      </c>
      <c r="H104" s="105">
        <f t="shared" si="47"/>
        <v>0</v>
      </c>
      <c r="I104" s="105">
        <f t="shared" si="47"/>
        <v>0</v>
      </c>
      <c r="J104" s="105">
        <f t="shared" si="47"/>
        <v>0</v>
      </c>
      <c r="K104" s="105">
        <f t="shared" si="47"/>
        <v>0</v>
      </c>
      <c r="L104" s="105">
        <f t="shared" si="47"/>
        <v>0</v>
      </c>
      <c r="M104" s="105">
        <f t="shared" si="47"/>
        <v>-8248</v>
      </c>
      <c r="N104" s="105">
        <f t="shared" si="47"/>
        <v>-8248</v>
      </c>
      <c r="O104" s="105">
        <f t="shared" si="47"/>
        <v>0</v>
      </c>
      <c r="P104" s="105">
        <f t="shared" si="47"/>
        <v>0</v>
      </c>
      <c r="Q104" s="105">
        <f t="shared" si="47"/>
        <v>0</v>
      </c>
      <c r="R104" s="105">
        <f t="shared" si="47"/>
        <v>0</v>
      </c>
      <c r="S104" s="105">
        <f t="shared" si="47"/>
        <v>0</v>
      </c>
      <c r="T104" s="105">
        <f t="shared" si="47"/>
        <v>0</v>
      </c>
      <c r="U104" s="105">
        <f t="shared" si="47"/>
        <v>0</v>
      </c>
      <c r="V104" s="105">
        <f t="shared" si="47"/>
        <v>0</v>
      </c>
      <c r="W104" s="105">
        <f t="shared" si="47"/>
        <v>-8248</v>
      </c>
      <c r="X104" s="105">
        <f t="shared" si="47"/>
        <v>-8248</v>
      </c>
      <c r="Y104" s="105">
        <f t="shared" si="47"/>
        <v>0</v>
      </c>
      <c r="Z104" s="105">
        <f t="shared" si="47"/>
        <v>0</v>
      </c>
      <c r="AA104" s="105">
        <f t="shared" si="47"/>
        <v>0</v>
      </c>
      <c r="AB104" s="105">
        <f t="shared" si="47"/>
        <v>0</v>
      </c>
      <c r="AC104" s="105">
        <f t="shared" si="47"/>
        <v>0</v>
      </c>
      <c r="AD104" s="105">
        <f t="shared" si="47"/>
        <v>0</v>
      </c>
      <c r="AE104" s="105">
        <f t="shared" si="47"/>
        <v>0</v>
      </c>
      <c r="AF104" s="105">
        <f t="shared" si="47"/>
        <v>-211833.0348957</v>
      </c>
      <c r="AG104" s="105">
        <f t="shared" si="47"/>
        <v>-8248</v>
      </c>
      <c r="AH104" s="105">
        <f t="shared" si="47"/>
        <v>-8248</v>
      </c>
    </row>
    <row r="105" spans="1:34" ht="12.75">
      <c r="A105" s="87" t="s">
        <v>390</v>
      </c>
      <c r="B105" s="103">
        <f>-(C$15*$C12+C$16*$D12+C$17*$E12+C$18*$F12+C$19*$G12+C$20*$H12+C$21*$I12+C$22*$J12)</f>
        <v>0</v>
      </c>
      <c r="C105" s="103">
        <f>'ERR Summary'!D4</f>
        <v>-4808.9482549002023</v>
      </c>
      <c r="D105" s="103">
        <f>'ERR Summary'!E4</f>
        <v>-14636.902685901854</v>
      </c>
      <c r="E105" s="103">
        <f>'ERR Summary'!F4</f>
        <v>-22147.326330906362</v>
      </c>
      <c r="F105" s="103">
        <f>'ERR Summary'!G4</f>
        <v>-107329.92250361126</v>
      </c>
      <c r="G105" s="103">
        <f>'ERR Summary'!H4</f>
        <v>-226808.24704911638</v>
      </c>
      <c r="H105" s="103">
        <v>0</v>
      </c>
      <c r="I105" s="103">
        <v>0</v>
      </c>
      <c r="J105" s="103">
        <v>0</v>
      </c>
      <c r="K105" s="103">
        <v>0</v>
      </c>
      <c r="L105" s="103">
        <v>0</v>
      </c>
      <c r="M105" s="103">
        <v>0</v>
      </c>
      <c r="N105" s="103">
        <v>0</v>
      </c>
      <c r="O105" s="103">
        <v>0</v>
      </c>
      <c r="P105" s="103">
        <v>0</v>
      </c>
      <c r="Q105" s="103">
        <v>0</v>
      </c>
      <c r="R105" s="103">
        <v>0</v>
      </c>
      <c r="S105" s="103">
        <v>0</v>
      </c>
      <c r="T105" s="103">
        <v>0</v>
      </c>
      <c r="U105" s="103">
        <v>0</v>
      </c>
      <c r="V105" s="103">
        <v>0</v>
      </c>
      <c r="W105" s="103"/>
      <c r="X105" s="103"/>
      <c r="Y105" s="103"/>
      <c r="Z105" s="103"/>
      <c r="AA105" s="103"/>
      <c r="AB105" s="103"/>
      <c r="AC105" s="103"/>
      <c r="AD105" s="103"/>
      <c r="AE105" s="103"/>
      <c r="AF105" s="103"/>
      <c r="AG105" s="103"/>
      <c r="AH105" s="103"/>
    </row>
    <row r="106" spans="1:34" ht="12.75">
      <c r="A106" s="87" t="s">
        <v>391</v>
      </c>
      <c r="B106" s="103"/>
      <c r="C106" s="103"/>
      <c r="D106" s="103"/>
      <c r="E106" s="103"/>
      <c r="F106" s="103"/>
      <c r="G106" s="103"/>
      <c r="H106" s="103"/>
      <c r="I106" s="103"/>
      <c r="J106" s="103"/>
      <c r="K106" s="103"/>
      <c r="L106" s="103">
        <f>-(C11+D11)*'Hypotheses - Assumptions'!$I90</f>
        <v>0</v>
      </c>
      <c r="M106" s="103">
        <f>-(E11+F11+G11)*'Hypotheses - Assumptions'!$I90</f>
        <v>-8248</v>
      </c>
      <c r="N106" s="103">
        <f>M106</f>
        <v>-8248</v>
      </c>
      <c r="O106" s="103"/>
      <c r="P106" s="103"/>
      <c r="Q106" s="103"/>
      <c r="R106" s="103"/>
      <c r="S106" s="103"/>
      <c r="T106" s="103"/>
      <c r="U106" s="103"/>
      <c r="V106" s="103">
        <f>L106</f>
        <v>0</v>
      </c>
      <c r="W106" s="103">
        <f>M106</f>
        <v>-8248</v>
      </c>
      <c r="X106" s="103">
        <f>N106</f>
        <v>-8248</v>
      </c>
      <c r="Y106" s="103"/>
      <c r="Z106" s="103"/>
      <c r="AA106" s="103"/>
      <c r="AB106" s="103"/>
      <c r="AC106" s="103"/>
      <c r="AD106" s="103"/>
      <c r="AE106" s="103"/>
      <c r="AF106" s="103">
        <f>(V106-K10)*'Hypotheses - Assumptions'!$I90</f>
        <v>-211833.0348957</v>
      </c>
      <c r="AG106" s="103">
        <f>W106</f>
        <v>-8248</v>
      </c>
      <c r="AH106" s="103">
        <f>X106</f>
        <v>-8248</v>
      </c>
    </row>
    <row r="107" spans="1:34" ht="13.5" thickBot="1">
      <c r="A107" s="104" t="s">
        <v>392</v>
      </c>
      <c r="B107" s="105">
        <f t="shared" ref="B107:AG107" si="48">SUM(B108:B109)</f>
        <v>0</v>
      </c>
      <c r="C107" s="105">
        <f t="shared" si="48"/>
        <v>0</v>
      </c>
      <c r="D107" s="105">
        <f t="shared" si="48"/>
        <v>-1137.9223803905361</v>
      </c>
      <c r="E107" s="105">
        <f t="shared" si="48"/>
        <v>-268.30606923324922</v>
      </c>
      <c r="F107" s="105">
        <f t="shared" si="48"/>
        <v>-268.30606923324922</v>
      </c>
      <c r="G107" s="105">
        <f t="shared" si="48"/>
        <v>-268.30606923324922</v>
      </c>
      <c r="H107" s="105">
        <f t="shared" si="48"/>
        <v>-268.30606923324922</v>
      </c>
      <c r="I107" s="105">
        <f t="shared" si="48"/>
        <v>-268.30606923324922</v>
      </c>
      <c r="J107" s="105">
        <f t="shared" si="48"/>
        <v>-268.30606923324922</v>
      </c>
      <c r="K107" s="105">
        <f t="shared" si="48"/>
        <v>-268.30606923324922</v>
      </c>
      <c r="L107" s="105">
        <f t="shared" si="48"/>
        <v>-268.30606923324922</v>
      </c>
      <c r="M107" s="105">
        <f t="shared" si="48"/>
        <v>-268.30606923324922</v>
      </c>
      <c r="N107" s="105">
        <f t="shared" si="48"/>
        <v>-268.30606923324922</v>
      </c>
      <c r="O107" s="105">
        <f t="shared" si="48"/>
        <v>-268.30606923324922</v>
      </c>
      <c r="P107" s="105">
        <f t="shared" si="48"/>
        <v>-268.30606923324922</v>
      </c>
      <c r="Q107" s="105">
        <f t="shared" si="48"/>
        <v>-268.30606923324922</v>
      </c>
      <c r="R107" s="105">
        <f t="shared" si="48"/>
        <v>-268.30606923324922</v>
      </c>
      <c r="S107" s="105">
        <f t="shared" si="48"/>
        <v>-268.30606923324922</v>
      </c>
      <c r="T107" s="105">
        <f t="shared" si="48"/>
        <v>-268.30606923324922</v>
      </c>
      <c r="U107" s="105">
        <f t="shared" si="48"/>
        <v>-268.30606923324922</v>
      </c>
      <c r="V107" s="105">
        <f t="shared" si="48"/>
        <v>-268.30606923324922</v>
      </c>
      <c r="W107" s="105">
        <f t="shared" si="48"/>
        <v>-268.30606923324922</v>
      </c>
      <c r="X107" s="105">
        <f t="shared" si="48"/>
        <v>-268.30606923324922</v>
      </c>
      <c r="Y107" s="105">
        <f t="shared" si="48"/>
        <v>-268.30606923324922</v>
      </c>
      <c r="Z107" s="105">
        <f t="shared" si="48"/>
        <v>-268.30606923324922</v>
      </c>
      <c r="AA107" s="105">
        <f t="shared" si="48"/>
        <v>-268.30606923324922</v>
      </c>
      <c r="AB107" s="105">
        <f t="shared" si="48"/>
        <v>-268.30606923324922</v>
      </c>
      <c r="AC107" s="105">
        <f t="shared" si="48"/>
        <v>-268.30606923324922</v>
      </c>
      <c r="AD107" s="105">
        <f t="shared" si="48"/>
        <v>-268.30606923324922</v>
      </c>
      <c r="AE107" s="105">
        <f t="shared" si="48"/>
        <v>-268.30606923324922</v>
      </c>
      <c r="AF107" s="105">
        <f t="shared" si="48"/>
        <v>-268.30606923324922</v>
      </c>
      <c r="AG107" s="105">
        <f t="shared" si="48"/>
        <v>-268.30606923324922</v>
      </c>
      <c r="AH107" s="105">
        <f>SUM(AH108:AH109)+AH125</f>
        <v>6652.3192792975296</v>
      </c>
    </row>
    <row r="108" spans="1:34" ht="12.75">
      <c r="A108" s="87" t="s">
        <v>393</v>
      </c>
      <c r="B108" s="103"/>
      <c r="C108" s="103">
        <f t="shared" ref="C108:AH108" si="49">C91</f>
        <v>0</v>
      </c>
      <c r="D108" s="103">
        <f t="shared" si="49"/>
        <v>2957.4721989094633</v>
      </c>
      <c r="E108" s="103">
        <f t="shared" si="49"/>
        <v>8536.5694529311077</v>
      </c>
      <c r="F108" s="103">
        <f t="shared" si="49"/>
        <v>8536.5694529311077</v>
      </c>
      <c r="G108" s="103">
        <f t="shared" si="49"/>
        <v>8536.5694529311077</v>
      </c>
      <c r="H108" s="103">
        <f t="shared" si="49"/>
        <v>8536.5694529311077</v>
      </c>
      <c r="I108" s="103">
        <f t="shared" si="49"/>
        <v>8536.5694529311077</v>
      </c>
      <c r="J108" s="103">
        <f t="shared" si="49"/>
        <v>8536.5694529311077</v>
      </c>
      <c r="K108" s="103">
        <f t="shared" si="49"/>
        <v>8536.5694529311077</v>
      </c>
      <c r="L108" s="103">
        <f t="shared" si="49"/>
        <v>8536.5694529311077</v>
      </c>
      <c r="M108" s="103">
        <f t="shared" si="49"/>
        <v>8536.5694529311077</v>
      </c>
      <c r="N108" s="103">
        <f t="shared" si="49"/>
        <v>8536.5694529311077</v>
      </c>
      <c r="O108" s="103">
        <f t="shared" si="49"/>
        <v>8536.5694529311077</v>
      </c>
      <c r="P108" s="103">
        <f t="shared" si="49"/>
        <v>8536.5694529311077</v>
      </c>
      <c r="Q108" s="103">
        <f t="shared" si="49"/>
        <v>8536.5694529311077</v>
      </c>
      <c r="R108" s="103">
        <f t="shared" si="49"/>
        <v>8536.5694529311077</v>
      </c>
      <c r="S108" s="103">
        <f t="shared" si="49"/>
        <v>8536.5694529311077</v>
      </c>
      <c r="T108" s="103">
        <f t="shared" si="49"/>
        <v>8536.5694529311077</v>
      </c>
      <c r="U108" s="103">
        <f t="shared" si="49"/>
        <v>8536.5694529311077</v>
      </c>
      <c r="V108" s="103">
        <f t="shared" si="49"/>
        <v>8536.5694529311077</v>
      </c>
      <c r="W108" s="103">
        <f t="shared" si="49"/>
        <v>8536.5694529311077</v>
      </c>
      <c r="X108" s="103">
        <f t="shared" si="49"/>
        <v>8536.5694529311077</v>
      </c>
      <c r="Y108" s="103">
        <f t="shared" si="49"/>
        <v>8536.5694529311077</v>
      </c>
      <c r="Z108" s="103">
        <f t="shared" si="49"/>
        <v>8536.5694529311077</v>
      </c>
      <c r="AA108" s="103">
        <f t="shared" si="49"/>
        <v>8536.5694529311077</v>
      </c>
      <c r="AB108" s="103">
        <f t="shared" si="49"/>
        <v>8536.5694529311077</v>
      </c>
      <c r="AC108" s="103">
        <f t="shared" si="49"/>
        <v>8536.5694529311077</v>
      </c>
      <c r="AD108" s="103">
        <f t="shared" si="49"/>
        <v>8536.5694529311077</v>
      </c>
      <c r="AE108" s="103">
        <f t="shared" si="49"/>
        <v>8536.5694529311077</v>
      </c>
      <c r="AF108" s="103">
        <f t="shared" si="49"/>
        <v>8536.5694529311077</v>
      </c>
      <c r="AG108" s="103">
        <f t="shared" si="49"/>
        <v>8536.5694529311077</v>
      </c>
      <c r="AH108" s="103">
        <f t="shared" si="49"/>
        <v>8536.5694529311077</v>
      </c>
    </row>
    <row r="109" spans="1:34" ht="12.75">
      <c r="A109" s="87" t="s">
        <v>394</v>
      </c>
      <c r="B109" s="103"/>
      <c r="C109" s="103">
        <f t="shared" ref="C109:AH109" si="50">-C86</f>
        <v>0</v>
      </c>
      <c r="D109" s="103">
        <f t="shared" si="50"/>
        <v>-4095.3945792999994</v>
      </c>
      <c r="E109" s="103">
        <f t="shared" si="50"/>
        <v>-8804.8755221643569</v>
      </c>
      <c r="F109" s="103">
        <f t="shared" si="50"/>
        <v>-8804.8755221643569</v>
      </c>
      <c r="G109" s="103">
        <f t="shared" si="50"/>
        <v>-8804.8755221643569</v>
      </c>
      <c r="H109" s="103">
        <f t="shared" si="50"/>
        <v>-8804.8755221643569</v>
      </c>
      <c r="I109" s="103">
        <f t="shared" si="50"/>
        <v>-8804.8755221643569</v>
      </c>
      <c r="J109" s="103">
        <f t="shared" si="50"/>
        <v>-8804.8755221643569</v>
      </c>
      <c r="K109" s="103">
        <f t="shared" si="50"/>
        <v>-8804.8755221643569</v>
      </c>
      <c r="L109" s="103">
        <f t="shared" si="50"/>
        <v>-8804.8755221643569</v>
      </c>
      <c r="M109" s="103">
        <f t="shared" si="50"/>
        <v>-8804.8755221643569</v>
      </c>
      <c r="N109" s="103">
        <f t="shared" si="50"/>
        <v>-8804.8755221643569</v>
      </c>
      <c r="O109" s="103">
        <f t="shared" si="50"/>
        <v>-8804.8755221643569</v>
      </c>
      <c r="P109" s="103">
        <f t="shared" si="50"/>
        <v>-8804.8755221643569</v>
      </c>
      <c r="Q109" s="103">
        <f t="shared" si="50"/>
        <v>-8804.8755221643569</v>
      </c>
      <c r="R109" s="103">
        <f t="shared" si="50"/>
        <v>-8804.8755221643569</v>
      </c>
      <c r="S109" s="103">
        <f t="shared" si="50"/>
        <v>-8804.8755221643569</v>
      </c>
      <c r="T109" s="103">
        <f t="shared" si="50"/>
        <v>-8804.8755221643569</v>
      </c>
      <c r="U109" s="103">
        <f t="shared" si="50"/>
        <v>-8804.8755221643569</v>
      </c>
      <c r="V109" s="103">
        <f t="shared" si="50"/>
        <v>-8804.8755221643569</v>
      </c>
      <c r="W109" s="103">
        <f t="shared" si="50"/>
        <v>-8804.8755221643569</v>
      </c>
      <c r="X109" s="103">
        <f t="shared" si="50"/>
        <v>-8804.8755221643569</v>
      </c>
      <c r="Y109" s="103">
        <f t="shared" si="50"/>
        <v>-8804.8755221643569</v>
      </c>
      <c r="Z109" s="103">
        <f t="shared" si="50"/>
        <v>-8804.8755221643569</v>
      </c>
      <c r="AA109" s="103">
        <f t="shared" si="50"/>
        <v>-8804.8755221643569</v>
      </c>
      <c r="AB109" s="103">
        <f t="shared" si="50"/>
        <v>-8804.8755221643569</v>
      </c>
      <c r="AC109" s="103">
        <f t="shared" si="50"/>
        <v>-8804.8755221643569</v>
      </c>
      <c r="AD109" s="103">
        <f t="shared" si="50"/>
        <v>-8804.8755221643569</v>
      </c>
      <c r="AE109" s="103">
        <f t="shared" si="50"/>
        <v>-8804.8755221643569</v>
      </c>
      <c r="AF109" s="103">
        <f t="shared" si="50"/>
        <v>-8804.8755221643569</v>
      </c>
      <c r="AG109" s="103">
        <f t="shared" si="50"/>
        <v>-8804.8755221643569</v>
      </c>
      <c r="AH109" s="103">
        <f t="shared" si="50"/>
        <v>-8804.8755221643569</v>
      </c>
    </row>
    <row r="110" spans="1:34" ht="13.5" thickBot="1">
      <c r="A110" s="104" t="s">
        <v>395</v>
      </c>
      <c r="B110" s="105">
        <f t="shared" ref="B110:AH110" si="51">B107+B104</f>
        <v>0</v>
      </c>
      <c r="C110" s="105">
        <f t="shared" si="51"/>
        <v>-4808.9482549002023</v>
      </c>
      <c r="D110" s="105">
        <f t="shared" si="51"/>
        <v>-15774.825066292389</v>
      </c>
      <c r="E110" s="105">
        <f t="shared" si="51"/>
        <v>-22415.632400139613</v>
      </c>
      <c r="F110" s="105">
        <f t="shared" si="51"/>
        <v>-107598.22857284451</v>
      </c>
      <c r="G110" s="105">
        <f t="shared" si="51"/>
        <v>-227076.55311834964</v>
      </c>
      <c r="H110" s="105">
        <f t="shared" si="51"/>
        <v>-268.30606923324922</v>
      </c>
      <c r="I110" s="105">
        <f t="shared" si="51"/>
        <v>-268.30606923324922</v>
      </c>
      <c r="J110" s="105">
        <f t="shared" si="51"/>
        <v>-268.30606923324922</v>
      </c>
      <c r="K110" s="105">
        <f t="shared" si="51"/>
        <v>-268.30606923324922</v>
      </c>
      <c r="L110" s="105">
        <f t="shared" si="51"/>
        <v>-268.30606923324922</v>
      </c>
      <c r="M110" s="105">
        <f t="shared" si="51"/>
        <v>-8516.3060692332492</v>
      </c>
      <c r="N110" s="105">
        <f t="shared" si="51"/>
        <v>-8516.3060692332492</v>
      </c>
      <c r="O110" s="105">
        <f t="shared" si="51"/>
        <v>-268.30606923324922</v>
      </c>
      <c r="P110" s="105">
        <f t="shared" si="51"/>
        <v>-268.30606923324922</v>
      </c>
      <c r="Q110" s="105">
        <f t="shared" si="51"/>
        <v>-268.30606923324922</v>
      </c>
      <c r="R110" s="105">
        <f t="shared" si="51"/>
        <v>-268.30606923324922</v>
      </c>
      <c r="S110" s="105">
        <f t="shared" si="51"/>
        <v>-268.30606923324922</v>
      </c>
      <c r="T110" s="105">
        <f t="shared" si="51"/>
        <v>-268.30606923324922</v>
      </c>
      <c r="U110" s="105">
        <f t="shared" si="51"/>
        <v>-268.30606923324922</v>
      </c>
      <c r="V110" s="105">
        <f t="shared" si="51"/>
        <v>-268.30606923324922</v>
      </c>
      <c r="W110" s="105">
        <f t="shared" si="51"/>
        <v>-8516.3060692332492</v>
      </c>
      <c r="X110" s="105">
        <f t="shared" si="51"/>
        <v>-8516.3060692332492</v>
      </c>
      <c r="Y110" s="105">
        <f t="shared" si="51"/>
        <v>-268.30606923324922</v>
      </c>
      <c r="Z110" s="105">
        <f t="shared" si="51"/>
        <v>-268.30606923324922</v>
      </c>
      <c r="AA110" s="105">
        <f t="shared" si="51"/>
        <v>-268.30606923324922</v>
      </c>
      <c r="AB110" s="105">
        <f t="shared" si="51"/>
        <v>-268.30606923324922</v>
      </c>
      <c r="AC110" s="105">
        <f t="shared" si="51"/>
        <v>-268.30606923324922</v>
      </c>
      <c r="AD110" s="105">
        <f t="shared" si="51"/>
        <v>-268.30606923324922</v>
      </c>
      <c r="AE110" s="105">
        <f t="shared" si="51"/>
        <v>-268.30606923324922</v>
      </c>
      <c r="AF110" s="105">
        <f t="shared" si="51"/>
        <v>-212101.34096493325</v>
      </c>
      <c r="AG110" s="105">
        <f t="shared" si="51"/>
        <v>-8516.3060692332492</v>
      </c>
      <c r="AH110" s="105">
        <f t="shared" si="51"/>
        <v>-1595.6807207024704</v>
      </c>
    </row>
    <row r="111" spans="1:34" ht="12.75">
      <c r="A111" s="87" t="s">
        <v>156</v>
      </c>
      <c r="B111" s="103"/>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row>
    <row r="112" spans="1:34" ht="13.5" thickBot="1">
      <c r="A112" s="104" t="s">
        <v>396</v>
      </c>
      <c r="B112" s="105">
        <f t="shared" ref="B112:AH112" si="52">B113+B114</f>
        <v>0</v>
      </c>
      <c r="C112" s="105">
        <f t="shared" si="52"/>
        <v>4808.9482549002023</v>
      </c>
      <c r="D112" s="105">
        <f t="shared" si="52"/>
        <v>14636.902685901854</v>
      </c>
      <c r="E112" s="105">
        <f t="shared" si="52"/>
        <v>-22147.326330906362</v>
      </c>
      <c r="F112" s="105">
        <f t="shared" si="52"/>
        <v>0</v>
      </c>
      <c r="G112" s="105">
        <f t="shared" si="52"/>
        <v>0</v>
      </c>
      <c r="H112" s="105">
        <f t="shared" si="52"/>
        <v>0</v>
      </c>
      <c r="I112" s="105">
        <f t="shared" si="52"/>
        <v>0</v>
      </c>
      <c r="J112" s="105">
        <f t="shared" si="52"/>
        <v>0</v>
      </c>
      <c r="K112" s="105">
        <f t="shared" si="52"/>
        <v>0</v>
      </c>
      <c r="L112" s="105">
        <f t="shared" si="52"/>
        <v>0</v>
      </c>
      <c r="M112" s="105">
        <f t="shared" si="52"/>
        <v>8248</v>
      </c>
      <c r="N112" s="105">
        <f t="shared" si="52"/>
        <v>8248</v>
      </c>
      <c r="O112" s="105">
        <f t="shared" si="52"/>
        <v>0</v>
      </c>
      <c r="P112" s="105">
        <f t="shared" si="52"/>
        <v>0</v>
      </c>
      <c r="Q112" s="105">
        <f t="shared" si="52"/>
        <v>0</v>
      </c>
      <c r="R112" s="105">
        <f t="shared" si="52"/>
        <v>0</v>
      </c>
      <c r="S112" s="105">
        <f t="shared" si="52"/>
        <v>0</v>
      </c>
      <c r="T112" s="105">
        <f t="shared" si="52"/>
        <v>0</v>
      </c>
      <c r="U112" s="105">
        <f t="shared" si="52"/>
        <v>0</v>
      </c>
      <c r="V112" s="105">
        <f t="shared" si="52"/>
        <v>0</v>
      </c>
      <c r="W112" s="105">
        <f t="shared" si="52"/>
        <v>8248</v>
      </c>
      <c r="X112" s="105">
        <f t="shared" si="52"/>
        <v>8248</v>
      </c>
      <c r="Y112" s="105">
        <f t="shared" si="52"/>
        <v>0</v>
      </c>
      <c r="Z112" s="105">
        <f t="shared" si="52"/>
        <v>0</v>
      </c>
      <c r="AA112" s="105">
        <f t="shared" si="52"/>
        <v>0</v>
      </c>
      <c r="AB112" s="105">
        <f t="shared" si="52"/>
        <v>0</v>
      </c>
      <c r="AC112" s="105">
        <f t="shared" si="52"/>
        <v>0</v>
      </c>
      <c r="AD112" s="105">
        <f t="shared" si="52"/>
        <v>0</v>
      </c>
      <c r="AE112" s="105">
        <f t="shared" si="52"/>
        <v>0</v>
      </c>
      <c r="AF112" s="105">
        <f t="shared" si="52"/>
        <v>211833.0348957</v>
      </c>
      <c r="AG112" s="105">
        <f t="shared" si="52"/>
        <v>8248</v>
      </c>
      <c r="AH112" s="105">
        <f t="shared" si="52"/>
        <v>8248</v>
      </c>
    </row>
    <row r="113" spans="1:34" ht="12.75">
      <c r="A113" s="87" t="s">
        <v>394</v>
      </c>
      <c r="B113" s="103"/>
      <c r="C113" s="103"/>
      <c r="D113" s="103"/>
      <c r="E113" s="103">
        <f>E104</f>
        <v>-22147.326330906362</v>
      </c>
      <c r="F113" s="103">
        <f t="shared" ref="F113:AH113" si="53">-F106</f>
        <v>0</v>
      </c>
      <c r="G113" s="103">
        <f t="shared" si="53"/>
        <v>0</v>
      </c>
      <c r="H113" s="103">
        <f t="shared" si="53"/>
        <v>0</v>
      </c>
      <c r="I113" s="103">
        <f t="shared" si="53"/>
        <v>0</v>
      </c>
      <c r="J113" s="103">
        <f t="shared" si="53"/>
        <v>0</v>
      </c>
      <c r="K113" s="103">
        <f t="shared" si="53"/>
        <v>0</v>
      </c>
      <c r="L113" s="103">
        <f t="shared" si="53"/>
        <v>0</v>
      </c>
      <c r="M113" s="103">
        <f t="shared" si="53"/>
        <v>8248</v>
      </c>
      <c r="N113" s="103">
        <f t="shared" si="53"/>
        <v>8248</v>
      </c>
      <c r="O113" s="103">
        <f t="shared" si="53"/>
        <v>0</v>
      </c>
      <c r="P113" s="103">
        <f t="shared" si="53"/>
        <v>0</v>
      </c>
      <c r="Q113" s="103">
        <f t="shared" si="53"/>
        <v>0</v>
      </c>
      <c r="R113" s="103">
        <f t="shared" si="53"/>
        <v>0</v>
      </c>
      <c r="S113" s="103">
        <f t="shared" si="53"/>
        <v>0</v>
      </c>
      <c r="T113" s="103">
        <f t="shared" si="53"/>
        <v>0</v>
      </c>
      <c r="U113" s="103">
        <f t="shared" si="53"/>
        <v>0</v>
      </c>
      <c r="V113" s="103">
        <f t="shared" si="53"/>
        <v>0</v>
      </c>
      <c r="W113" s="103">
        <f t="shared" si="53"/>
        <v>8248</v>
      </c>
      <c r="X113" s="103">
        <f t="shared" si="53"/>
        <v>8248</v>
      </c>
      <c r="Y113" s="103">
        <f t="shared" si="53"/>
        <v>0</v>
      </c>
      <c r="Z113" s="103">
        <f t="shared" si="53"/>
        <v>0</v>
      </c>
      <c r="AA113" s="103">
        <f t="shared" si="53"/>
        <v>0</v>
      </c>
      <c r="AB113" s="103">
        <f t="shared" si="53"/>
        <v>0</v>
      </c>
      <c r="AC113" s="103">
        <f t="shared" si="53"/>
        <v>0</v>
      </c>
      <c r="AD113" s="103">
        <f t="shared" si="53"/>
        <v>0</v>
      </c>
      <c r="AE113" s="103">
        <f t="shared" si="53"/>
        <v>0</v>
      </c>
      <c r="AF113" s="103">
        <f t="shared" si="53"/>
        <v>211833.0348957</v>
      </c>
      <c r="AG113" s="103">
        <f t="shared" si="53"/>
        <v>8248</v>
      </c>
      <c r="AH113" s="103">
        <f t="shared" si="53"/>
        <v>8248</v>
      </c>
    </row>
    <row r="114" spans="1:34" ht="12.75">
      <c r="A114" s="87" t="s">
        <v>397</v>
      </c>
      <c r="B114" s="103">
        <f>-B104</f>
        <v>0</v>
      </c>
      <c r="C114" s="103">
        <f>-C104</f>
        <v>4808.9482549002023</v>
      </c>
      <c r="D114" s="103">
        <f>-D104</f>
        <v>14636.902685901854</v>
      </c>
      <c r="E114" s="103">
        <v>0</v>
      </c>
      <c r="F114" s="103">
        <v>0</v>
      </c>
      <c r="G114" s="103">
        <v>0</v>
      </c>
      <c r="H114" s="103">
        <v>0</v>
      </c>
      <c r="I114" s="103">
        <v>0</v>
      </c>
      <c r="J114" s="103">
        <v>0</v>
      </c>
      <c r="K114" s="103">
        <v>0</v>
      </c>
      <c r="L114" s="103">
        <v>0</v>
      </c>
      <c r="M114" s="103">
        <v>0</v>
      </c>
      <c r="N114" s="103">
        <v>0</v>
      </c>
      <c r="O114" s="103">
        <v>0</v>
      </c>
      <c r="P114" s="103">
        <v>0</v>
      </c>
      <c r="Q114" s="103">
        <v>0</v>
      </c>
      <c r="R114" s="103">
        <v>0</v>
      </c>
      <c r="S114" s="103">
        <v>0</v>
      </c>
      <c r="T114" s="103">
        <v>0</v>
      </c>
      <c r="U114" s="103">
        <v>0</v>
      </c>
      <c r="V114" s="103">
        <v>0</v>
      </c>
      <c r="W114" s="103">
        <v>0</v>
      </c>
      <c r="X114" s="103">
        <v>0</v>
      </c>
      <c r="Y114" s="103">
        <v>0</v>
      </c>
      <c r="Z114" s="103">
        <v>0</v>
      </c>
      <c r="AA114" s="103">
        <v>0</v>
      </c>
      <c r="AB114" s="103">
        <v>0</v>
      </c>
      <c r="AC114" s="103">
        <v>0</v>
      </c>
      <c r="AD114" s="103">
        <v>0</v>
      </c>
      <c r="AE114" s="103">
        <v>0</v>
      </c>
      <c r="AF114" s="103">
        <v>0</v>
      </c>
      <c r="AG114" s="103">
        <v>0</v>
      </c>
      <c r="AH114" s="103">
        <v>0</v>
      </c>
    </row>
    <row r="115" spans="1:34" ht="13.5" thickBot="1">
      <c r="A115" s="104" t="s">
        <v>398</v>
      </c>
      <c r="B115" s="105">
        <f t="shared" ref="B115:AH115" si="54">B110+B112</f>
        <v>0</v>
      </c>
      <c r="C115" s="105">
        <f t="shared" si="54"/>
        <v>0</v>
      </c>
      <c r="D115" s="105">
        <f>D110+D112</f>
        <v>-1137.9223803905352</v>
      </c>
      <c r="E115" s="105">
        <f t="shared" si="54"/>
        <v>-44562.958731045976</v>
      </c>
      <c r="F115" s="105">
        <f t="shared" si="54"/>
        <v>-107598.22857284451</v>
      </c>
      <c r="G115" s="105">
        <f t="shared" si="54"/>
        <v>-227076.55311834964</v>
      </c>
      <c r="H115" s="105">
        <f t="shared" si="54"/>
        <v>-268.30606923324922</v>
      </c>
      <c r="I115" s="105">
        <f t="shared" si="54"/>
        <v>-268.30606923324922</v>
      </c>
      <c r="J115" s="105">
        <f t="shared" si="54"/>
        <v>-268.30606923324922</v>
      </c>
      <c r="K115" s="105">
        <f t="shared" si="54"/>
        <v>-268.30606923324922</v>
      </c>
      <c r="L115" s="105">
        <f t="shared" si="54"/>
        <v>-268.30606923324922</v>
      </c>
      <c r="M115" s="105">
        <f t="shared" si="54"/>
        <v>-268.30606923324922</v>
      </c>
      <c r="N115" s="105">
        <f t="shared" si="54"/>
        <v>-268.30606923324922</v>
      </c>
      <c r="O115" s="105">
        <f t="shared" si="54"/>
        <v>-268.30606923324922</v>
      </c>
      <c r="P115" s="105">
        <f t="shared" si="54"/>
        <v>-268.30606923324922</v>
      </c>
      <c r="Q115" s="105">
        <f t="shared" si="54"/>
        <v>-268.30606923324922</v>
      </c>
      <c r="R115" s="105">
        <f t="shared" si="54"/>
        <v>-268.30606923324922</v>
      </c>
      <c r="S115" s="105">
        <f t="shared" si="54"/>
        <v>-268.30606923324922</v>
      </c>
      <c r="T115" s="105">
        <f t="shared" si="54"/>
        <v>-268.30606923324922</v>
      </c>
      <c r="U115" s="105">
        <f t="shared" si="54"/>
        <v>-268.30606923324922</v>
      </c>
      <c r="V115" s="105">
        <f t="shared" si="54"/>
        <v>-268.30606923324922</v>
      </c>
      <c r="W115" s="105">
        <f t="shared" si="54"/>
        <v>-268.30606923324922</v>
      </c>
      <c r="X115" s="105">
        <f t="shared" si="54"/>
        <v>-268.30606923324922</v>
      </c>
      <c r="Y115" s="105">
        <f t="shared" si="54"/>
        <v>-268.30606923324922</v>
      </c>
      <c r="Z115" s="105">
        <f t="shared" si="54"/>
        <v>-268.30606923324922</v>
      </c>
      <c r="AA115" s="105">
        <f t="shared" si="54"/>
        <v>-268.30606923324922</v>
      </c>
      <c r="AB115" s="105">
        <f t="shared" si="54"/>
        <v>-268.30606923324922</v>
      </c>
      <c r="AC115" s="105">
        <f t="shared" si="54"/>
        <v>-268.30606923324922</v>
      </c>
      <c r="AD115" s="105">
        <f t="shared" si="54"/>
        <v>-268.30606923324922</v>
      </c>
      <c r="AE115" s="105">
        <f t="shared" si="54"/>
        <v>-268.30606923324922</v>
      </c>
      <c r="AF115" s="105">
        <f t="shared" si="54"/>
        <v>-268.30606923325104</v>
      </c>
      <c r="AG115" s="105">
        <f t="shared" si="54"/>
        <v>-268.30606923324922</v>
      </c>
      <c r="AH115" s="105">
        <f t="shared" si="54"/>
        <v>6652.3192792975296</v>
      </c>
    </row>
    <row r="116" spans="1:34" ht="13.5" thickBot="1">
      <c r="A116" s="104" t="s">
        <v>399</v>
      </c>
      <c r="B116" s="105">
        <v>0</v>
      </c>
      <c r="C116" s="105">
        <f t="shared" ref="C116:AH116" si="55">+B117</f>
        <v>0</v>
      </c>
      <c r="D116" s="105">
        <f t="shared" si="55"/>
        <v>0</v>
      </c>
      <c r="E116" s="105">
        <f t="shared" si="55"/>
        <v>-1137.9223803905352</v>
      </c>
      <c r="F116" s="105">
        <f t="shared" si="55"/>
        <v>-45700.881111436509</v>
      </c>
      <c r="G116" s="105">
        <f t="shared" si="55"/>
        <v>-153299.10968428102</v>
      </c>
      <c r="H116" s="105">
        <f t="shared" si="55"/>
        <v>-380375.66280263069</v>
      </c>
      <c r="I116" s="105">
        <f t="shared" si="55"/>
        <v>-380643.96887186391</v>
      </c>
      <c r="J116" s="105">
        <f t="shared" si="55"/>
        <v>-380912.27494109713</v>
      </c>
      <c r="K116" s="105">
        <f t="shared" si="55"/>
        <v>-381180.58101033035</v>
      </c>
      <c r="L116" s="105">
        <f t="shared" si="55"/>
        <v>-381448.88707956357</v>
      </c>
      <c r="M116" s="105">
        <f t="shared" si="55"/>
        <v>-381717.1931487968</v>
      </c>
      <c r="N116" s="105">
        <f t="shared" si="55"/>
        <v>-381985.49921803002</v>
      </c>
      <c r="O116" s="105">
        <f t="shared" si="55"/>
        <v>-382253.80528726324</v>
      </c>
      <c r="P116" s="105">
        <f t="shared" si="55"/>
        <v>-382522.11135649646</v>
      </c>
      <c r="Q116" s="105">
        <f t="shared" si="55"/>
        <v>-382790.41742572968</v>
      </c>
      <c r="R116" s="105">
        <f t="shared" si="55"/>
        <v>-383058.72349496291</v>
      </c>
      <c r="S116" s="105">
        <f t="shared" si="55"/>
        <v>-383327.02956419613</v>
      </c>
      <c r="T116" s="105">
        <f t="shared" si="55"/>
        <v>-383595.33563342935</v>
      </c>
      <c r="U116" s="105">
        <f t="shared" si="55"/>
        <v>-383863.64170266257</v>
      </c>
      <c r="V116" s="105">
        <f t="shared" si="55"/>
        <v>-384131.94777189579</v>
      </c>
      <c r="W116" s="105">
        <f t="shared" si="55"/>
        <v>-384400.25384112902</v>
      </c>
      <c r="X116" s="105">
        <f t="shared" si="55"/>
        <v>-384668.55991036224</v>
      </c>
      <c r="Y116" s="105">
        <f t="shared" si="55"/>
        <v>-384936.86597959546</v>
      </c>
      <c r="Z116" s="105">
        <f t="shared" si="55"/>
        <v>-385205.17204882868</v>
      </c>
      <c r="AA116" s="105">
        <f t="shared" si="55"/>
        <v>-385473.4781180619</v>
      </c>
      <c r="AB116" s="105">
        <f t="shared" si="55"/>
        <v>-385741.78418729512</v>
      </c>
      <c r="AC116" s="105">
        <f t="shared" si="55"/>
        <v>-386010.09025652835</v>
      </c>
      <c r="AD116" s="105">
        <f t="shared" si="55"/>
        <v>-386278.39632576157</v>
      </c>
      <c r="AE116" s="105">
        <f t="shared" si="55"/>
        <v>-386546.70239499479</v>
      </c>
      <c r="AF116" s="105">
        <f t="shared" si="55"/>
        <v>-386815.00846422801</v>
      </c>
      <c r="AG116" s="105">
        <f t="shared" si="55"/>
        <v>-387083.31453346123</v>
      </c>
      <c r="AH116" s="105">
        <f t="shared" si="55"/>
        <v>-387351.62060269446</v>
      </c>
    </row>
    <row r="117" spans="1:34" ht="13.5" thickBot="1">
      <c r="A117" s="104" t="s">
        <v>400</v>
      </c>
      <c r="B117" s="105">
        <f t="shared" ref="B117:AH117" si="56">+B116+B115</f>
        <v>0</v>
      </c>
      <c r="C117" s="105">
        <f t="shared" si="56"/>
        <v>0</v>
      </c>
      <c r="D117" s="105">
        <f t="shared" si="56"/>
        <v>-1137.9223803905352</v>
      </c>
      <c r="E117" s="105">
        <f t="shared" si="56"/>
        <v>-45700.881111436509</v>
      </c>
      <c r="F117" s="105">
        <f t="shared" si="56"/>
        <v>-153299.10968428102</v>
      </c>
      <c r="G117" s="105">
        <f t="shared" si="56"/>
        <v>-380375.66280263069</v>
      </c>
      <c r="H117" s="105">
        <f t="shared" si="56"/>
        <v>-380643.96887186391</v>
      </c>
      <c r="I117" s="105">
        <f t="shared" si="56"/>
        <v>-380912.27494109713</v>
      </c>
      <c r="J117" s="105">
        <f t="shared" si="56"/>
        <v>-381180.58101033035</v>
      </c>
      <c r="K117" s="105">
        <f t="shared" si="56"/>
        <v>-381448.88707956357</v>
      </c>
      <c r="L117" s="105">
        <f t="shared" si="56"/>
        <v>-381717.1931487968</v>
      </c>
      <c r="M117" s="105">
        <f t="shared" si="56"/>
        <v>-381985.49921803002</v>
      </c>
      <c r="N117" s="105">
        <f t="shared" si="56"/>
        <v>-382253.80528726324</v>
      </c>
      <c r="O117" s="105">
        <f t="shared" si="56"/>
        <v>-382522.11135649646</v>
      </c>
      <c r="P117" s="105">
        <f t="shared" si="56"/>
        <v>-382790.41742572968</v>
      </c>
      <c r="Q117" s="105">
        <f t="shared" si="56"/>
        <v>-383058.72349496291</v>
      </c>
      <c r="R117" s="105">
        <f t="shared" si="56"/>
        <v>-383327.02956419613</v>
      </c>
      <c r="S117" s="105">
        <f t="shared" si="56"/>
        <v>-383595.33563342935</v>
      </c>
      <c r="T117" s="105">
        <f t="shared" si="56"/>
        <v>-383863.64170266257</v>
      </c>
      <c r="U117" s="105">
        <f t="shared" si="56"/>
        <v>-384131.94777189579</v>
      </c>
      <c r="V117" s="105">
        <f t="shared" si="56"/>
        <v>-384400.25384112902</v>
      </c>
      <c r="W117" s="105">
        <f t="shared" si="56"/>
        <v>-384668.55991036224</v>
      </c>
      <c r="X117" s="105">
        <f t="shared" si="56"/>
        <v>-384936.86597959546</v>
      </c>
      <c r="Y117" s="105">
        <f t="shared" si="56"/>
        <v>-385205.17204882868</v>
      </c>
      <c r="Z117" s="105">
        <f t="shared" si="56"/>
        <v>-385473.4781180619</v>
      </c>
      <c r="AA117" s="105">
        <f t="shared" si="56"/>
        <v>-385741.78418729512</v>
      </c>
      <c r="AB117" s="105">
        <f t="shared" si="56"/>
        <v>-386010.09025652835</v>
      </c>
      <c r="AC117" s="105">
        <f t="shared" si="56"/>
        <v>-386278.39632576157</v>
      </c>
      <c r="AD117" s="105">
        <f t="shared" si="56"/>
        <v>-386546.70239499479</v>
      </c>
      <c r="AE117" s="105">
        <f t="shared" si="56"/>
        <v>-386815.00846422801</v>
      </c>
      <c r="AF117" s="105">
        <f t="shared" si="56"/>
        <v>-387083.31453346123</v>
      </c>
      <c r="AG117" s="105">
        <f t="shared" si="56"/>
        <v>-387351.62060269446</v>
      </c>
      <c r="AH117" s="105">
        <f t="shared" si="56"/>
        <v>-380699.30132339691</v>
      </c>
    </row>
    <row r="118" spans="1:34">
      <c r="AG118" s="81"/>
    </row>
    <row r="119" spans="1:34" s="81" customFormat="1" ht="17.25" customHeight="1">
      <c r="A119" s="306" t="s">
        <v>401</v>
      </c>
      <c r="B119" s="82"/>
      <c r="C119" s="82"/>
      <c r="D119" s="82"/>
      <c r="E119" s="82"/>
      <c r="F119" s="82"/>
      <c r="G119" s="82"/>
      <c r="H119" s="82"/>
      <c r="I119" s="82"/>
      <c r="J119" s="82"/>
      <c r="K119" s="82"/>
      <c r="Q119" s="83" t="s">
        <v>156</v>
      </c>
      <c r="R119" s="83"/>
      <c r="S119" s="83"/>
      <c r="T119" s="83"/>
      <c r="U119" s="83"/>
      <c r="V119" s="83"/>
      <c r="W119" s="83"/>
      <c r="X119" s="83"/>
      <c r="Y119" s="83"/>
      <c r="Z119" s="83"/>
      <c r="AA119" s="83"/>
      <c r="AB119" s="83"/>
      <c r="AC119" s="83"/>
      <c r="AD119" s="83"/>
      <c r="AE119" s="83"/>
      <c r="AF119" s="83"/>
      <c r="AG119" s="83"/>
    </row>
    <row r="120" spans="1:34" ht="17.25" thickBot="1">
      <c r="AG120" s="81"/>
    </row>
    <row r="121" spans="1:34" ht="12.75">
      <c r="A121" s="86" t="s">
        <v>156</v>
      </c>
      <c r="B121" s="86">
        <v>0</v>
      </c>
      <c r="C121" s="86">
        <f t="shared" ref="C121:AH121" si="57">+B121+1</f>
        <v>1</v>
      </c>
      <c r="D121" s="86">
        <f t="shared" si="57"/>
        <v>2</v>
      </c>
      <c r="E121" s="86">
        <f t="shared" si="57"/>
        <v>3</v>
      </c>
      <c r="F121" s="86">
        <f t="shared" si="57"/>
        <v>4</v>
      </c>
      <c r="G121" s="86">
        <f t="shared" si="57"/>
        <v>5</v>
      </c>
      <c r="H121" s="86">
        <f t="shared" si="57"/>
        <v>6</v>
      </c>
      <c r="I121" s="86">
        <f t="shared" si="57"/>
        <v>7</v>
      </c>
      <c r="J121" s="86">
        <f t="shared" si="57"/>
        <v>8</v>
      </c>
      <c r="K121" s="86">
        <f t="shared" si="57"/>
        <v>9</v>
      </c>
      <c r="L121" s="86">
        <f t="shared" si="57"/>
        <v>10</v>
      </c>
      <c r="M121" s="86">
        <f t="shared" si="57"/>
        <v>11</v>
      </c>
      <c r="N121" s="86">
        <f t="shared" si="57"/>
        <v>12</v>
      </c>
      <c r="O121" s="86">
        <f t="shared" si="57"/>
        <v>13</v>
      </c>
      <c r="P121" s="86">
        <f t="shared" si="57"/>
        <v>14</v>
      </c>
      <c r="Q121" s="86">
        <f t="shared" si="57"/>
        <v>15</v>
      </c>
      <c r="R121" s="86">
        <f t="shared" si="57"/>
        <v>16</v>
      </c>
      <c r="S121" s="86">
        <f t="shared" si="57"/>
        <v>17</v>
      </c>
      <c r="T121" s="86">
        <f t="shared" si="57"/>
        <v>18</v>
      </c>
      <c r="U121" s="86">
        <f t="shared" si="57"/>
        <v>19</v>
      </c>
      <c r="V121" s="86">
        <f t="shared" si="57"/>
        <v>20</v>
      </c>
      <c r="W121" s="86">
        <f t="shared" si="57"/>
        <v>21</v>
      </c>
      <c r="X121" s="86">
        <f t="shared" si="57"/>
        <v>22</v>
      </c>
      <c r="Y121" s="86">
        <f t="shared" si="57"/>
        <v>23</v>
      </c>
      <c r="Z121" s="86">
        <f t="shared" si="57"/>
        <v>24</v>
      </c>
      <c r="AA121" s="86">
        <f t="shared" si="57"/>
        <v>25</v>
      </c>
      <c r="AB121" s="86">
        <f t="shared" si="57"/>
        <v>26</v>
      </c>
      <c r="AC121" s="86">
        <f t="shared" si="57"/>
        <v>27</v>
      </c>
      <c r="AD121" s="86">
        <f t="shared" si="57"/>
        <v>28</v>
      </c>
      <c r="AE121" s="86">
        <f t="shared" si="57"/>
        <v>29</v>
      </c>
      <c r="AF121" s="86">
        <f t="shared" si="57"/>
        <v>30</v>
      </c>
      <c r="AG121" s="86">
        <f t="shared" si="57"/>
        <v>31</v>
      </c>
      <c r="AH121" s="86">
        <f t="shared" si="57"/>
        <v>32</v>
      </c>
    </row>
    <row r="122" spans="1:34" ht="13.5" thickBot="1">
      <c r="A122" s="104" t="s">
        <v>402</v>
      </c>
      <c r="B122" s="105">
        <v>0</v>
      </c>
      <c r="C122" s="105">
        <f t="shared" ref="C122:AH122" si="58">+B125</f>
        <v>0</v>
      </c>
      <c r="D122" s="105">
        <f t="shared" si="58"/>
        <v>0</v>
      </c>
      <c r="E122" s="105">
        <f t="shared" si="58"/>
        <v>4095.3945792999994</v>
      </c>
      <c r="F122" s="105">
        <f t="shared" si="58"/>
        <v>12900.270101464357</v>
      </c>
      <c r="G122" s="105">
        <f t="shared" si="58"/>
        <v>21705.145623628712</v>
      </c>
      <c r="H122" s="105">
        <f t="shared" si="58"/>
        <v>30510.021145793071</v>
      </c>
      <c r="I122" s="105">
        <f t="shared" si="58"/>
        <v>39314.89666795743</v>
      </c>
      <c r="J122" s="105">
        <f t="shared" si="58"/>
        <v>48119.772190121788</v>
      </c>
      <c r="K122" s="105">
        <f t="shared" si="58"/>
        <v>56924.647712286147</v>
      </c>
      <c r="L122" s="105">
        <f t="shared" si="58"/>
        <v>65729.523234450506</v>
      </c>
      <c r="M122" s="105">
        <f t="shared" si="58"/>
        <v>74534.398756614857</v>
      </c>
      <c r="N122" s="105">
        <f t="shared" si="58"/>
        <v>75091.274278779209</v>
      </c>
      <c r="O122" s="105">
        <f t="shared" si="58"/>
        <v>75648.14980094356</v>
      </c>
      <c r="P122" s="105">
        <f t="shared" si="58"/>
        <v>84453.025323107911</v>
      </c>
      <c r="Q122" s="105">
        <f t="shared" si="58"/>
        <v>93257.900845272263</v>
      </c>
      <c r="R122" s="105">
        <f t="shared" si="58"/>
        <v>102062.77636743661</v>
      </c>
      <c r="S122" s="105">
        <f t="shared" si="58"/>
        <v>110867.65188960097</v>
      </c>
      <c r="T122" s="105">
        <f t="shared" si="58"/>
        <v>119672.52741176532</v>
      </c>
      <c r="U122" s="105">
        <f t="shared" si="58"/>
        <v>128477.40293392967</v>
      </c>
      <c r="V122" s="105">
        <f t="shared" si="58"/>
        <v>137282.27845609403</v>
      </c>
      <c r="W122" s="105">
        <f t="shared" si="58"/>
        <v>146087.1539782584</v>
      </c>
      <c r="X122" s="105">
        <f t="shared" si="58"/>
        <v>146644.02950042277</v>
      </c>
      <c r="Y122" s="105">
        <f t="shared" si="58"/>
        <v>147200.90502258713</v>
      </c>
      <c r="Z122" s="105">
        <f t="shared" si="58"/>
        <v>156005.7805447515</v>
      </c>
      <c r="AA122" s="105">
        <f t="shared" si="58"/>
        <v>164810.65606691586</v>
      </c>
      <c r="AB122" s="105">
        <f t="shared" si="58"/>
        <v>173615.53158908023</v>
      </c>
      <c r="AC122" s="105">
        <f t="shared" si="58"/>
        <v>182420.4071112446</v>
      </c>
      <c r="AD122" s="105">
        <f t="shared" si="58"/>
        <v>191225.28263340896</v>
      </c>
      <c r="AE122" s="105">
        <f t="shared" si="58"/>
        <v>200030.15815557333</v>
      </c>
      <c r="AF122" s="105">
        <f t="shared" si="58"/>
        <v>208835.03367773769</v>
      </c>
      <c r="AG122" s="105">
        <f t="shared" si="58"/>
        <v>5806.8743042020651</v>
      </c>
      <c r="AH122" s="105">
        <f t="shared" si="58"/>
        <v>6363.749826366422</v>
      </c>
    </row>
    <row r="123" spans="1:34" ht="12.75">
      <c r="A123" s="87" t="s">
        <v>403</v>
      </c>
      <c r="B123" s="103">
        <f>-B109</f>
        <v>0</v>
      </c>
      <c r="C123" s="103">
        <f t="shared" ref="C123:AH123" si="59">-C109</f>
        <v>0</v>
      </c>
      <c r="D123" s="103">
        <f t="shared" si="59"/>
        <v>4095.3945792999994</v>
      </c>
      <c r="E123" s="103">
        <f t="shared" si="59"/>
        <v>8804.8755221643569</v>
      </c>
      <c r="F123" s="103">
        <f t="shared" si="59"/>
        <v>8804.8755221643569</v>
      </c>
      <c r="G123" s="103">
        <f t="shared" si="59"/>
        <v>8804.8755221643569</v>
      </c>
      <c r="H123" s="103">
        <f t="shared" si="59"/>
        <v>8804.8755221643569</v>
      </c>
      <c r="I123" s="103">
        <f t="shared" si="59"/>
        <v>8804.8755221643569</v>
      </c>
      <c r="J123" s="103">
        <f t="shared" si="59"/>
        <v>8804.8755221643569</v>
      </c>
      <c r="K123" s="103">
        <f t="shared" si="59"/>
        <v>8804.8755221643569</v>
      </c>
      <c r="L123" s="103">
        <f t="shared" si="59"/>
        <v>8804.8755221643569</v>
      </c>
      <c r="M123" s="103">
        <f t="shared" si="59"/>
        <v>8804.8755221643569</v>
      </c>
      <c r="N123" s="103">
        <f t="shared" si="59"/>
        <v>8804.8755221643569</v>
      </c>
      <c r="O123" s="103">
        <f t="shared" si="59"/>
        <v>8804.8755221643569</v>
      </c>
      <c r="P123" s="103">
        <f t="shared" si="59"/>
        <v>8804.8755221643569</v>
      </c>
      <c r="Q123" s="103">
        <f t="shared" si="59"/>
        <v>8804.8755221643569</v>
      </c>
      <c r="R123" s="103">
        <f t="shared" si="59"/>
        <v>8804.8755221643569</v>
      </c>
      <c r="S123" s="103">
        <f t="shared" si="59"/>
        <v>8804.8755221643569</v>
      </c>
      <c r="T123" s="103">
        <f t="shared" si="59"/>
        <v>8804.8755221643569</v>
      </c>
      <c r="U123" s="103">
        <f t="shared" si="59"/>
        <v>8804.8755221643569</v>
      </c>
      <c r="V123" s="103">
        <f t="shared" si="59"/>
        <v>8804.8755221643569</v>
      </c>
      <c r="W123" s="103">
        <f t="shared" si="59"/>
        <v>8804.8755221643569</v>
      </c>
      <c r="X123" s="103">
        <f t="shared" si="59"/>
        <v>8804.8755221643569</v>
      </c>
      <c r="Y123" s="103">
        <f t="shared" si="59"/>
        <v>8804.8755221643569</v>
      </c>
      <c r="Z123" s="103">
        <f t="shared" si="59"/>
        <v>8804.8755221643569</v>
      </c>
      <c r="AA123" s="103">
        <f t="shared" si="59"/>
        <v>8804.8755221643569</v>
      </c>
      <c r="AB123" s="103">
        <f t="shared" si="59"/>
        <v>8804.8755221643569</v>
      </c>
      <c r="AC123" s="103">
        <f t="shared" si="59"/>
        <v>8804.8755221643569</v>
      </c>
      <c r="AD123" s="103">
        <f t="shared" si="59"/>
        <v>8804.8755221643569</v>
      </c>
      <c r="AE123" s="103">
        <f t="shared" si="59"/>
        <v>8804.8755221643569</v>
      </c>
      <c r="AF123" s="103">
        <f t="shared" si="59"/>
        <v>8804.8755221643569</v>
      </c>
      <c r="AG123" s="103">
        <f t="shared" si="59"/>
        <v>8804.8755221643569</v>
      </c>
      <c r="AH123" s="103">
        <f t="shared" si="59"/>
        <v>8804.8755221643569</v>
      </c>
    </row>
    <row r="124" spans="1:34" ht="12.75">
      <c r="A124" s="87" t="s">
        <v>404</v>
      </c>
      <c r="B124" s="103">
        <f t="shared" ref="B124:AH124" si="60">B106</f>
        <v>0</v>
      </c>
      <c r="C124" s="103">
        <f>C106</f>
        <v>0</v>
      </c>
      <c r="D124" s="103">
        <f t="shared" si="60"/>
        <v>0</v>
      </c>
      <c r="E124" s="103">
        <f t="shared" si="60"/>
        <v>0</v>
      </c>
      <c r="F124" s="103">
        <f t="shared" si="60"/>
        <v>0</v>
      </c>
      <c r="G124" s="103">
        <f t="shared" si="60"/>
        <v>0</v>
      </c>
      <c r="H124" s="103">
        <f t="shared" si="60"/>
        <v>0</v>
      </c>
      <c r="I124" s="103">
        <f t="shared" si="60"/>
        <v>0</v>
      </c>
      <c r="J124" s="103">
        <f t="shared" si="60"/>
        <v>0</v>
      </c>
      <c r="K124" s="103">
        <f t="shared" si="60"/>
        <v>0</v>
      </c>
      <c r="L124" s="103">
        <f t="shared" si="60"/>
        <v>0</v>
      </c>
      <c r="M124" s="103">
        <f t="shared" si="60"/>
        <v>-8248</v>
      </c>
      <c r="N124" s="103">
        <f>M124</f>
        <v>-8248</v>
      </c>
      <c r="O124" s="103">
        <f t="shared" si="60"/>
        <v>0</v>
      </c>
      <c r="P124" s="103">
        <f t="shared" si="60"/>
        <v>0</v>
      </c>
      <c r="Q124" s="103">
        <f t="shared" si="60"/>
        <v>0</v>
      </c>
      <c r="R124" s="103">
        <f t="shared" si="60"/>
        <v>0</v>
      </c>
      <c r="S124" s="103">
        <f t="shared" si="60"/>
        <v>0</v>
      </c>
      <c r="T124" s="103">
        <f t="shared" si="60"/>
        <v>0</v>
      </c>
      <c r="U124" s="103">
        <f t="shared" si="60"/>
        <v>0</v>
      </c>
      <c r="V124" s="103">
        <f t="shared" si="60"/>
        <v>0</v>
      </c>
      <c r="W124" s="103">
        <f t="shared" si="60"/>
        <v>-8248</v>
      </c>
      <c r="X124" s="103">
        <f>W124</f>
        <v>-8248</v>
      </c>
      <c r="Y124" s="103">
        <f t="shared" si="60"/>
        <v>0</v>
      </c>
      <c r="Z124" s="103">
        <f t="shared" si="60"/>
        <v>0</v>
      </c>
      <c r="AA124" s="103">
        <f t="shared" si="60"/>
        <v>0</v>
      </c>
      <c r="AB124" s="103">
        <f t="shared" si="60"/>
        <v>0</v>
      </c>
      <c r="AC124" s="103">
        <f t="shared" si="60"/>
        <v>0</v>
      </c>
      <c r="AD124" s="103">
        <f t="shared" si="60"/>
        <v>0</v>
      </c>
      <c r="AE124" s="103">
        <f t="shared" si="60"/>
        <v>0</v>
      </c>
      <c r="AF124" s="103">
        <f t="shared" si="60"/>
        <v>-211833.0348957</v>
      </c>
      <c r="AG124" s="103">
        <f t="shared" si="60"/>
        <v>-8248</v>
      </c>
      <c r="AH124" s="103">
        <f t="shared" si="60"/>
        <v>-8248</v>
      </c>
    </row>
    <row r="125" spans="1:34" ht="13.5" thickBot="1">
      <c r="A125" s="104" t="s">
        <v>405</v>
      </c>
      <c r="B125" s="105">
        <f t="shared" ref="B125:AH125" si="61">SUM(B122:B124)</f>
        <v>0</v>
      </c>
      <c r="C125" s="105">
        <f t="shared" si="61"/>
        <v>0</v>
      </c>
      <c r="D125" s="105">
        <f t="shared" si="61"/>
        <v>4095.3945792999994</v>
      </c>
      <c r="E125" s="105">
        <f t="shared" si="61"/>
        <v>12900.270101464357</v>
      </c>
      <c r="F125" s="105">
        <f t="shared" si="61"/>
        <v>21705.145623628712</v>
      </c>
      <c r="G125" s="105">
        <f t="shared" si="61"/>
        <v>30510.021145793071</v>
      </c>
      <c r="H125" s="105">
        <f t="shared" si="61"/>
        <v>39314.89666795743</v>
      </c>
      <c r="I125" s="105">
        <f t="shared" si="61"/>
        <v>48119.772190121788</v>
      </c>
      <c r="J125" s="105">
        <f t="shared" si="61"/>
        <v>56924.647712286147</v>
      </c>
      <c r="K125" s="105">
        <f t="shared" si="61"/>
        <v>65729.523234450506</v>
      </c>
      <c r="L125" s="105">
        <f t="shared" si="61"/>
        <v>74534.398756614857</v>
      </c>
      <c r="M125" s="105">
        <f t="shared" si="61"/>
        <v>75091.274278779209</v>
      </c>
      <c r="N125" s="105">
        <f t="shared" si="61"/>
        <v>75648.14980094356</v>
      </c>
      <c r="O125" s="105">
        <f t="shared" si="61"/>
        <v>84453.025323107911</v>
      </c>
      <c r="P125" s="105">
        <f t="shared" si="61"/>
        <v>93257.900845272263</v>
      </c>
      <c r="Q125" s="105">
        <f t="shared" si="61"/>
        <v>102062.77636743661</v>
      </c>
      <c r="R125" s="105">
        <f t="shared" si="61"/>
        <v>110867.65188960097</v>
      </c>
      <c r="S125" s="105">
        <f t="shared" si="61"/>
        <v>119672.52741176532</v>
      </c>
      <c r="T125" s="105">
        <f t="shared" si="61"/>
        <v>128477.40293392967</v>
      </c>
      <c r="U125" s="105">
        <f t="shared" si="61"/>
        <v>137282.27845609403</v>
      </c>
      <c r="V125" s="105">
        <f t="shared" si="61"/>
        <v>146087.1539782584</v>
      </c>
      <c r="W125" s="105">
        <f t="shared" si="61"/>
        <v>146644.02950042277</v>
      </c>
      <c r="X125" s="105">
        <f t="shared" si="61"/>
        <v>147200.90502258713</v>
      </c>
      <c r="Y125" s="105">
        <f t="shared" si="61"/>
        <v>156005.7805447515</v>
      </c>
      <c r="Z125" s="105">
        <f t="shared" si="61"/>
        <v>164810.65606691586</v>
      </c>
      <c r="AA125" s="105">
        <f t="shared" si="61"/>
        <v>173615.53158908023</v>
      </c>
      <c r="AB125" s="105">
        <f t="shared" si="61"/>
        <v>182420.4071112446</v>
      </c>
      <c r="AC125" s="105">
        <f t="shared" si="61"/>
        <v>191225.28263340896</v>
      </c>
      <c r="AD125" s="105">
        <f t="shared" si="61"/>
        <v>200030.15815557333</v>
      </c>
      <c r="AE125" s="105">
        <f t="shared" si="61"/>
        <v>208835.03367773769</v>
      </c>
      <c r="AF125" s="105">
        <f t="shared" si="61"/>
        <v>5806.8743042020651</v>
      </c>
      <c r="AG125" s="105">
        <f t="shared" si="61"/>
        <v>6363.749826366422</v>
      </c>
      <c r="AH125" s="105">
        <f t="shared" si="61"/>
        <v>6920.6253485307789</v>
      </c>
    </row>
    <row r="126" spans="1:34" s="11" customFormat="1" ht="12.75"/>
  </sheetData>
  <mergeCells count="2">
    <mergeCell ref="A4:K4"/>
    <mergeCell ref="A5:I5"/>
  </mergeCells>
  <phoneticPr fontId="0" type="noConversion"/>
  <conditionalFormatting sqref="A5">
    <cfRule type="cellIs" dxfId="5" priority="1" stopIfTrue="1" operator="equal">
      <formula>0</formula>
    </cfRule>
    <cfRule type="cellIs" dxfId="4" priority="2" stopIfTrue="1" operator="notEqual">
      <formula>0</formula>
    </cfRule>
  </conditionalFormatting>
  <pageMargins left="0.75" right="0.75" top="1" bottom="1" header="0.4921259845" footer="0.4921259845"/>
  <pageSetup scale="53" orientation="landscape" r:id="rId1"/>
  <headerFooter alignWithMargins="0"/>
  <colBreaks count="1" manualBreakCount="1">
    <brk id="11" max="145" man="1"/>
  </colBreaks>
  <ignoredErrors>
    <ignoredError sqref="C32:K32 C41:K49 L87:AH89" formula="1"/>
    <ignoredError sqref="C84:D86 Y123:AE124 B104 B106:C112 D104:AH104 D112 F113:AH113 X123 B123:M124 N123 O123:W124 C90:C92 D90 D92 B105" emptyCellReference="1"/>
    <ignoredError sqref="N124 X124" formula="1" emptyCellReferenc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31"/>
  <sheetViews>
    <sheetView showGridLines="0" zoomScale="85" zoomScaleNormal="80" workbookViewId="0">
      <pane xSplit="1" ySplit="1" topLeftCell="B2" activePane="bottomRight" state="frozen"/>
      <selection pane="topRight" activeCell="B1" sqref="B1"/>
      <selection pane="bottomLeft" activeCell="A2" sqref="A2"/>
      <selection pane="bottomRight" activeCell="I7" sqref="I7:I22"/>
    </sheetView>
  </sheetViews>
  <sheetFormatPr defaultColWidth="11.42578125" defaultRowHeight="12.75"/>
  <cols>
    <col min="1" max="1" width="64.140625" customWidth="1"/>
    <col min="2" max="10" width="12" customWidth="1"/>
  </cols>
  <sheetData>
    <row r="1" spans="1:10" ht="18">
      <c r="A1" s="676" t="s">
        <v>268</v>
      </c>
      <c r="B1" s="677"/>
      <c r="C1" s="677"/>
      <c r="D1" s="677"/>
      <c r="E1" s="677"/>
      <c r="F1" s="677"/>
      <c r="G1" s="677"/>
      <c r="H1" s="677"/>
      <c r="I1" s="677"/>
      <c r="J1" s="678"/>
    </row>
    <row r="2" spans="1:10">
      <c r="A2" s="168" t="s">
        <v>156</v>
      </c>
      <c r="B2" s="164" t="s">
        <v>160</v>
      </c>
      <c r="C2" s="165" t="s">
        <v>16</v>
      </c>
      <c r="D2" s="303" t="s">
        <v>20</v>
      </c>
      <c r="E2" s="303" t="s">
        <v>21</v>
      </c>
      <c r="F2" s="303" t="s">
        <v>22</v>
      </c>
      <c r="G2" s="303" t="s">
        <v>157</v>
      </c>
      <c r="H2" s="303" t="s">
        <v>26</v>
      </c>
      <c r="I2" s="303" t="s">
        <v>158</v>
      </c>
      <c r="J2" s="304" t="s">
        <v>159</v>
      </c>
    </row>
    <row r="3" spans="1:10">
      <c r="A3" s="615">
        <f>IF('ERR &amp; Sensitivity Analysis'!$I$10="N","Note: Current calculations are based on user input and are not the original MCC estimates.",IF('ERR &amp; Sensitivity Analysis'!$I$11="N","Note: Current calculations are based on user input and are not the original MCC estimates.",0))</f>
        <v>0</v>
      </c>
      <c r="B3" s="615"/>
      <c r="C3" s="615"/>
      <c r="D3" s="615"/>
      <c r="E3" s="615"/>
      <c r="F3" s="615"/>
      <c r="G3" s="615"/>
      <c r="H3" s="615"/>
      <c r="I3" s="615"/>
      <c r="J3" s="169"/>
    </row>
    <row r="4" spans="1:10">
      <c r="A4" s="300" t="s">
        <v>288</v>
      </c>
      <c r="B4" s="301"/>
      <c r="C4" s="257"/>
      <c r="D4" s="257"/>
      <c r="E4" s="257"/>
      <c r="F4" s="257"/>
      <c r="G4" s="257"/>
      <c r="H4" s="257"/>
      <c r="I4" s="257"/>
      <c r="J4" s="302"/>
    </row>
    <row r="5" spans="1:10">
      <c r="A5" s="170"/>
      <c r="B5" s="171"/>
      <c r="C5" s="171"/>
      <c r="D5" s="171"/>
      <c r="E5" s="171"/>
      <c r="F5" s="171"/>
      <c r="G5" s="171"/>
      <c r="H5" s="171"/>
      <c r="I5" s="171"/>
      <c r="J5" s="172"/>
    </row>
    <row r="6" spans="1:10">
      <c r="A6" s="170" t="s">
        <v>410</v>
      </c>
      <c r="B6" s="171"/>
      <c r="C6" s="171"/>
      <c r="D6" s="171"/>
      <c r="E6" s="171"/>
      <c r="F6" s="171"/>
      <c r="G6" s="171"/>
      <c r="H6" s="171"/>
      <c r="I6" s="171"/>
      <c r="J6" s="172"/>
    </row>
    <row r="7" spans="1:10">
      <c r="A7" s="173" t="s">
        <v>406</v>
      </c>
      <c r="B7" s="174">
        <f t="shared" ref="B7:B12" si="0">SUM(C7:J7)</f>
        <v>21991.282992216496</v>
      </c>
      <c r="C7" s="174">
        <v>0</v>
      </c>
      <c r="D7" s="174">
        <v>0</v>
      </c>
      <c r="E7" s="174">
        <f>'Value Chain'!K15</f>
        <v>6460.9594182216524</v>
      </c>
      <c r="F7" s="174">
        <f>'Value Chain'!L15</f>
        <v>2219.9236086340197</v>
      </c>
      <c r="G7" s="174">
        <f>'Value Chain'!O15</f>
        <v>3769.1922952577311</v>
      </c>
      <c r="H7" s="174">
        <f>'Value Chain'!P15</f>
        <v>4255.4025773195881</v>
      </c>
      <c r="I7" s="174">
        <v>0</v>
      </c>
      <c r="J7" s="175">
        <f>'Value Chain'!R15</f>
        <v>5285.8050927835047</v>
      </c>
    </row>
    <row r="8" spans="1:10">
      <c r="A8" s="173" t="s">
        <v>407</v>
      </c>
      <c r="B8" s="174">
        <f t="shared" si="0"/>
        <v>36414.983370862188</v>
      </c>
      <c r="C8" s="174">
        <v>0</v>
      </c>
      <c r="D8" s="174">
        <v>0</v>
      </c>
      <c r="E8" s="174">
        <f>'Value Chain'!K41</f>
        <v>11465.770096367665</v>
      </c>
      <c r="F8" s="174">
        <f>'Value Chain'!L41</f>
        <v>3047.8771594993113</v>
      </c>
      <c r="G8" s="174">
        <f>'Value Chain'!O41</f>
        <v>5212.3652455752417</v>
      </c>
      <c r="H8" s="174">
        <f>'Value Chain'!P41</f>
        <v>7300.8394483291413</v>
      </c>
      <c r="I8" s="174">
        <v>0</v>
      </c>
      <c r="J8" s="175">
        <f>'Value Chain'!R41</f>
        <v>9388.1314210908313</v>
      </c>
    </row>
    <row r="9" spans="1:10">
      <c r="A9" s="173" t="s">
        <v>408</v>
      </c>
      <c r="B9" s="174">
        <f t="shared" si="0"/>
        <v>28130.225543766392</v>
      </c>
      <c r="C9" s="174">
        <v>0</v>
      </c>
      <c r="D9" s="174">
        <v>0</v>
      </c>
      <c r="E9" s="174">
        <f>'Value Chain'!K57</f>
        <v>7286.7508328432459</v>
      </c>
      <c r="F9" s="174">
        <f>'Value Chain'!L57</f>
        <v>3652.4044427644908</v>
      </c>
      <c r="G9" s="174">
        <f>'Value Chain'!O57</f>
        <v>4953.6703982622585</v>
      </c>
      <c r="H9" s="174">
        <f>'Value Chain'!P57</f>
        <v>6276.0027818012777</v>
      </c>
      <c r="I9" s="174">
        <v>0</v>
      </c>
      <c r="J9" s="175">
        <f>'Value Chain'!R57</f>
        <v>5961.397088095121</v>
      </c>
    </row>
    <row r="10" spans="1:10" s="1" customFormat="1">
      <c r="A10" s="176" t="s">
        <v>270</v>
      </c>
      <c r="B10" s="171">
        <f t="shared" si="0"/>
        <v>86536.491906845084</v>
      </c>
      <c r="C10" s="171">
        <v>0</v>
      </c>
      <c r="D10" s="171">
        <v>0</v>
      </c>
      <c r="E10" s="171">
        <f t="shared" ref="E10:J10" si="1">SUM(E7:E9)</f>
        <v>25213.480347432564</v>
      </c>
      <c r="F10" s="171">
        <f t="shared" si="1"/>
        <v>8920.2052108978223</v>
      </c>
      <c r="G10" s="171">
        <f t="shared" si="1"/>
        <v>13935.227939095232</v>
      </c>
      <c r="H10" s="171">
        <f t="shared" si="1"/>
        <v>17832.244807450006</v>
      </c>
      <c r="I10" s="171">
        <v>0</v>
      </c>
      <c r="J10" s="172">
        <f t="shared" si="1"/>
        <v>20635.333601969458</v>
      </c>
    </row>
    <row r="11" spans="1:10">
      <c r="A11" s="173" t="s">
        <v>409</v>
      </c>
      <c r="B11" s="174">
        <f t="shared" si="0"/>
        <v>134109.19768502639</v>
      </c>
      <c r="C11" s="174">
        <v>0</v>
      </c>
      <c r="D11" s="174">
        <v>0</v>
      </c>
      <c r="E11" s="174">
        <f>Fundamentals!J83*1000</f>
        <v>38547.346837452373</v>
      </c>
      <c r="F11" s="174">
        <f>Fundamentals!K83*1000</f>
        <v>11585.458002366035</v>
      </c>
      <c r="G11" s="174">
        <f>Fundamentals!N83*1000</f>
        <v>19239.817107317842</v>
      </c>
      <c r="H11" s="174">
        <f>Fundamentals!O83*1000</f>
        <v>33200.429317892922</v>
      </c>
      <c r="I11" s="174">
        <v>0</v>
      </c>
      <c r="J11" s="175">
        <f>Fundamentals!Q83*1000</f>
        <v>31536.146419997211</v>
      </c>
    </row>
    <row r="12" spans="1:10" s="1" customFormat="1">
      <c r="A12" s="176" t="s">
        <v>271</v>
      </c>
      <c r="B12" s="171">
        <f t="shared" si="0"/>
        <v>220645.68959187146</v>
      </c>
      <c r="C12" s="171">
        <v>0</v>
      </c>
      <c r="D12" s="171">
        <v>0</v>
      </c>
      <c r="E12" s="171">
        <f t="shared" ref="E12:J12" si="2">SUM(E10:E11)</f>
        <v>63760.82718488494</v>
      </c>
      <c r="F12" s="171">
        <f t="shared" si="2"/>
        <v>20505.663213263855</v>
      </c>
      <c r="G12" s="171">
        <f t="shared" si="2"/>
        <v>33175.04504641307</v>
      </c>
      <c r="H12" s="171">
        <f t="shared" si="2"/>
        <v>51032.674125342928</v>
      </c>
      <c r="I12" s="171">
        <v>0</v>
      </c>
      <c r="J12" s="172">
        <f t="shared" si="2"/>
        <v>52171.480021966665</v>
      </c>
    </row>
    <row r="13" spans="1:10">
      <c r="A13" s="173"/>
      <c r="B13" s="174"/>
      <c r="C13" s="174">
        <v>0</v>
      </c>
      <c r="D13" s="174">
        <v>0</v>
      </c>
      <c r="E13" s="174"/>
      <c r="F13" s="174"/>
      <c r="G13" s="174"/>
      <c r="H13" s="174"/>
      <c r="I13" s="174">
        <v>0</v>
      </c>
      <c r="J13" s="175"/>
    </row>
    <row r="14" spans="1:10" s="1" customFormat="1">
      <c r="A14" s="177" t="s">
        <v>411</v>
      </c>
      <c r="B14" s="171"/>
      <c r="C14" s="171">
        <v>0</v>
      </c>
      <c r="D14" s="171">
        <v>0</v>
      </c>
      <c r="E14" s="171"/>
      <c r="F14" s="171"/>
      <c r="G14" s="171"/>
      <c r="H14" s="171"/>
      <c r="I14" s="171">
        <v>0</v>
      </c>
      <c r="J14" s="172"/>
    </row>
    <row r="15" spans="1:10" s="1" customFormat="1">
      <c r="A15" s="176" t="s">
        <v>272</v>
      </c>
      <c r="B15" s="171">
        <f>SUM(B16:B17)</f>
        <v>31931.703902857007</v>
      </c>
      <c r="C15" s="171">
        <v>0</v>
      </c>
      <c r="D15" s="171">
        <v>0</v>
      </c>
      <c r="E15" s="171">
        <f t="shared" ref="E15:J15" si="3">SUM(E16:E17)</f>
        <v>8928.8309098873542</v>
      </c>
      <c r="F15" s="171">
        <f t="shared" si="3"/>
        <v>2950.6782313088215</v>
      </c>
      <c r="G15" s="171">
        <f t="shared" si="3"/>
        <v>4880.9867200200915</v>
      </c>
      <c r="H15" s="171">
        <f t="shared" si="3"/>
        <v>7598.108370269154</v>
      </c>
      <c r="I15" s="171">
        <v>0</v>
      </c>
      <c r="J15" s="172">
        <f t="shared" si="3"/>
        <v>7573.0996713715849</v>
      </c>
    </row>
    <row r="16" spans="1:10">
      <c r="A16" s="173" t="s">
        <v>273</v>
      </c>
      <c r="B16" s="174">
        <f>SUM(C16:J16)</f>
        <v>2007.5197811138978</v>
      </c>
      <c r="C16" s="174">
        <v>0</v>
      </c>
      <c r="D16" s="174">
        <v>0</v>
      </c>
      <c r="E16" s="174">
        <f>'MG Unit Model 2'!E50+'MG Unit Model 2'!E75</f>
        <v>40</v>
      </c>
      <c r="F16" s="174">
        <f>'MG Unit Model 2'!F50+'MG Unit Model 2'!F75</f>
        <v>20</v>
      </c>
      <c r="G16" s="174">
        <f>'MG Unit Model 2'!G50+'MG Unit Model 2'!G75</f>
        <v>58.572751309524527</v>
      </c>
      <c r="H16" s="174">
        <f>'MG Unit Model 2'!H50+'MG Unit Model 2'!H75</f>
        <v>1590.2778883096228</v>
      </c>
      <c r="I16" s="174">
        <v>0</v>
      </c>
      <c r="J16" s="175">
        <f>'MG Unit Model 2'!J50+'MG Unit Model 2'!J75</f>
        <v>298.66914149475031</v>
      </c>
    </row>
    <row r="17" spans="1:10">
      <c r="A17" s="173" t="s">
        <v>274</v>
      </c>
      <c r="B17" s="174">
        <f>SUM(C17:J17)</f>
        <v>29924.18412174311</v>
      </c>
      <c r="C17" s="174">
        <v>0</v>
      </c>
      <c r="D17" s="174">
        <v>0</v>
      </c>
      <c r="E17" s="174">
        <f>'Value Chain'!K66</f>
        <v>8888.8309098873542</v>
      </c>
      <c r="F17" s="174">
        <f>'Value Chain'!L66</f>
        <v>2930.6782313088215</v>
      </c>
      <c r="G17" s="174">
        <f>'Value Chain'!O66</f>
        <v>4822.4139687105671</v>
      </c>
      <c r="H17" s="174">
        <f>'Value Chain'!P66</f>
        <v>6007.8304819595314</v>
      </c>
      <c r="I17" s="174">
        <v>0</v>
      </c>
      <c r="J17" s="175">
        <f>'Value Chain'!R66</f>
        <v>7274.430529876835</v>
      </c>
    </row>
    <row r="18" spans="1:10">
      <c r="A18" s="170" t="s">
        <v>275</v>
      </c>
      <c r="B18" s="171">
        <f>SUM(C18:J18)</f>
        <v>2700</v>
      </c>
      <c r="C18" s="171">
        <v>0</v>
      </c>
      <c r="D18" s="171">
        <v>0</v>
      </c>
      <c r="E18" s="171">
        <f>'MG Unit Model 2'!E54</f>
        <v>675</v>
      </c>
      <c r="F18" s="171">
        <f>'MG Unit Model 2'!F54</f>
        <v>405</v>
      </c>
      <c r="G18" s="171">
        <f>'MG Unit Model 2'!G54</f>
        <v>405</v>
      </c>
      <c r="H18" s="171">
        <f>'MG Unit Model 2'!H54</f>
        <v>675</v>
      </c>
      <c r="I18" s="171">
        <v>0</v>
      </c>
      <c r="J18" s="172">
        <f>'MG Unit Model 2'!J54</f>
        <v>540</v>
      </c>
    </row>
    <row r="19" spans="1:10">
      <c r="A19" s="170"/>
      <c r="B19" s="171"/>
      <c r="C19" s="171">
        <v>0</v>
      </c>
      <c r="D19" s="171">
        <v>0</v>
      </c>
      <c r="E19" s="171"/>
      <c r="F19" s="171"/>
      <c r="G19" s="171"/>
      <c r="H19" s="171"/>
      <c r="I19" s="171">
        <v>0</v>
      </c>
      <c r="J19" s="172"/>
    </row>
    <row r="20" spans="1:10" s="1" customFormat="1">
      <c r="A20" s="176" t="s">
        <v>269</v>
      </c>
      <c r="B20" s="171">
        <f>SUM(C20:J20)</f>
        <v>10011.268317700589</v>
      </c>
      <c r="C20" s="171">
        <v>0</v>
      </c>
      <c r="D20" s="171">
        <v>0</v>
      </c>
      <c r="E20" s="171">
        <f>'MG Unit Model 2'!E78</f>
        <v>2195.0604194591351</v>
      </c>
      <c r="F20" s="171">
        <f>'MG Unit Model 2'!F78</f>
        <v>-335.76146297834839</v>
      </c>
      <c r="G20" s="171">
        <f>'MG Unit Model 2'!G78</f>
        <v>1098.1732424286772</v>
      </c>
      <c r="H20" s="171">
        <f>'MG Unit Model 2'!H78</f>
        <v>5135.7566737807274</v>
      </c>
      <c r="I20" s="171">
        <v>0</v>
      </c>
      <c r="J20" s="172">
        <f>'MG Unit Model 2'!J78</f>
        <v>1918.0394450103972</v>
      </c>
    </row>
    <row r="21" spans="1:10">
      <c r="A21" s="173"/>
      <c r="B21" s="174"/>
      <c r="C21" s="174">
        <v>0</v>
      </c>
      <c r="D21" s="174">
        <v>0</v>
      </c>
      <c r="E21" s="174"/>
      <c r="F21" s="174"/>
      <c r="G21" s="174"/>
      <c r="H21" s="174"/>
      <c r="I21" s="174">
        <v>0</v>
      </c>
      <c r="J21" s="175"/>
    </row>
    <row r="22" spans="1:10" s="1" customFormat="1">
      <c r="A22" s="177" t="s">
        <v>276</v>
      </c>
      <c r="B22" s="171">
        <f>'ERR Summary'!F21</f>
        <v>7878.0903946391772</v>
      </c>
      <c r="C22" s="171">
        <v>0</v>
      </c>
      <c r="D22" s="171">
        <v>0</v>
      </c>
      <c r="E22" s="171">
        <f>$B22*('MG Unit Model 2'!E26/'MG Unit Model 2'!$K26)</f>
        <v>1979.9079520217663</v>
      </c>
      <c r="F22" s="171">
        <f>$B22*('MG Unit Model 2'!F26/'MG Unit Model 2'!$K26)</f>
        <v>593.06231243211141</v>
      </c>
      <c r="G22" s="171">
        <f>$B22*('MG Unit Model 2'!G26/'MG Unit Model 2'!$K26)</f>
        <v>1006.9562258506409</v>
      </c>
      <c r="H22" s="171">
        <f>$B22*('MG Unit Model 2'!H26/'MG Unit Model 2'!$K26)</f>
        <v>1705.2741475106222</v>
      </c>
      <c r="I22" s="171">
        <v>0</v>
      </c>
      <c r="J22" s="172">
        <f>$B22*('MG Unit Model 2'!J26/'MG Unit Model 2'!$K26)</f>
        <v>1619.7915601394945</v>
      </c>
    </row>
    <row r="23" spans="1:10">
      <c r="A23" s="170"/>
      <c r="B23" s="171"/>
      <c r="C23" s="171"/>
      <c r="D23" s="171"/>
      <c r="E23" s="171"/>
      <c r="F23" s="171"/>
      <c r="G23" s="171"/>
      <c r="H23" s="171"/>
      <c r="I23" s="171"/>
      <c r="J23" s="172"/>
    </row>
    <row r="24" spans="1:10" s="167" customFormat="1" ht="16.5" thickBot="1">
      <c r="A24" s="178" t="s">
        <v>12</v>
      </c>
      <c r="B24" s="179">
        <f>SUM(B10,B15*'Hypotheses - Assumptions'!$I81,'Cash Flow'!B18*'Hypotheses - Assumptions'!$I83,'Cash Flow'!B20)-B22</f>
        <v>101712.35139104931</v>
      </c>
      <c r="C24" s="179">
        <f>SUM(C10,C15*'Hypotheses - Assumptions'!$I81,'Cash Flow'!C18*'Hypotheses - Assumptions'!$I83,'Cash Flow'!C20)-C22</f>
        <v>0</v>
      </c>
      <c r="D24" s="179">
        <f>SUM(D10,D15*'Hypotheses - Assumptions'!$I81,'Cash Flow'!D18*'Hypotheses - Assumptions'!$I83,'Cash Flow'!D20)-D22</f>
        <v>0</v>
      </c>
      <c r="E24" s="179">
        <f>SUM(E10,E15*'Hypotheses - Assumptions'!$I81,'Cash Flow'!E18*'Hypotheses - Assumptions'!$I83,'Cash Flow'!E20)-E22</f>
        <v>29067.665178824875</v>
      </c>
      <c r="F24" s="179">
        <f>SUM(F10,F15*'Hypotheses - Assumptions'!$I81,'Cash Flow'!F18*'Hypotheses - Assumptions'!$I83,'Cash Flow'!F20)-F22</f>
        <v>9212.1527280108912</v>
      </c>
      <c r="G24" s="179">
        <f>SUM(G10,G15*'Hypotheses - Assumptions'!$I81,'Cash Flow'!G18*'Hypotheses - Assumptions'!$I83,'Cash Flow'!G20)-G22</f>
        <v>16019.339643681305</v>
      </c>
      <c r="H24" s="179">
        <f>SUM(H10,H15*'Hypotheses - Assumptions'!$I81,'Cash Flow'!H18*'Hypotheses - Assumptions'!$I83,'Cash Flow'!H20)-H22</f>
        <v>24369.470681827774</v>
      </c>
      <c r="I24" s="179">
        <f>SUM(I10,I15*'Hypotheses - Assumptions'!$I81,'Cash Flow'!I18*'Hypotheses - Assumptions'!$I83,'Cash Flow'!I20)-I22</f>
        <v>0</v>
      </c>
      <c r="J24" s="180">
        <f>SUM(J10,J15*'Hypotheses - Assumptions'!$I81,'Cash Flow'!J18*'Hypotheses - Assumptions'!$I83,'Cash Flow'!J20)-J22</f>
        <v>24016.821355388991</v>
      </c>
    </row>
    <row r="25" spans="1:10">
      <c r="A25" s="28" t="s">
        <v>412</v>
      </c>
      <c r="B25" s="166">
        <f>B24+B11</f>
        <v>235821.54907607569</v>
      </c>
      <c r="C25" s="166">
        <f t="shared" ref="C25:J25" si="4">C24+C11</f>
        <v>0</v>
      </c>
      <c r="D25" s="166">
        <f t="shared" si="4"/>
        <v>0</v>
      </c>
      <c r="E25" s="166">
        <f t="shared" si="4"/>
        <v>67615.012016277251</v>
      </c>
      <c r="F25" s="166">
        <f t="shared" si="4"/>
        <v>20797.610730376924</v>
      </c>
      <c r="G25" s="166">
        <f t="shared" si="4"/>
        <v>35259.156750999144</v>
      </c>
      <c r="H25" s="166">
        <f t="shared" si="4"/>
        <v>57569.899999720699</v>
      </c>
      <c r="I25" s="166">
        <f t="shared" si="4"/>
        <v>0</v>
      </c>
      <c r="J25" s="166">
        <f t="shared" si="4"/>
        <v>55552.967775386205</v>
      </c>
    </row>
    <row r="30" spans="1:10">
      <c r="D30" s="16"/>
    </row>
    <row r="31" spans="1:10">
      <c r="D31" s="16"/>
    </row>
  </sheetData>
  <mergeCells count="2">
    <mergeCell ref="A1:J1"/>
    <mergeCell ref="A3:I3"/>
  </mergeCells>
  <phoneticPr fontId="6" type="noConversion"/>
  <conditionalFormatting sqref="A3">
    <cfRule type="cellIs" dxfId="3" priority="1" stopIfTrue="1" operator="equal">
      <formula>0</formula>
    </cfRule>
    <cfRule type="cellIs" dxfId="2" priority="2" stopIfTrue="1" operator="notEqual">
      <formula>0</formula>
    </cfRule>
  </conditionalFormatting>
  <pageMargins left="0.75" right="0.75" top="1" bottom="1" header="0.4921259845" footer="0.492125984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F62"/>
  <sheetViews>
    <sheetView zoomScale="85" zoomScaleNormal="100" workbookViewId="0">
      <selection activeCell="B48" sqref="B48"/>
    </sheetView>
  </sheetViews>
  <sheetFormatPr defaultRowHeight="12.75"/>
  <sheetData>
    <row r="1" spans="1:32" ht="18">
      <c r="A1" s="679" t="s">
        <v>277</v>
      </c>
      <c r="B1" s="680"/>
      <c r="C1" s="680"/>
      <c r="D1" s="680"/>
      <c r="E1" s="680"/>
      <c r="F1" s="680"/>
      <c r="G1" s="680"/>
      <c r="H1" s="680"/>
      <c r="I1" s="680"/>
      <c r="J1" s="680"/>
      <c r="K1" s="680"/>
      <c r="L1" s="680"/>
      <c r="M1" s="680"/>
      <c r="N1" s="680"/>
      <c r="O1" s="680"/>
      <c r="P1" s="681"/>
    </row>
    <row r="2" spans="1:32" ht="18">
      <c r="A2" s="299" t="s">
        <v>288</v>
      </c>
      <c r="B2" s="187"/>
      <c r="C2" s="187"/>
      <c r="D2" s="187"/>
      <c r="E2" s="187"/>
      <c r="F2" s="187"/>
      <c r="G2" s="187"/>
      <c r="H2" s="187"/>
      <c r="I2" s="187"/>
      <c r="J2" s="187"/>
      <c r="K2" s="183"/>
      <c r="L2" s="183"/>
      <c r="M2" s="183"/>
      <c r="N2" s="183"/>
      <c r="O2" s="183"/>
      <c r="P2" s="183"/>
    </row>
    <row r="3" spans="1:32" ht="18">
      <c r="A3" s="189" t="s">
        <v>289</v>
      </c>
      <c r="B3" s="190"/>
      <c r="C3" s="186" t="s">
        <v>16</v>
      </c>
      <c r="D3" s="186" t="s">
        <v>20</v>
      </c>
      <c r="E3" s="186" t="s">
        <v>21</v>
      </c>
      <c r="F3" s="186" t="s">
        <v>22</v>
      </c>
      <c r="G3" s="186" t="s">
        <v>283</v>
      </c>
      <c r="H3" s="186" t="s">
        <v>26</v>
      </c>
      <c r="I3" s="186" t="s">
        <v>27</v>
      </c>
      <c r="J3" s="186" t="s">
        <v>28</v>
      </c>
      <c r="K3" s="185"/>
      <c r="L3" s="185"/>
      <c r="M3" s="185"/>
      <c r="N3" s="185"/>
      <c r="O3" s="185"/>
      <c r="P3" s="183"/>
    </row>
    <row r="4" spans="1:32" s="11" customFormat="1">
      <c r="A4" s="685" t="s">
        <v>290</v>
      </c>
      <c r="B4" s="686"/>
      <c r="C4" s="188" t="e">
        <f>AF13</f>
        <v>#NUM!</v>
      </c>
      <c r="D4" s="188" t="e">
        <f>AF19</f>
        <v>#NUM!</v>
      </c>
      <c r="E4" s="188">
        <f>AF25</f>
        <v>0.40821711923760051</v>
      </c>
      <c r="F4" s="188">
        <f>AF31</f>
        <v>0.34851324351398194</v>
      </c>
      <c r="G4" s="188">
        <f>AF37</f>
        <v>0.50484025906430063</v>
      </c>
      <c r="H4" s="188">
        <f>AF43</f>
        <v>0.33703979567011944</v>
      </c>
      <c r="I4" s="188" t="str">
        <f>AF49</f>
        <v>Doesn't exist</v>
      </c>
      <c r="J4" s="188">
        <f>AF55</f>
        <v>0.52446372614487036</v>
      </c>
      <c r="K4" s="185"/>
      <c r="L4" s="185"/>
      <c r="M4" s="185"/>
      <c r="N4" s="185"/>
      <c r="O4" s="185"/>
      <c r="P4" s="184"/>
    </row>
    <row r="5" spans="1:32" s="60" customFormat="1">
      <c r="A5" s="682" t="s">
        <v>291</v>
      </c>
      <c r="B5" s="683"/>
      <c r="C5" s="188" t="e">
        <f>AF14</f>
        <v>#NUM!</v>
      </c>
      <c r="D5" s="188" t="e">
        <f>AF20</f>
        <v>#NUM!</v>
      </c>
      <c r="E5" s="188">
        <f>AF26</f>
        <v>0.95141617666784439</v>
      </c>
      <c r="F5" s="188">
        <f>AF32</f>
        <v>0.78982732541645118</v>
      </c>
      <c r="G5" s="188">
        <f>AF38</f>
        <v>1.1123876762782792</v>
      </c>
      <c r="H5" s="188">
        <f>AF44</f>
        <v>0.79889644759176015</v>
      </c>
      <c r="I5" s="188" t="e">
        <f>AF50</f>
        <v>#NUM!</v>
      </c>
      <c r="J5" s="188">
        <f>AF56</f>
        <v>1.2142416710502784</v>
      </c>
      <c r="K5" s="185"/>
      <c r="L5" s="185"/>
      <c r="M5" s="185"/>
      <c r="N5" s="185"/>
      <c r="O5" s="185"/>
      <c r="P5" s="185"/>
    </row>
    <row r="6" spans="1:32" s="60" customFormat="1">
      <c r="A6" s="684"/>
      <c r="B6" s="683"/>
      <c r="C6" s="186"/>
      <c r="D6" s="186"/>
      <c r="E6" s="186"/>
      <c r="F6" s="186"/>
      <c r="G6" s="186"/>
      <c r="H6" s="186"/>
      <c r="I6" s="186"/>
      <c r="J6" s="186"/>
      <c r="K6" s="185"/>
      <c r="L6" s="185"/>
      <c r="M6" s="185"/>
      <c r="N6" s="185"/>
      <c r="O6" s="185"/>
      <c r="P6" s="185"/>
    </row>
    <row r="7" spans="1:32">
      <c r="A7" t="s">
        <v>167</v>
      </c>
      <c r="B7">
        <v>0</v>
      </c>
      <c r="C7">
        <v>1</v>
      </c>
      <c r="D7">
        <v>2</v>
      </c>
      <c r="E7">
        <v>3</v>
      </c>
      <c r="F7">
        <v>4</v>
      </c>
      <c r="G7">
        <v>5</v>
      </c>
      <c r="H7">
        <v>6</v>
      </c>
      <c r="I7">
        <v>7</v>
      </c>
      <c r="J7">
        <v>8</v>
      </c>
      <c r="K7">
        <v>9</v>
      </c>
      <c r="L7">
        <v>10</v>
      </c>
      <c r="M7">
        <v>11</v>
      </c>
      <c r="N7">
        <v>12</v>
      </c>
      <c r="O7">
        <v>13</v>
      </c>
      <c r="P7">
        <v>14</v>
      </c>
      <c r="Q7">
        <v>15</v>
      </c>
      <c r="R7">
        <v>16</v>
      </c>
      <c r="S7">
        <v>17</v>
      </c>
      <c r="T7">
        <v>18</v>
      </c>
      <c r="U7">
        <v>19</v>
      </c>
      <c r="V7">
        <v>20</v>
      </c>
      <c r="W7">
        <v>21</v>
      </c>
      <c r="X7">
        <v>22</v>
      </c>
      <c r="Y7">
        <v>23</v>
      </c>
      <c r="Z7">
        <v>24</v>
      </c>
      <c r="AA7">
        <v>25</v>
      </c>
      <c r="AB7">
        <v>26</v>
      </c>
      <c r="AC7">
        <v>27</v>
      </c>
      <c r="AD7">
        <v>28</v>
      </c>
      <c r="AE7">
        <v>29</v>
      </c>
      <c r="AF7">
        <v>30</v>
      </c>
    </row>
    <row r="9" spans="1:32" ht="12.75" customHeight="1">
      <c r="A9" s="181" t="s">
        <v>278</v>
      </c>
      <c r="C9" s="615">
        <f>IF('ERR &amp; Sensitivity Analysis'!$I$10="N","Note: Current calculations are based on user input and are not the original MCC estimates.",IF('ERR &amp; Sensitivity Analysis'!$I$11="N","Note: Current calculations are based on user input and are not the original MCC estimates.",0))</f>
        <v>0</v>
      </c>
      <c r="D9" s="615"/>
      <c r="E9" s="615"/>
      <c r="F9" s="615"/>
      <c r="G9" s="615"/>
      <c r="H9" s="615"/>
      <c r="I9" s="615"/>
      <c r="J9" s="615"/>
      <c r="K9" s="615"/>
      <c r="L9" s="615"/>
      <c r="M9" s="615"/>
      <c r="N9" s="615"/>
    </row>
    <row r="11" spans="1:32">
      <c r="A11" t="s">
        <v>16</v>
      </c>
      <c r="B11" s="16"/>
      <c r="C11" s="16">
        <f>'Cash Flow'!C24</f>
        <v>0</v>
      </c>
      <c r="D11" s="16">
        <f>C11</f>
        <v>0</v>
      </c>
      <c r="E11" s="16">
        <f t="shared" ref="E11:AF12" si="0">D11</f>
        <v>0</v>
      </c>
      <c r="F11" s="16">
        <f t="shared" si="0"/>
        <v>0</v>
      </c>
      <c r="G11" s="16">
        <f t="shared" si="0"/>
        <v>0</v>
      </c>
      <c r="H11" s="16">
        <f t="shared" si="0"/>
        <v>0</v>
      </c>
      <c r="I11" s="16">
        <f t="shared" si="0"/>
        <v>0</v>
      </c>
      <c r="J11" s="16">
        <f t="shared" si="0"/>
        <v>0</v>
      </c>
      <c r="K11" s="16">
        <f t="shared" si="0"/>
        <v>0</v>
      </c>
      <c r="L11" s="16">
        <f>K11-'MG Unit Model 2'!C11</f>
        <v>0</v>
      </c>
      <c r="M11" s="16">
        <f>K11</f>
        <v>0</v>
      </c>
      <c r="N11" s="16">
        <f t="shared" si="0"/>
        <v>0</v>
      </c>
      <c r="O11" s="16">
        <f t="shared" si="0"/>
        <v>0</v>
      </c>
      <c r="P11" s="16">
        <f t="shared" si="0"/>
        <v>0</v>
      </c>
      <c r="Q11" s="16">
        <f t="shared" si="0"/>
        <v>0</v>
      </c>
      <c r="R11" s="16">
        <f t="shared" si="0"/>
        <v>0</v>
      </c>
      <c r="S11" s="16">
        <f t="shared" si="0"/>
        <v>0</v>
      </c>
      <c r="T11" s="16">
        <f t="shared" si="0"/>
        <v>0</v>
      </c>
      <c r="U11" s="16">
        <f t="shared" si="0"/>
        <v>0</v>
      </c>
      <c r="V11" s="16">
        <f>L11</f>
        <v>0</v>
      </c>
      <c r="W11" s="16">
        <f>U11</f>
        <v>0</v>
      </c>
      <c r="X11" s="16">
        <f t="shared" si="0"/>
        <v>0</v>
      </c>
      <c r="Y11" s="16">
        <f t="shared" si="0"/>
        <v>0</v>
      </c>
      <c r="Z11" s="16">
        <f t="shared" si="0"/>
        <v>0</v>
      </c>
      <c r="AA11" s="16">
        <f t="shared" si="0"/>
        <v>0</v>
      </c>
      <c r="AB11" s="16">
        <f t="shared" si="0"/>
        <v>0</v>
      </c>
      <c r="AC11" s="16">
        <f t="shared" si="0"/>
        <v>0</v>
      </c>
      <c r="AD11" s="16">
        <f t="shared" si="0"/>
        <v>0</v>
      </c>
      <c r="AE11" s="16">
        <f t="shared" si="0"/>
        <v>0</v>
      </c>
      <c r="AF11" s="16">
        <f t="shared" si="0"/>
        <v>0</v>
      </c>
    </row>
    <row r="12" spans="1:32">
      <c r="B12" s="16">
        <f>B11</f>
        <v>0</v>
      </c>
      <c r="C12" s="16">
        <f>'Cash Flow'!C25</f>
        <v>0</v>
      </c>
      <c r="D12" s="16">
        <f>C12</f>
        <v>0</v>
      </c>
      <c r="E12" s="16">
        <f t="shared" si="0"/>
        <v>0</v>
      </c>
      <c r="F12" s="16">
        <f t="shared" si="0"/>
        <v>0</v>
      </c>
      <c r="G12" s="16">
        <f t="shared" si="0"/>
        <v>0</v>
      </c>
      <c r="H12" s="16">
        <f t="shared" si="0"/>
        <v>0</v>
      </c>
      <c r="I12" s="16">
        <f t="shared" si="0"/>
        <v>0</v>
      </c>
      <c r="J12" s="16">
        <f t="shared" si="0"/>
        <v>0</v>
      </c>
      <c r="K12" s="16">
        <f t="shared" si="0"/>
        <v>0</v>
      </c>
      <c r="L12" s="16">
        <f>K12-'MG Unit Model 2'!C11</f>
        <v>0</v>
      </c>
      <c r="M12" s="16">
        <f>K12</f>
        <v>0</v>
      </c>
      <c r="N12" s="16">
        <f t="shared" si="0"/>
        <v>0</v>
      </c>
      <c r="O12" s="16">
        <f t="shared" si="0"/>
        <v>0</v>
      </c>
      <c r="P12" s="16">
        <f t="shared" si="0"/>
        <v>0</v>
      </c>
      <c r="Q12" s="16">
        <f t="shared" si="0"/>
        <v>0</v>
      </c>
      <c r="R12" s="16">
        <f t="shared" si="0"/>
        <v>0</v>
      </c>
      <c r="S12" s="16">
        <f t="shared" si="0"/>
        <v>0</v>
      </c>
      <c r="T12" s="16">
        <f t="shared" si="0"/>
        <v>0</v>
      </c>
      <c r="U12" s="16">
        <f t="shared" si="0"/>
        <v>0</v>
      </c>
      <c r="V12" s="16">
        <f>L12</f>
        <v>0</v>
      </c>
      <c r="W12" s="16">
        <f>U12</f>
        <v>0</v>
      </c>
      <c r="X12" s="16">
        <f t="shared" si="0"/>
        <v>0</v>
      </c>
      <c r="Y12" s="16">
        <f t="shared" si="0"/>
        <v>0</v>
      </c>
      <c r="Z12" s="16">
        <f t="shared" si="0"/>
        <v>0</v>
      </c>
      <c r="AA12" s="16">
        <f t="shared" si="0"/>
        <v>0</v>
      </c>
      <c r="AB12" s="16">
        <f t="shared" si="0"/>
        <v>0</v>
      </c>
      <c r="AC12" s="16">
        <f t="shared" si="0"/>
        <v>0</v>
      </c>
      <c r="AD12" s="16">
        <f t="shared" si="0"/>
        <v>0</v>
      </c>
      <c r="AE12" s="16">
        <f t="shared" si="0"/>
        <v>0</v>
      </c>
      <c r="AF12" s="16">
        <f t="shared" si="0"/>
        <v>0</v>
      </c>
    </row>
    <row r="13" spans="1:32">
      <c r="A13" t="s">
        <v>279</v>
      </c>
      <c r="C13" s="182" t="e">
        <f>IRR($B11:C11,-0.1)</f>
        <v>#NUM!</v>
      </c>
      <c r="D13" s="182" t="e">
        <f>IRR($B11:D11,-0.1)</f>
        <v>#NUM!</v>
      </c>
      <c r="E13" s="182" t="e">
        <f>IRR($B11:E11,-0.1)</f>
        <v>#NUM!</v>
      </c>
      <c r="F13" s="182" t="e">
        <f>IRR($B11:F11,-0.1)</f>
        <v>#NUM!</v>
      </c>
      <c r="G13" s="182" t="e">
        <f>IRR($B11:G11,-0.1)</f>
        <v>#NUM!</v>
      </c>
      <c r="H13" s="182" t="e">
        <f>IRR($B11:H11,-0.1)</f>
        <v>#NUM!</v>
      </c>
      <c r="I13" s="182" t="e">
        <f>IRR($B11:I11,-0.1)</f>
        <v>#NUM!</v>
      </c>
      <c r="J13" s="182" t="e">
        <f>IRR($B11:J11,-0.1)</f>
        <v>#NUM!</v>
      </c>
      <c r="K13" s="182" t="e">
        <f>IRR($B11:K11,-0.1)</f>
        <v>#NUM!</v>
      </c>
      <c r="L13" s="182" t="e">
        <f>IRR($B11:L11,-0.1)</f>
        <v>#NUM!</v>
      </c>
      <c r="M13" s="182" t="e">
        <f>IRR($B11:M11,-0.1)</f>
        <v>#NUM!</v>
      </c>
      <c r="N13" s="182" t="e">
        <f>IRR($B11:N11,-0.1)</f>
        <v>#NUM!</v>
      </c>
      <c r="O13" s="182" t="e">
        <f>IRR($B11:O11,-0.1)</f>
        <v>#NUM!</v>
      </c>
      <c r="P13" s="182" t="e">
        <f>IRR($B11:P11,-0.1)</f>
        <v>#NUM!</v>
      </c>
      <c r="Q13" s="182" t="e">
        <f>IRR($B11:Q11,-0.1)</f>
        <v>#NUM!</v>
      </c>
      <c r="R13" s="182" t="e">
        <f>IRR($B11:R11,-0.1)</f>
        <v>#NUM!</v>
      </c>
      <c r="S13" s="182" t="e">
        <f>IRR($B11:S11,-0.1)</f>
        <v>#NUM!</v>
      </c>
      <c r="T13" s="182" t="e">
        <f>IRR($B11:T11,-0.1)</f>
        <v>#NUM!</v>
      </c>
      <c r="U13" s="182" t="e">
        <f>IRR($B11:U11,-0.1)</f>
        <v>#NUM!</v>
      </c>
      <c r="V13" s="182" t="e">
        <f>IRR($B11:V11,-0.1)</f>
        <v>#NUM!</v>
      </c>
      <c r="W13" s="182" t="e">
        <f>IRR($B11:W11,-0.1)</f>
        <v>#NUM!</v>
      </c>
      <c r="X13" s="182" t="e">
        <f>IRR($B11:X11,-0.1)</f>
        <v>#NUM!</v>
      </c>
      <c r="Y13" s="182" t="e">
        <f>IRR($B11:Y11,-0.1)</f>
        <v>#NUM!</v>
      </c>
      <c r="Z13" s="182" t="e">
        <f>IRR($B11:Z11,-0.1)</f>
        <v>#NUM!</v>
      </c>
      <c r="AA13" s="182" t="e">
        <f>IRR($B11:AA11,-0.1)</f>
        <v>#NUM!</v>
      </c>
      <c r="AB13" s="182" t="e">
        <f>IRR($B11:AB11,-0.1)</f>
        <v>#NUM!</v>
      </c>
      <c r="AC13" s="182" t="e">
        <f>IRR($B11:AC11,-0.1)</f>
        <v>#NUM!</v>
      </c>
      <c r="AD13" s="182" t="e">
        <f>IRR($B11:AD11,-0.1)</f>
        <v>#NUM!</v>
      </c>
      <c r="AE13" s="182" t="e">
        <f>IRR($B11:AE11,-0.1)</f>
        <v>#NUM!</v>
      </c>
      <c r="AF13" s="182" t="e">
        <f>IRR($B11:AF11,-0.1)</f>
        <v>#NUM!</v>
      </c>
    </row>
    <row r="14" spans="1:32">
      <c r="A14" t="s">
        <v>413</v>
      </c>
      <c r="F14" s="182" t="e">
        <f>IRR($B12:F12)</f>
        <v>#NUM!</v>
      </c>
      <c r="G14" s="182" t="e">
        <f>IRR($B12:G12)</f>
        <v>#NUM!</v>
      </c>
      <c r="H14" s="182" t="e">
        <f>IRR($B12:H12)</f>
        <v>#NUM!</v>
      </c>
      <c r="I14" s="182" t="e">
        <f>IRR($B12:I12)</f>
        <v>#NUM!</v>
      </c>
      <c r="J14" s="182" t="e">
        <f>IRR($B12:J12)</f>
        <v>#NUM!</v>
      </c>
      <c r="K14" s="182" t="e">
        <f>IRR($B12:K12)</f>
        <v>#NUM!</v>
      </c>
      <c r="L14" s="182" t="e">
        <f>IRR($B12:L12)</f>
        <v>#NUM!</v>
      </c>
      <c r="M14" s="182" t="e">
        <f>IRR($B12:M12)</f>
        <v>#NUM!</v>
      </c>
      <c r="N14" s="182" t="e">
        <f>IRR($B12:N12)</f>
        <v>#NUM!</v>
      </c>
      <c r="O14" s="182" t="e">
        <f>IRR($B12:O12)</f>
        <v>#NUM!</v>
      </c>
      <c r="P14" s="182" t="e">
        <f>IRR($B12:P12)</f>
        <v>#NUM!</v>
      </c>
      <c r="Q14" s="182" t="e">
        <f>IRR($B12:Q12)</f>
        <v>#NUM!</v>
      </c>
      <c r="R14" s="182" t="e">
        <f>IRR($B12:R12)</f>
        <v>#NUM!</v>
      </c>
      <c r="S14" s="182" t="e">
        <f>IRR($B12:S12)</f>
        <v>#NUM!</v>
      </c>
      <c r="T14" s="182" t="e">
        <f>IRR($B12:T12)</f>
        <v>#NUM!</v>
      </c>
      <c r="U14" s="182" t="e">
        <f>IRR($B12:U12)</f>
        <v>#NUM!</v>
      </c>
      <c r="V14" s="182" t="e">
        <f>IRR($B12:V12)</f>
        <v>#NUM!</v>
      </c>
      <c r="W14" s="182" t="e">
        <f>IRR($B12:W12)</f>
        <v>#NUM!</v>
      </c>
      <c r="X14" s="182" t="e">
        <f>IRR($B12:X12)</f>
        <v>#NUM!</v>
      </c>
      <c r="Y14" s="182" t="e">
        <f>IRR($B12:Y12)</f>
        <v>#NUM!</v>
      </c>
      <c r="Z14" s="182" t="e">
        <f>IRR($B12:Z12)</f>
        <v>#NUM!</v>
      </c>
      <c r="AA14" s="182" t="e">
        <f>IRR($B12:AA12)</f>
        <v>#NUM!</v>
      </c>
      <c r="AB14" s="182" t="e">
        <f>IRR($B12:AB12)</f>
        <v>#NUM!</v>
      </c>
      <c r="AC14" s="182" t="e">
        <f>IRR($B12:AC12)</f>
        <v>#NUM!</v>
      </c>
      <c r="AD14" s="182" t="e">
        <f>IRR($B12:AD12)</f>
        <v>#NUM!</v>
      </c>
      <c r="AE14" s="182" t="e">
        <f>IRR($B12:AE12)</f>
        <v>#NUM!</v>
      </c>
      <c r="AF14" s="182" t="e">
        <f>IRR($B12:AF12)</f>
        <v>#NUM!</v>
      </c>
    </row>
    <row r="17" spans="1:32">
      <c r="A17" t="s">
        <v>20</v>
      </c>
      <c r="B17" s="16">
        <v>0</v>
      </c>
      <c r="C17" s="16">
        <f>'Cash Flow'!D24</f>
        <v>0</v>
      </c>
      <c r="D17" s="16">
        <f>C17</f>
        <v>0</v>
      </c>
      <c r="E17" s="16">
        <f t="shared" ref="E17:AF18" si="1">D17</f>
        <v>0</v>
      </c>
      <c r="F17" s="16">
        <f t="shared" si="1"/>
        <v>0</v>
      </c>
      <c r="G17" s="16">
        <f t="shared" si="1"/>
        <v>0</v>
      </c>
      <c r="H17" s="16">
        <f t="shared" si="1"/>
        <v>0</v>
      </c>
      <c r="I17" s="16">
        <f t="shared" si="1"/>
        <v>0</v>
      </c>
      <c r="J17" s="16">
        <f t="shared" si="1"/>
        <v>0</v>
      </c>
      <c r="K17" s="16">
        <f t="shared" si="1"/>
        <v>0</v>
      </c>
      <c r="L17" s="16">
        <f>K17-'MG Unit Model 2'!D11</f>
        <v>0</v>
      </c>
      <c r="M17" s="16">
        <f>K17</f>
        <v>0</v>
      </c>
      <c r="N17" s="16">
        <f t="shared" si="1"/>
        <v>0</v>
      </c>
      <c r="O17" s="16">
        <f t="shared" si="1"/>
        <v>0</v>
      </c>
      <c r="P17" s="16">
        <f t="shared" si="1"/>
        <v>0</v>
      </c>
      <c r="Q17" s="16">
        <f t="shared" si="1"/>
        <v>0</v>
      </c>
      <c r="R17" s="16">
        <f t="shared" si="1"/>
        <v>0</v>
      </c>
      <c r="S17" s="16">
        <f t="shared" si="1"/>
        <v>0</v>
      </c>
      <c r="T17" s="16">
        <f t="shared" si="1"/>
        <v>0</v>
      </c>
      <c r="U17" s="16">
        <f t="shared" si="1"/>
        <v>0</v>
      </c>
      <c r="V17" s="16">
        <f>L17</f>
        <v>0</v>
      </c>
      <c r="W17" s="16">
        <f>U17</f>
        <v>0</v>
      </c>
      <c r="X17" s="16">
        <f t="shared" si="1"/>
        <v>0</v>
      </c>
      <c r="Y17" s="16">
        <f t="shared" si="1"/>
        <v>0</v>
      </c>
      <c r="Z17" s="16">
        <f t="shared" si="1"/>
        <v>0</v>
      </c>
      <c r="AA17" s="16">
        <f t="shared" si="1"/>
        <v>0</v>
      </c>
      <c r="AB17" s="16">
        <f t="shared" si="1"/>
        <v>0</v>
      </c>
      <c r="AC17" s="16">
        <f t="shared" si="1"/>
        <v>0</v>
      </c>
      <c r="AD17" s="16">
        <f t="shared" si="1"/>
        <v>0</v>
      </c>
      <c r="AE17" s="16">
        <f t="shared" si="1"/>
        <v>0</v>
      </c>
      <c r="AF17" s="16">
        <f t="shared" si="1"/>
        <v>0</v>
      </c>
    </row>
    <row r="18" spans="1:32">
      <c r="B18" s="16">
        <f>B17</f>
        <v>0</v>
      </c>
      <c r="C18" s="16">
        <f>'Cash Flow'!D25</f>
        <v>0</v>
      </c>
      <c r="D18" s="16">
        <f>C18</f>
        <v>0</v>
      </c>
      <c r="E18" s="16">
        <f t="shared" si="1"/>
        <v>0</v>
      </c>
      <c r="F18" s="16">
        <f t="shared" si="1"/>
        <v>0</v>
      </c>
      <c r="G18" s="16">
        <f t="shared" si="1"/>
        <v>0</v>
      </c>
      <c r="H18" s="16">
        <f t="shared" si="1"/>
        <v>0</v>
      </c>
      <c r="I18" s="16">
        <f t="shared" si="1"/>
        <v>0</v>
      </c>
      <c r="J18" s="16">
        <f t="shared" si="1"/>
        <v>0</v>
      </c>
      <c r="K18" s="16">
        <f t="shared" si="1"/>
        <v>0</v>
      </c>
      <c r="L18" s="16">
        <f>K18-'MG Unit Model 2'!D11</f>
        <v>0</v>
      </c>
      <c r="M18" s="16">
        <f>K18</f>
        <v>0</v>
      </c>
      <c r="N18" s="16">
        <f t="shared" si="1"/>
        <v>0</v>
      </c>
      <c r="O18" s="16">
        <f t="shared" si="1"/>
        <v>0</v>
      </c>
      <c r="P18" s="16">
        <f t="shared" si="1"/>
        <v>0</v>
      </c>
      <c r="Q18" s="16">
        <f t="shared" si="1"/>
        <v>0</v>
      </c>
      <c r="R18" s="16">
        <f t="shared" si="1"/>
        <v>0</v>
      </c>
      <c r="S18" s="16">
        <f t="shared" si="1"/>
        <v>0</v>
      </c>
      <c r="T18" s="16">
        <f t="shared" si="1"/>
        <v>0</v>
      </c>
      <c r="U18" s="16">
        <f t="shared" si="1"/>
        <v>0</v>
      </c>
      <c r="V18" s="16">
        <f>L18</f>
        <v>0</v>
      </c>
      <c r="W18" s="16">
        <f>U18</f>
        <v>0</v>
      </c>
      <c r="X18" s="16">
        <f t="shared" si="1"/>
        <v>0</v>
      </c>
      <c r="Y18" s="16">
        <f t="shared" si="1"/>
        <v>0</v>
      </c>
      <c r="Z18" s="16">
        <f t="shared" si="1"/>
        <v>0</v>
      </c>
      <c r="AA18" s="16">
        <f t="shared" si="1"/>
        <v>0</v>
      </c>
      <c r="AB18" s="16">
        <f t="shared" si="1"/>
        <v>0</v>
      </c>
      <c r="AC18" s="16">
        <f t="shared" si="1"/>
        <v>0</v>
      </c>
      <c r="AD18" s="16">
        <f t="shared" si="1"/>
        <v>0</v>
      </c>
      <c r="AE18" s="16">
        <f t="shared" si="1"/>
        <v>0</v>
      </c>
      <c r="AF18" s="16">
        <f t="shared" si="1"/>
        <v>0</v>
      </c>
    </row>
    <row r="19" spans="1:32">
      <c r="A19" t="s">
        <v>280</v>
      </c>
      <c r="C19" s="182" t="e">
        <f>IRR($B17:C17)</f>
        <v>#NUM!</v>
      </c>
      <c r="D19" s="182" t="e">
        <f>IRR($B17:D17)</f>
        <v>#NUM!</v>
      </c>
      <c r="E19" s="182" t="e">
        <f>IRR($B17:E17)</f>
        <v>#NUM!</v>
      </c>
      <c r="F19" s="182" t="e">
        <f>IRR($B17:F17)</f>
        <v>#NUM!</v>
      </c>
      <c r="G19" s="182" t="e">
        <f>IRR($B17:G17)</f>
        <v>#NUM!</v>
      </c>
      <c r="H19" s="182" t="e">
        <f>IRR($B17:H17)</f>
        <v>#NUM!</v>
      </c>
      <c r="I19" s="182" t="e">
        <f>IRR($B17:I17)</f>
        <v>#NUM!</v>
      </c>
      <c r="J19" s="182" t="e">
        <f>IRR($B17:J17)</f>
        <v>#NUM!</v>
      </c>
      <c r="K19" s="182" t="e">
        <f>IRR($B17:K17)</f>
        <v>#NUM!</v>
      </c>
      <c r="L19" s="182" t="e">
        <f>IRR($B17:L17)</f>
        <v>#NUM!</v>
      </c>
      <c r="M19" s="182" t="e">
        <f>IRR($B17:M17)</f>
        <v>#NUM!</v>
      </c>
      <c r="N19" s="182" t="e">
        <f>IRR($B17:N17)</f>
        <v>#NUM!</v>
      </c>
      <c r="O19" s="182" t="e">
        <f>IRR($B17:O17)</f>
        <v>#NUM!</v>
      </c>
      <c r="P19" s="182" t="e">
        <f>IRR($B17:P17)</f>
        <v>#NUM!</v>
      </c>
      <c r="Q19" s="182" t="e">
        <f>IRR($B17:Q17)</f>
        <v>#NUM!</v>
      </c>
      <c r="R19" s="182" t="e">
        <f>IRR($B17:R17)</f>
        <v>#NUM!</v>
      </c>
      <c r="S19" s="182" t="e">
        <f>IRR($B17:S17)</f>
        <v>#NUM!</v>
      </c>
      <c r="T19" s="182" t="e">
        <f>IRR($B17:T17)</f>
        <v>#NUM!</v>
      </c>
      <c r="U19" s="182" t="e">
        <f>IRR($B17:U17)</f>
        <v>#NUM!</v>
      </c>
      <c r="V19" s="182" t="e">
        <f>IRR($B17:V17)</f>
        <v>#NUM!</v>
      </c>
      <c r="W19" s="182" t="e">
        <f>IRR($B17:W17)</f>
        <v>#NUM!</v>
      </c>
      <c r="X19" s="182" t="e">
        <f>IRR($B17:X17)</f>
        <v>#NUM!</v>
      </c>
      <c r="Y19" s="182" t="e">
        <f>IRR($B17:Y17)</f>
        <v>#NUM!</v>
      </c>
      <c r="Z19" s="182" t="e">
        <f>IRR($B17:Z17)</f>
        <v>#NUM!</v>
      </c>
      <c r="AA19" s="182" t="e">
        <f>IRR($B17:AA17)</f>
        <v>#NUM!</v>
      </c>
      <c r="AB19" s="182" t="e">
        <f>IRR($B17:AB17)</f>
        <v>#NUM!</v>
      </c>
      <c r="AC19" s="182" t="e">
        <f>IRR($B17:AC17)</f>
        <v>#NUM!</v>
      </c>
      <c r="AD19" s="182" t="e">
        <f>IRR($B17:AD17)</f>
        <v>#NUM!</v>
      </c>
      <c r="AE19" s="182" t="e">
        <f>IRR($B17:AE17)</f>
        <v>#NUM!</v>
      </c>
      <c r="AF19" s="182" t="e">
        <f>IRR($B17:AF17)</f>
        <v>#NUM!</v>
      </c>
    </row>
    <row r="20" spans="1:32">
      <c r="A20" t="s">
        <v>413</v>
      </c>
      <c r="E20" s="182" t="e">
        <f>IRR($B18:E18)</f>
        <v>#NUM!</v>
      </c>
      <c r="F20" s="182" t="e">
        <f>IRR($B18:F18)</f>
        <v>#NUM!</v>
      </c>
      <c r="G20" s="182" t="e">
        <f>IRR($B18:G18)</f>
        <v>#NUM!</v>
      </c>
      <c r="H20" s="182" t="e">
        <f>IRR($B18:H18)</f>
        <v>#NUM!</v>
      </c>
      <c r="I20" s="182" t="e">
        <f>IRR($B18:I18)</f>
        <v>#NUM!</v>
      </c>
      <c r="J20" s="182" t="e">
        <f>IRR($B18:J18)</f>
        <v>#NUM!</v>
      </c>
      <c r="K20" s="182" t="e">
        <f>IRR($B18:K18)</f>
        <v>#NUM!</v>
      </c>
      <c r="L20" s="182" t="e">
        <f>IRR($B18:L18)</f>
        <v>#NUM!</v>
      </c>
      <c r="M20" s="182" t="e">
        <f>IRR($B18:M18)</f>
        <v>#NUM!</v>
      </c>
      <c r="N20" s="182" t="e">
        <f>IRR($B18:N18)</f>
        <v>#NUM!</v>
      </c>
      <c r="O20" s="182" t="e">
        <f>IRR($B18:O18)</f>
        <v>#NUM!</v>
      </c>
      <c r="P20" s="182" t="e">
        <f>IRR($B18:P18)</f>
        <v>#NUM!</v>
      </c>
      <c r="Q20" s="182" t="e">
        <f>IRR($B18:Q18)</f>
        <v>#NUM!</v>
      </c>
      <c r="R20" s="182" t="e">
        <f>IRR($B18:R18)</f>
        <v>#NUM!</v>
      </c>
      <c r="S20" s="182" t="e">
        <f>IRR($B18:S18)</f>
        <v>#NUM!</v>
      </c>
      <c r="T20" s="182" t="e">
        <f>IRR($B18:T18)</f>
        <v>#NUM!</v>
      </c>
      <c r="U20" s="182" t="e">
        <f>IRR($B18:U18)</f>
        <v>#NUM!</v>
      </c>
      <c r="V20" s="182" t="e">
        <f>IRR($B18:V18)</f>
        <v>#NUM!</v>
      </c>
      <c r="W20" s="182" t="e">
        <f>IRR($B18:W18)</f>
        <v>#NUM!</v>
      </c>
      <c r="X20" s="182" t="e">
        <f>IRR($B18:X18)</f>
        <v>#NUM!</v>
      </c>
      <c r="Y20" s="182" t="e">
        <f>IRR($B18:Y18)</f>
        <v>#NUM!</v>
      </c>
      <c r="Z20" s="182" t="e">
        <f>IRR($B18:Z18)</f>
        <v>#NUM!</v>
      </c>
      <c r="AA20" s="182" t="e">
        <f>IRR($B18:AA18)</f>
        <v>#NUM!</v>
      </c>
      <c r="AB20" s="182" t="e">
        <f>IRR($B18:AB18)</f>
        <v>#NUM!</v>
      </c>
      <c r="AC20" s="182" t="e">
        <f>IRR($B18:AC18)</f>
        <v>#NUM!</v>
      </c>
      <c r="AD20" s="182" t="e">
        <f>IRR($B18:AD18)</f>
        <v>#NUM!</v>
      </c>
      <c r="AE20" s="182" t="e">
        <f>IRR($B18:AE18)</f>
        <v>#NUM!</v>
      </c>
      <c r="AF20" s="182" t="e">
        <f>IRR($B18:AF18)</f>
        <v>#NUM!</v>
      </c>
    </row>
    <row r="23" spans="1:32">
      <c r="A23" t="s">
        <v>21</v>
      </c>
      <c r="B23" s="16">
        <f>-'MG Unit Model 2'!E12+('ERR Summary'!C5/8)+('ERR Summary'!C8/8)-(0.02*'MG Unit Model 2'!E12)-C62</f>
        <v>-71062.503537181648</v>
      </c>
      <c r="C23" s="16">
        <f>'Cash Flow'!E24</f>
        <v>29067.665178824875</v>
      </c>
      <c r="D23" s="16">
        <f>C23</f>
        <v>29067.665178824875</v>
      </c>
      <c r="E23" s="16">
        <f t="shared" ref="E23:AF24" si="2">D23</f>
        <v>29067.665178824875</v>
      </c>
      <c r="F23" s="16">
        <f t="shared" si="2"/>
        <v>29067.665178824875</v>
      </c>
      <c r="G23" s="16">
        <f t="shared" si="2"/>
        <v>29067.665178824875</v>
      </c>
      <c r="H23" s="16">
        <f t="shared" si="2"/>
        <v>29067.665178824875</v>
      </c>
      <c r="I23" s="16">
        <f t="shared" si="2"/>
        <v>29067.665178824875</v>
      </c>
      <c r="J23" s="16">
        <f t="shared" si="2"/>
        <v>29067.665178824875</v>
      </c>
      <c r="K23" s="16">
        <f t="shared" si="2"/>
        <v>29067.665178824875</v>
      </c>
      <c r="L23" s="16">
        <f>K23-'MG Unit Model 2'!E11</f>
        <v>24867.665178824875</v>
      </c>
      <c r="M23" s="16">
        <f>K23</f>
        <v>29067.665178824875</v>
      </c>
      <c r="N23" s="16">
        <f t="shared" si="2"/>
        <v>29067.665178824875</v>
      </c>
      <c r="O23" s="16">
        <f t="shared" si="2"/>
        <v>29067.665178824875</v>
      </c>
      <c r="P23" s="16">
        <f t="shared" si="2"/>
        <v>29067.665178824875</v>
      </c>
      <c r="Q23" s="16">
        <f t="shared" si="2"/>
        <v>29067.665178824875</v>
      </c>
      <c r="R23" s="16">
        <f t="shared" si="2"/>
        <v>29067.665178824875</v>
      </c>
      <c r="S23" s="16">
        <f t="shared" si="2"/>
        <v>29067.665178824875</v>
      </c>
      <c r="T23" s="16">
        <f t="shared" si="2"/>
        <v>29067.665178824875</v>
      </c>
      <c r="U23" s="16">
        <f t="shared" si="2"/>
        <v>29067.665178824875</v>
      </c>
      <c r="V23" s="16">
        <f>L23</f>
        <v>24867.665178824875</v>
      </c>
      <c r="W23" s="16">
        <f>U23</f>
        <v>29067.665178824875</v>
      </c>
      <c r="X23" s="16">
        <f t="shared" si="2"/>
        <v>29067.665178824875</v>
      </c>
      <c r="Y23" s="16">
        <f t="shared" si="2"/>
        <v>29067.665178824875</v>
      </c>
      <c r="Z23" s="16">
        <f t="shared" si="2"/>
        <v>29067.665178824875</v>
      </c>
      <c r="AA23" s="16">
        <f t="shared" si="2"/>
        <v>29067.665178824875</v>
      </c>
      <c r="AB23" s="16">
        <f t="shared" si="2"/>
        <v>29067.665178824875</v>
      </c>
      <c r="AC23" s="16">
        <f t="shared" si="2"/>
        <v>29067.665178824875</v>
      </c>
      <c r="AD23" s="16">
        <f t="shared" si="2"/>
        <v>29067.665178824875</v>
      </c>
      <c r="AE23" s="16">
        <f t="shared" si="2"/>
        <v>29067.665178824875</v>
      </c>
      <c r="AF23" s="16">
        <f t="shared" si="2"/>
        <v>29067.665178824875</v>
      </c>
    </row>
    <row r="24" spans="1:32">
      <c r="B24" s="16">
        <f>B23</f>
        <v>-71062.503537181648</v>
      </c>
      <c r="C24" s="16">
        <f>'Cash Flow'!E25</f>
        <v>67615.012016277251</v>
      </c>
      <c r="D24" s="16">
        <f>C24</f>
        <v>67615.012016277251</v>
      </c>
      <c r="E24" s="16">
        <f t="shared" si="2"/>
        <v>67615.012016277251</v>
      </c>
      <c r="F24" s="16">
        <f t="shared" si="2"/>
        <v>67615.012016277251</v>
      </c>
      <c r="G24" s="16">
        <f t="shared" si="2"/>
        <v>67615.012016277251</v>
      </c>
      <c r="H24" s="16">
        <f t="shared" si="2"/>
        <v>67615.012016277251</v>
      </c>
      <c r="I24" s="16">
        <f t="shared" si="2"/>
        <v>67615.012016277251</v>
      </c>
      <c r="J24" s="16">
        <f t="shared" si="2"/>
        <v>67615.012016277251</v>
      </c>
      <c r="K24" s="16">
        <f t="shared" si="2"/>
        <v>67615.012016277251</v>
      </c>
      <c r="L24" s="16">
        <f>K24-'MG Unit Model 2'!E11</f>
        <v>63415.012016277251</v>
      </c>
      <c r="M24" s="16">
        <f>K24</f>
        <v>67615.012016277251</v>
      </c>
      <c r="N24" s="16">
        <f t="shared" si="2"/>
        <v>67615.012016277251</v>
      </c>
      <c r="O24" s="16">
        <f t="shared" si="2"/>
        <v>67615.012016277251</v>
      </c>
      <c r="P24" s="16">
        <f t="shared" si="2"/>
        <v>67615.012016277251</v>
      </c>
      <c r="Q24" s="16">
        <f t="shared" si="2"/>
        <v>67615.012016277251</v>
      </c>
      <c r="R24" s="16">
        <f t="shared" si="2"/>
        <v>67615.012016277251</v>
      </c>
      <c r="S24" s="16">
        <f t="shared" si="2"/>
        <v>67615.012016277251</v>
      </c>
      <c r="T24" s="16">
        <f t="shared" si="2"/>
        <v>67615.012016277251</v>
      </c>
      <c r="U24" s="16">
        <f t="shared" si="2"/>
        <v>67615.012016277251</v>
      </c>
      <c r="V24" s="16">
        <f>L24</f>
        <v>63415.012016277251</v>
      </c>
      <c r="W24" s="16">
        <f>U24</f>
        <v>67615.012016277251</v>
      </c>
      <c r="X24" s="16">
        <f t="shared" si="2"/>
        <v>67615.012016277251</v>
      </c>
      <c r="Y24" s="16">
        <f t="shared" si="2"/>
        <v>67615.012016277251</v>
      </c>
      <c r="Z24" s="16">
        <f t="shared" si="2"/>
        <v>67615.012016277251</v>
      </c>
      <c r="AA24" s="16">
        <f t="shared" si="2"/>
        <v>67615.012016277251</v>
      </c>
      <c r="AB24" s="16">
        <f t="shared" si="2"/>
        <v>67615.012016277251</v>
      </c>
      <c r="AC24" s="16">
        <f t="shared" si="2"/>
        <v>67615.012016277251</v>
      </c>
      <c r="AD24" s="16">
        <f t="shared" si="2"/>
        <v>67615.012016277251</v>
      </c>
      <c r="AE24" s="16">
        <f t="shared" si="2"/>
        <v>67615.012016277251</v>
      </c>
      <c r="AF24" s="16">
        <f t="shared" si="2"/>
        <v>67615.012016277251</v>
      </c>
    </row>
    <row r="25" spans="1:32">
      <c r="A25" t="s">
        <v>281</v>
      </c>
      <c r="C25" s="182">
        <f>IF(ISERR(IRR($B23:C23)),"Doesn't exist",IRR($B23:C23))</f>
        <v>-0.59095635909286592</v>
      </c>
      <c r="D25" s="182">
        <f>IF(ISERR(IRR($B23:D23)),"Doesn't exist",IRR($B23:D23))</f>
        <v>-0.12400754284756332</v>
      </c>
      <c r="E25" s="182">
        <f>IF(ISERR(IRR($B23:E23)),"Doesn't exist",IRR($B23:E23))</f>
        <v>0.10976192915684302</v>
      </c>
      <c r="F25" s="182">
        <f>IF(ISERR(IRR($B23:F23)),"Doesn't exist",IRR($B23:F23))</f>
        <v>0.23079448776454359</v>
      </c>
      <c r="G25" s="182">
        <f>IF(ISERR(IRR($B23:G23)),"Doesn't exist",IRR($B23:G23))</f>
        <v>0.29804355293671603</v>
      </c>
      <c r="H25" s="182">
        <f>IF(ISERR(IRR($B23:H23)),"Doesn't exist",IRR($B23:H23))</f>
        <v>0.337636660646359</v>
      </c>
      <c r="I25" s="182">
        <f>IF(ISERR(IRR($B23:I23)),"Doesn't exist",IRR($B23:I23))</f>
        <v>0.36199586155398333</v>
      </c>
      <c r="J25" s="182">
        <f>IF(ISERR(IRR($B23:J23)),"Doesn't exist",IRR($B23:J23))</f>
        <v>0.37748888546642534</v>
      </c>
      <c r="K25" s="182">
        <f>IF(ISERR(IRR($B23:K23)),"Doesn't exist",IRR($B23:K23))</f>
        <v>0.38759469418019576</v>
      </c>
      <c r="L25" s="182">
        <f>IF(ISERR(IRR($B23:L23)),"Doesn't exist",IRR($B23:L23))</f>
        <v>0.39337228361542542</v>
      </c>
      <c r="M25" s="182">
        <f>IF(ISERR(IRR($B23:M23)),"Doesn't exist",IRR($B23:M23))</f>
        <v>0.39795376950722416</v>
      </c>
      <c r="N25" s="182">
        <f>IF(ISERR(IRR($B23:N23)),"Doesn't exist",IRR($B23:N23))</f>
        <v>0.40108205809028297</v>
      </c>
      <c r="O25" s="182">
        <f>IF(ISERR(IRR($B23:O23)),"Doesn't exist",IRR($B23:O23))</f>
        <v>0.40323743737993611</v>
      </c>
      <c r="P25" s="182">
        <f>IF(ISERR(IRR($B23:P23)),"Doesn't exist",IRR($B23:P23))</f>
        <v>0.40473288900006565</v>
      </c>
      <c r="Q25" s="182">
        <f>IF(ISERR(IRR($B23:Q23)),"Doesn't exist",IRR($B23:Q23))</f>
        <v>0.40577608969362511</v>
      </c>
      <c r="R25" s="182">
        <f>IF(ISERR(IRR($B23:R23)),"Doesn't exist",IRR($B23:R23))</f>
        <v>0.40650685506776929</v>
      </c>
      <c r="S25" s="182">
        <f>IF(ISERR(IRR($B23:S23)),"Doesn't exist",IRR($B23:S23))</f>
        <v>0.40702041181120041</v>
      </c>
      <c r="T25" s="182">
        <f>IF(ISERR(IRR($B23:T23)),"Doesn't exist",IRR($B23:T23))</f>
        <v>0.40738221882811865</v>
      </c>
      <c r="U25" s="182">
        <f>IF(ISERR(IRR($B23:U23)),"Doesn't exist",IRR($B23:U23))</f>
        <v>0.40763760251769798</v>
      </c>
      <c r="V25" s="182">
        <f>IF(ISERR(IRR($B23:V23)),"Doesn't exist",IRR($B23:V23))</f>
        <v>0.40779209285344487</v>
      </c>
      <c r="W25" s="182">
        <f>IF(ISERR(IRR($B23:W23)),"Doesn't exist",IRR($B23:W23))</f>
        <v>0.40791992800127841</v>
      </c>
      <c r="X25" s="182">
        <f>IF(ISERR(IRR($B23:X23)),"Doesn't exist",IRR($B23:X23))</f>
        <v>0.40801047162277748</v>
      </c>
      <c r="Y25" s="182">
        <f>IF(ISERR(IRR($B23:Y23)),"Doesn't exist",IRR($B23:Y23))</f>
        <v>0.4080746434517124</v>
      </c>
      <c r="Z25" s="182">
        <f>IF(ISERR(IRR($B23:Z23)),"Doesn't exist",IRR($B23:Z23))</f>
        <v>0.40812014664534257</v>
      </c>
      <c r="AA25" s="182">
        <f>IF(ISERR(IRR($B23:AA23)),"Doesn't exist",IRR($B23:AA23))</f>
        <v>0.40815242402943364</v>
      </c>
      <c r="AB25" s="182">
        <f>IF(ISERR(IRR($B23:AB23)),"Doesn't exist",IRR($B23:AB23))</f>
        <v>0.40817532607682527</v>
      </c>
      <c r="AC25" s="182">
        <f>IF(ISERR(IRR($B23:AC23)),"Doesn't exist",IRR($B23:AC23))</f>
        <v>0.40819157931558236</v>
      </c>
      <c r="AD25" s="182">
        <f>IF(ISERR(IRR($B23:AD23)),"Doesn't exist",IRR($B23:AD23))</f>
        <v>0.40820311577558788</v>
      </c>
      <c r="AE25" s="182">
        <f>IF(ISERR(IRR($B23:AE23)),"Doesn't exist",IRR($B23:AE23))</f>
        <v>0.40821130523529581</v>
      </c>
      <c r="AF25" s="182">
        <f>IF(ISERR(IRR($B23:AF23)),"Doesn't exist",IRR($B23:AF23))</f>
        <v>0.40821711923760051</v>
      </c>
    </row>
    <row r="26" spans="1:32">
      <c r="A26" t="s">
        <v>413</v>
      </c>
      <c r="D26" s="182">
        <f>IRR($B24:D24)</f>
        <v>0.56101653940170815</v>
      </c>
      <c r="E26" s="182">
        <f>IRR($B24:E24)</f>
        <v>0.78387199933658258</v>
      </c>
      <c r="F26" s="182">
        <f>IRR($B24:F24)</f>
        <v>0.87440525659402213</v>
      </c>
      <c r="G26" s="182">
        <f>IRR($B24:G24)</f>
        <v>0.91449220658341268</v>
      </c>
      <c r="H26" s="182">
        <f>IRR($B24:H24)</f>
        <v>0.93326186790633292</v>
      </c>
      <c r="I26" s="182">
        <f>IRR($B24:I24)</f>
        <v>0.9423645447350304</v>
      </c>
      <c r="J26" s="182">
        <f>IRR($B24:J24)</f>
        <v>0.94687654892104622</v>
      </c>
      <c r="K26" s="182">
        <f>IRR($B24:K24)</f>
        <v>0.94914329283682952</v>
      </c>
      <c r="L26" s="182">
        <f>IRR($B24:L24)</f>
        <v>0.95022037881287913</v>
      </c>
      <c r="M26" s="182">
        <f>IRR($B24:M24)</f>
        <v>0.95080507884861709</v>
      </c>
      <c r="N26" s="182">
        <f>IRR($B24:N24)</f>
        <v>0.95110354084455584</v>
      </c>
      <c r="O26" s="182">
        <f>IRR($B24:O24)</f>
        <v>0.95125614785088564</v>
      </c>
      <c r="P26" s="182">
        <f>IRR($B24:P24)</f>
        <v>0.95133425308300668</v>
      </c>
      <c r="Q26" s="182">
        <f>IRR($B24:Q24)</f>
        <v>0.95137424989141905</v>
      </c>
      <c r="R26" s="182">
        <f>IRR($B24:R24)</f>
        <v>0.95139473818737774</v>
      </c>
      <c r="S26" s="182">
        <f>IRR($B24:S24)</f>
        <v>0.95140523511404518</v>
      </c>
      <c r="T26" s="182">
        <f>IRR($B24:T24)</f>
        <v>0.95141061360789214</v>
      </c>
      <c r="U26" s="182">
        <f>IRR($B24:U24)</f>
        <v>0.95141336962889866</v>
      </c>
      <c r="V26" s="182">
        <f>IRR($B24:V24)</f>
        <v>0.95141469417326041</v>
      </c>
      <c r="W26" s="182">
        <f>IRR($B24:W24)</f>
        <v>0.95141541787504691</v>
      </c>
      <c r="X26" s="182">
        <f>IRR($B24:X24)</f>
        <v>0.95141578873096422</v>
      </c>
      <c r="Y26" s="182">
        <f>IRR($B24:Y24)</f>
        <v>0.95141597877439699</v>
      </c>
      <c r="Z26" s="182">
        <f>IRR($B24:Z24)</f>
        <v>0.95141607616154533</v>
      </c>
      <c r="AA26" s="182">
        <f>IRR($B24:AA24)</f>
        <v>0.95141612606734682</v>
      </c>
      <c r="AB26" s="182">
        <f>IRR($B24:AB24)</f>
        <v>0.95141615164146898</v>
      </c>
      <c r="AC26" s="182">
        <f>IRR($B24:AC24)</f>
        <v>0.95141616474687996</v>
      </c>
      <c r="AD26" s="182">
        <f>IRR($B24:AD24)</f>
        <v>0.95141617146272273</v>
      </c>
      <c r="AE26" s="182">
        <f>IRR($B24:AE24)</f>
        <v>0.9514161749042449</v>
      </c>
      <c r="AF26" s="182">
        <f>IRR($B24:AF24)</f>
        <v>0.95141617666784439</v>
      </c>
    </row>
    <row r="29" spans="1:32">
      <c r="A29" t="s">
        <v>22</v>
      </c>
      <c r="B29" s="16">
        <f>-'MG Unit Model 2'!F12+('ERR Summary'!C5/8)+('ERR Summary'!C8/8)-(0.02*'MG Unit Model 2'!F12)-D62</f>
        <v>-26326.028059972428</v>
      </c>
      <c r="C29" s="16">
        <f>'Cash Flow'!F24</f>
        <v>9212.1527280108912</v>
      </c>
      <c r="D29" s="16">
        <f>C29</f>
        <v>9212.1527280108912</v>
      </c>
      <c r="E29" s="16">
        <f t="shared" ref="E29:AF30" si="3">D29</f>
        <v>9212.1527280108912</v>
      </c>
      <c r="F29" s="16">
        <f t="shared" si="3"/>
        <v>9212.1527280108912</v>
      </c>
      <c r="G29" s="16">
        <f t="shared" si="3"/>
        <v>9212.1527280108912</v>
      </c>
      <c r="H29" s="16">
        <f t="shared" si="3"/>
        <v>9212.1527280108912</v>
      </c>
      <c r="I29" s="16">
        <f t="shared" si="3"/>
        <v>9212.1527280108912</v>
      </c>
      <c r="J29" s="16">
        <f t="shared" si="3"/>
        <v>9212.1527280108912</v>
      </c>
      <c r="K29" s="16">
        <f t="shared" si="3"/>
        <v>9212.1527280108912</v>
      </c>
      <c r="L29" s="16">
        <f>K29-'MG Unit Model 2'!F11</f>
        <v>7255.6911895493522</v>
      </c>
      <c r="M29" s="16">
        <f>K29</f>
        <v>9212.1527280108912</v>
      </c>
      <c r="N29" s="16">
        <f t="shared" si="3"/>
        <v>9212.1527280108912</v>
      </c>
      <c r="O29" s="16">
        <f t="shared" si="3"/>
        <v>9212.1527280108912</v>
      </c>
      <c r="P29" s="16">
        <f t="shared" si="3"/>
        <v>9212.1527280108912</v>
      </c>
      <c r="Q29" s="16">
        <f t="shared" si="3"/>
        <v>9212.1527280108912</v>
      </c>
      <c r="R29" s="16">
        <f t="shared" si="3"/>
        <v>9212.1527280108912</v>
      </c>
      <c r="S29" s="16">
        <f t="shared" si="3"/>
        <v>9212.1527280108912</v>
      </c>
      <c r="T29" s="16">
        <f t="shared" si="3"/>
        <v>9212.1527280108912</v>
      </c>
      <c r="U29" s="16">
        <f t="shared" si="3"/>
        <v>9212.1527280108912</v>
      </c>
      <c r="V29" s="16">
        <f>L29</f>
        <v>7255.6911895493522</v>
      </c>
      <c r="W29" s="16">
        <f>U29</f>
        <v>9212.1527280108912</v>
      </c>
      <c r="X29" s="16">
        <f t="shared" si="3"/>
        <v>9212.1527280108912</v>
      </c>
      <c r="Y29" s="16">
        <f t="shared" si="3"/>
        <v>9212.1527280108912</v>
      </c>
      <c r="Z29" s="16">
        <f t="shared" si="3"/>
        <v>9212.1527280108912</v>
      </c>
      <c r="AA29" s="16">
        <f t="shared" si="3"/>
        <v>9212.1527280108912</v>
      </c>
      <c r="AB29" s="16">
        <f t="shared" si="3"/>
        <v>9212.1527280108912</v>
      </c>
      <c r="AC29" s="16">
        <f t="shared" si="3"/>
        <v>9212.1527280108912</v>
      </c>
      <c r="AD29" s="16">
        <f t="shared" si="3"/>
        <v>9212.1527280108912</v>
      </c>
      <c r="AE29" s="16">
        <f t="shared" si="3"/>
        <v>9212.1527280108912</v>
      </c>
      <c r="AF29" s="16">
        <f t="shared" si="3"/>
        <v>9212.1527280108912</v>
      </c>
    </row>
    <row r="30" spans="1:32">
      <c r="B30" s="16">
        <f>B29</f>
        <v>-26326.028059972428</v>
      </c>
      <c r="C30" s="16">
        <f>'Cash Flow'!F25</f>
        <v>20797.610730376924</v>
      </c>
      <c r="D30" s="16">
        <f>C30</f>
        <v>20797.610730376924</v>
      </c>
      <c r="E30" s="16">
        <f t="shared" si="3"/>
        <v>20797.610730376924</v>
      </c>
      <c r="F30" s="16">
        <f t="shared" si="3"/>
        <v>20797.610730376924</v>
      </c>
      <c r="G30" s="16">
        <f t="shared" si="3"/>
        <v>20797.610730376924</v>
      </c>
      <c r="H30" s="16">
        <f t="shared" si="3"/>
        <v>20797.610730376924</v>
      </c>
      <c r="I30" s="16">
        <f t="shared" si="3"/>
        <v>20797.610730376924</v>
      </c>
      <c r="J30" s="16">
        <f t="shared" si="3"/>
        <v>20797.610730376924</v>
      </c>
      <c r="K30" s="16">
        <f t="shared" si="3"/>
        <v>20797.610730376924</v>
      </c>
      <c r="L30" s="16">
        <f>K30-'MG Unit Model 2'!F11</f>
        <v>18841.149191915385</v>
      </c>
      <c r="M30" s="16">
        <f>K30</f>
        <v>20797.610730376924</v>
      </c>
      <c r="N30" s="16">
        <f t="shared" si="3"/>
        <v>20797.610730376924</v>
      </c>
      <c r="O30" s="16">
        <f t="shared" si="3"/>
        <v>20797.610730376924</v>
      </c>
      <c r="P30" s="16">
        <f t="shared" si="3"/>
        <v>20797.610730376924</v>
      </c>
      <c r="Q30" s="16">
        <f t="shared" si="3"/>
        <v>20797.610730376924</v>
      </c>
      <c r="R30" s="16">
        <f t="shared" si="3"/>
        <v>20797.610730376924</v>
      </c>
      <c r="S30" s="16">
        <f t="shared" si="3"/>
        <v>20797.610730376924</v>
      </c>
      <c r="T30" s="16">
        <f t="shared" si="3"/>
        <v>20797.610730376924</v>
      </c>
      <c r="U30" s="16">
        <f t="shared" si="3"/>
        <v>20797.610730376924</v>
      </c>
      <c r="V30" s="16">
        <f>L30</f>
        <v>18841.149191915385</v>
      </c>
      <c r="W30" s="16">
        <f>U30</f>
        <v>20797.610730376924</v>
      </c>
      <c r="X30" s="16">
        <f t="shared" si="3"/>
        <v>20797.610730376924</v>
      </c>
      <c r="Y30" s="16">
        <f t="shared" si="3"/>
        <v>20797.610730376924</v>
      </c>
      <c r="Z30" s="16">
        <f t="shared" si="3"/>
        <v>20797.610730376924</v>
      </c>
      <c r="AA30" s="16">
        <f t="shared" si="3"/>
        <v>20797.610730376924</v>
      </c>
      <c r="AB30" s="16">
        <f t="shared" si="3"/>
        <v>20797.610730376924</v>
      </c>
      <c r="AC30" s="16">
        <f t="shared" si="3"/>
        <v>20797.610730376924</v>
      </c>
      <c r="AD30" s="16">
        <f t="shared" si="3"/>
        <v>20797.610730376924</v>
      </c>
      <c r="AE30" s="16">
        <f t="shared" si="3"/>
        <v>20797.610730376924</v>
      </c>
      <c r="AF30" s="16">
        <f t="shared" si="3"/>
        <v>20797.610730376924</v>
      </c>
    </row>
    <row r="31" spans="1:32">
      <c r="A31" t="s">
        <v>282</v>
      </c>
      <c r="C31" s="182">
        <f>IF(ISERR(IRR($B29:C29)),"Doesn't exist",IRR($B29:C29))</f>
        <v>-0.65007434060979497</v>
      </c>
      <c r="D31" s="182">
        <f>IF(ISERR(IRR($B29:D29)),"Doesn't exist",IRR($B29:D29))</f>
        <v>-0.20815983147141526</v>
      </c>
      <c r="E31" s="182">
        <f>IF(ISERR(IRR($B29:E29)),"Doesn't exist",IRR($B29:E29))</f>
        <v>2.4687813560640981E-2</v>
      </c>
      <c r="F31" s="182">
        <f>IF(ISERR(IRR($B29:F29)),"Doesn't exist",IRR($B29:F29))</f>
        <v>0.14952048660435868</v>
      </c>
      <c r="G31" s="182">
        <f>IF(ISERR(IRR($B29:G29)),"Doesn't exist",IRR($B29:G29))</f>
        <v>0.22096344502515852</v>
      </c>
      <c r="H31" s="182">
        <f>IF(ISERR(IRR($B29:H29)),"Doesn't exist",IRR($B29:H29))</f>
        <v>0.26420990304992542</v>
      </c>
      <c r="I31" s="182">
        <f>IF(ISERR(IRR($B29:I29)),"Doesn't exist",IRR($B29:I29))</f>
        <v>0.29155679786547783</v>
      </c>
      <c r="J31" s="182">
        <f>IF(ISERR(IRR($B29:J29)),"Doesn't exist",IRR($B29:J29))</f>
        <v>0.30944127003866639</v>
      </c>
      <c r="K31" s="182">
        <f>IF(ISERR(IRR($B29:K29)),"Doesn't exist",IRR($B29:K29))</f>
        <v>0.3214463081316592</v>
      </c>
      <c r="L31" s="182">
        <f>IF(ISERR(IRR($B29:L29)),"Doesn't exist",IRR($B29:L29))</f>
        <v>0.32798265685027639</v>
      </c>
      <c r="M31" s="182">
        <f>IF(ISERR(IRR($B29:M29)),"Doesn't exist",IRR($B29:M29))</f>
        <v>0.33381283797285821</v>
      </c>
      <c r="N31" s="182">
        <f>IF(ISERR(IRR($B29:N29)),"Doesn't exist",IRR($B29:N29))</f>
        <v>0.33792258240648976</v>
      </c>
      <c r="O31" s="182">
        <f>IF(ISERR(IRR($B29:O29)),"Doesn't exist",IRR($B29:O29))</f>
        <v>0.34084975350365276</v>
      </c>
      <c r="P31" s="182">
        <f>IF(ISERR(IRR($B29:P29)),"Doesn't exist",IRR($B29:P29))</f>
        <v>0.3429518850396529</v>
      </c>
      <c r="Q31" s="182">
        <f>IF(ISERR(IRR($B29:Q29)),"Doesn't exist",IRR($B29:Q29))</f>
        <v>0.34447146916931071</v>
      </c>
      <c r="R31" s="182">
        <f>IF(ISERR(IRR($B29:R29)),"Doesn't exist",IRR($B29:R29))</f>
        <v>0.34557571866663772</v>
      </c>
      <c r="S31" s="182">
        <f>IF(ISERR(IRR($B29:S29)),"Doesn't exist",IRR($B29:S29))</f>
        <v>0.34638152041710235</v>
      </c>
      <c r="T31" s="182">
        <f>IF(ISERR(IRR($B29:T29)),"Doesn't exist",IRR($B29:T29))</f>
        <v>0.34697150452410908</v>
      </c>
      <c r="U31" s="182">
        <f>IF(ISERR(IRR($B29:U29)),"Doesn't exist",IRR($B29:U29))</f>
        <v>0.3474046252300782</v>
      </c>
      <c r="V31" s="182">
        <f>IF(ISERR(IRR($B29:V29)),"Doesn't exist",IRR($B29:V29))</f>
        <v>0.34765579662483592</v>
      </c>
      <c r="W31" s="182">
        <f>IF(ISERR(IRR($B29:W29)),"Doesn't exist",IRR($B29:W29))</f>
        <v>0.34789100059370415</v>
      </c>
      <c r="X31" s="182">
        <f>IF(ISERR(IRR($B29:X29)),"Doesn't exist",IRR($B29:X29))</f>
        <v>0.34806456481074211</v>
      </c>
      <c r="Y31" s="182">
        <f>IF(ISERR(IRR($B29:Y29)),"Doesn't exist",IRR($B29:Y29))</f>
        <v>0.34819277855590669</v>
      </c>
      <c r="Z31" s="182">
        <f>IF(ISERR(IRR($B29:Z29)),"Doesn't exist",IRR($B29:Z29))</f>
        <v>0.34828757038975078</v>
      </c>
      <c r="AA31" s="182">
        <f>IF(ISERR(IRR($B29:AA29)),"Doesn't exist",IRR($B29:AA29))</f>
        <v>0.34835769849599263</v>
      </c>
      <c r="AB31" s="182">
        <f>IF(ISERR(IRR($B29:AB29)),"Doesn't exist",IRR($B29:AB29))</f>
        <v>0.3484096068135083</v>
      </c>
      <c r="AC31" s="182">
        <f>IF(ISERR(IRR($B29:AC29)),"Doesn't exist",IRR($B29:AC29))</f>
        <v>0.34844804447937405</v>
      </c>
      <c r="AD31" s="182">
        <f>IF(ISERR(IRR($B29:AD29)),"Doesn't exist",IRR($B29:AD29))</f>
        <v>0.34847651622049525</v>
      </c>
      <c r="AE31" s="182">
        <f>IF(ISERR(IRR($B29:AE29)),"Doesn't exist",IRR($B29:AE29))</f>
        <v>0.34849761114062772</v>
      </c>
      <c r="AF31" s="182">
        <f>IF(ISERR(IRR($B29:AF29)),"Doesn't exist",IRR($B29:AF29))</f>
        <v>0.34851324351398194</v>
      </c>
    </row>
    <row r="32" spans="1:32">
      <c r="A32" t="s">
        <v>413</v>
      </c>
      <c r="D32" s="182">
        <f>IRR($B30:D30)</f>
        <v>0.36764041018766358</v>
      </c>
      <c r="E32" s="182">
        <f>IRR($B30:E30)</f>
        <v>0.59549014599512096</v>
      </c>
      <c r="F32" s="182">
        <f>IRR($B30:F30)</f>
        <v>0.69408716036204177</v>
      </c>
      <c r="G32" s="182">
        <f>IRR($B30:G30)</f>
        <v>0.74054826251436157</v>
      </c>
      <c r="H32" s="182">
        <f>IRR($B30:H30)</f>
        <v>0.76376021163027175</v>
      </c>
      <c r="I32" s="182">
        <f>IRR($B30:I30)</f>
        <v>0.77581644449915821</v>
      </c>
      <c r="J32" s="182">
        <f>IRR($B30:J30)</f>
        <v>0.78224122825898634</v>
      </c>
      <c r="K32" s="182">
        <f>IRR($B30:K30)</f>
        <v>0.78572325422178668</v>
      </c>
      <c r="L32" s="182">
        <f>IRR($B30:L30)</f>
        <v>0.78745315606976352</v>
      </c>
      <c r="M32" s="182">
        <f>IRR($B30:M30)</f>
        <v>0.78850791598188796</v>
      </c>
      <c r="N32" s="182">
        <f>IRR($B30:N30)</f>
        <v>0.78909273732690544</v>
      </c>
      <c r="O32" s="182">
        <f>IRR($B30:O30)</f>
        <v>0.78941793954403749</v>
      </c>
      <c r="P32" s="182">
        <f>IRR($B30:P30)</f>
        <v>0.78959910511642284</v>
      </c>
      <c r="Q32" s="182">
        <f>IRR($B30:Q30)</f>
        <v>0.78970014449803827</v>
      </c>
      <c r="R32" s="182">
        <f>IRR($B30:R30)</f>
        <v>0.78975653549976621</v>
      </c>
      <c r="S32" s="182">
        <f>IRR($B30:S30)</f>
        <v>0.78978802133139769</v>
      </c>
      <c r="T32" s="182">
        <f>IRR($B30:T30)</f>
        <v>0.78980560598349259</v>
      </c>
      <c r="U32" s="182">
        <f>IRR($B30:U30)</f>
        <v>0.78981542845618202</v>
      </c>
      <c r="V32" s="182">
        <f>IRR($B30:V30)</f>
        <v>0.78982039947547067</v>
      </c>
      <c r="W32" s="182">
        <f>IRR($B30:W30)</f>
        <v>0.7898234650123872</v>
      </c>
      <c r="X32" s="182">
        <f>IRR($B30:X30)</f>
        <v>0.78982517768444693</v>
      </c>
      <c r="Y32" s="182">
        <f>IRR($B30:Y30)</f>
        <v>0.78982613454925565</v>
      </c>
      <c r="Z32" s="182">
        <f>IRR($B30:Z30)</f>
        <v>0.78982666915313149</v>
      </c>
      <c r="AA32" s="182">
        <f>IRR($B30:AA30)</f>
        <v>0.78982696784036466</v>
      </c>
      <c r="AB32" s="182">
        <f>IRR($B30:AB30)</f>
        <v>0.78982713471986976</v>
      </c>
      <c r="AC32" s="182">
        <f>IRR($B30:AC30)</f>
        <v>0.78982722795732174</v>
      </c>
      <c r="AD32" s="182">
        <f>IRR($B30:AD30)</f>
        <v>0.78982728005020553</v>
      </c>
      <c r="AE32" s="182">
        <f>IRR($B30:AE30)</f>
        <v>0.78982730915514909</v>
      </c>
      <c r="AF32" s="182">
        <f>IRR($B30:AF30)</f>
        <v>0.78982732541645118</v>
      </c>
    </row>
    <row r="35" spans="1:32">
      <c r="A35" t="s">
        <v>283</v>
      </c>
      <c r="B35" s="16">
        <f>-'MG Unit Model 2'!G12+('ERR Summary'!C5/8)+('ERR Summary'!C8/8)-(0.02*'MG Unit Model 2'!G12)-E62</f>
        <v>-31695.641340970891</v>
      </c>
      <c r="C35" s="16">
        <f>'Cash Flow'!G24</f>
        <v>16019.339643681305</v>
      </c>
      <c r="D35" s="16">
        <f>C35</f>
        <v>16019.339643681305</v>
      </c>
      <c r="E35" s="16">
        <f t="shared" ref="E35:AF36" si="4">D35</f>
        <v>16019.339643681305</v>
      </c>
      <c r="F35" s="16">
        <f t="shared" si="4"/>
        <v>16019.339643681305</v>
      </c>
      <c r="G35" s="16">
        <f t="shared" si="4"/>
        <v>16019.339643681305</v>
      </c>
      <c r="H35" s="16">
        <f t="shared" si="4"/>
        <v>16019.339643681305</v>
      </c>
      <c r="I35" s="16">
        <f t="shared" si="4"/>
        <v>16019.339643681305</v>
      </c>
      <c r="J35" s="16">
        <f t="shared" si="4"/>
        <v>16019.339643681305</v>
      </c>
      <c r="K35" s="16">
        <f t="shared" si="4"/>
        <v>16019.339643681305</v>
      </c>
      <c r="L35" s="16">
        <f>K35-'MG Unit Model 2'!G11</f>
        <v>13927.801182142844</v>
      </c>
      <c r="M35" s="16">
        <f>K35</f>
        <v>16019.339643681305</v>
      </c>
      <c r="N35" s="16">
        <f t="shared" si="4"/>
        <v>16019.339643681305</v>
      </c>
      <c r="O35" s="16">
        <f t="shared" si="4"/>
        <v>16019.339643681305</v>
      </c>
      <c r="P35" s="16">
        <f t="shared" si="4"/>
        <v>16019.339643681305</v>
      </c>
      <c r="Q35" s="16">
        <f t="shared" si="4"/>
        <v>16019.339643681305</v>
      </c>
      <c r="R35" s="16">
        <f t="shared" si="4"/>
        <v>16019.339643681305</v>
      </c>
      <c r="S35" s="16">
        <f t="shared" si="4"/>
        <v>16019.339643681305</v>
      </c>
      <c r="T35" s="16">
        <f t="shared" si="4"/>
        <v>16019.339643681305</v>
      </c>
      <c r="U35" s="16">
        <f t="shared" si="4"/>
        <v>16019.339643681305</v>
      </c>
      <c r="V35" s="16">
        <f>L35</f>
        <v>13927.801182142844</v>
      </c>
      <c r="W35" s="16">
        <f>U35</f>
        <v>16019.339643681305</v>
      </c>
      <c r="X35" s="16">
        <f t="shared" si="4"/>
        <v>16019.339643681305</v>
      </c>
      <c r="Y35" s="16">
        <f t="shared" si="4"/>
        <v>16019.339643681305</v>
      </c>
      <c r="Z35" s="16">
        <f t="shared" si="4"/>
        <v>16019.339643681305</v>
      </c>
      <c r="AA35" s="16">
        <f t="shared" si="4"/>
        <v>16019.339643681305</v>
      </c>
      <c r="AB35" s="16">
        <f t="shared" si="4"/>
        <v>16019.339643681305</v>
      </c>
      <c r="AC35" s="16">
        <f t="shared" si="4"/>
        <v>16019.339643681305</v>
      </c>
      <c r="AD35" s="16">
        <f t="shared" si="4"/>
        <v>16019.339643681305</v>
      </c>
      <c r="AE35" s="16">
        <f t="shared" si="4"/>
        <v>16019.339643681305</v>
      </c>
      <c r="AF35" s="16">
        <f t="shared" si="4"/>
        <v>16019.339643681305</v>
      </c>
    </row>
    <row r="36" spans="1:32">
      <c r="B36" s="16">
        <f>B35</f>
        <v>-31695.641340970891</v>
      </c>
      <c r="C36" s="16">
        <f>'Cash Flow'!G25</f>
        <v>35259.156750999144</v>
      </c>
      <c r="D36" s="16">
        <f>C36</f>
        <v>35259.156750999144</v>
      </c>
      <c r="E36" s="16">
        <f t="shared" si="4"/>
        <v>35259.156750999144</v>
      </c>
      <c r="F36" s="16">
        <f t="shared" si="4"/>
        <v>35259.156750999144</v>
      </c>
      <c r="G36" s="16">
        <f t="shared" si="4"/>
        <v>35259.156750999144</v>
      </c>
      <c r="H36" s="16">
        <f t="shared" si="4"/>
        <v>35259.156750999144</v>
      </c>
      <c r="I36" s="16">
        <f t="shared" si="4"/>
        <v>35259.156750999144</v>
      </c>
      <c r="J36" s="16">
        <f t="shared" si="4"/>
        <v>35259.156750999144</v>
      </c>
      <c r="K36" s="16">
        <f t="shared" si="4"/>
        <v>35259.156750999144</v>
      </c>
      <c r="L36" s="16">
        <f>K36-'MG Unit Model 2'!G11</f>
        <v>33167.618289460683</v>
      </c>
      <c r="M36" s="16">
        <f>K36</f>
        <v>35259.156750999144</v>
      </c>
      <c r="N36" s="16">
        <f t="shared" si="4"/>
        <v>35259.156750999144</v>
      </c>
      <c r="O36" s="16">
        <f t="shared" si="4"/>
        <v>35259.156750999144</v>
      </c>
      <c r="P36" s="16">
        <f t="shared" si="4"/>
        <v>35259.156750999144</v>
      </c>
      <c r="Q36" s="16">
        <f t="shared" si="4"/>
        <v>35259.156750999144</v>
      </c>
      <c r="R36" s="16">
        <f t="shared" si="4"/>
        <v>35259.156750999144</v>
      </c>
      <c r="S36" s="16">
        <f t="shared" si="4"/>
        <v>35259.156750999144</v>
      </c>
      <c r="T36" s="16">
        <f t="shared" si="4"/>
        <v>35259.156750999144</v>
      </c>
      <c r="U36" s="16">
        <f t="shared" si="4"/>
        <v>35259.156750999144</v>
      </c>
      <c r="V36" s="16">
        <f>L36</f>
        <v>33167.618289460683</v>
      </c>
      <c r="W36" s="16">
        <f>U36</f>
        <v>35259.156750999144</v>
      </c>
      <c r="X36" s="16">
        <f t="shared" si="4"/>
        <v>35259.156750999144</v>
      </c>
      <c r="Y36" s="16">
        <f t="shared" si="4"/>
        <v>35259.156750999144</v>
      </c>
      <c r="Z36" s="16">
        <f t="shared" si="4"/>
        <v>35259.156750999144</v>
      </c>
      <c r="AA36" s="16">
        <f t="shared" si="4"/>
        <v>35259.156750999144</v>
      </c>
      <c r="AB36" s="16">
        <f t="shared" si="4"/>
        <v>35259.156750999144</v>
      </c>
      <c r="AC36" s="16">
        <f t="shared" si="4"/>
        <v>35259.156750999144</v>
      </c>
      <c r="AD36" s="16">
        <f t="shared" si="4"/>
        <v>35259.156750999144</v>
      </c>
      <c r="AE36" s="16">
        <f t="shared" si="4"/>
        <v>35259.156750999144</v>
      </c>
      <c r="AF36" s="16">
        <f t="shared" si="4"/>
        <v>35259.156750999144</v>
      </c>
    </row>
    <row r="37" spans="1:32">
      <c r="A37" t="s">
        <v>284</v>
      </c>
      <c r="C37" s="182">
        <f>IF(ISERR(IRR($B35:C35)),"Doesn't exist",IRR($B35:C35))</f>
        <v>-0.49458856278215935</v>
      </c>
      <c r="D37" s="182">
        <f>IF(ISERR(IRR($B35:D35)),"Doesn't exist",IRR($B35:D35))</f>
        <v>7.2066247933679772E-3</v>
      </c>
      <c r="E37" s="182">
        <f>IF(ISERR(IRR($B35:E35)),"Doesn't exist",IRR($B35:E35))</f>
        <v>0.24091645889494329</v>
      </c>
      <c r="F37" s="182">
        <f>IF(ISERR(IRR($B35:F35)),"Doesn't exist",IRR($B35:F35))</f>
        <v>0.35586303164799227</v>
      </c>
      <c r="G37" s="182">
        <f>IF(ISERR(IRR($B35:G35)),"Doesn't exist",IRR($B35:G35))</f>
        <v>0.41691491431820316</v>
      </c>
      <c r="H37" s="182">
        <f>IF(ISERR(IRR($B35:H35)),"Doesn't exist",IRR($B35:H35))</f>
        <v>0.45133003112484027</v>
      </c>
      <c r="I37" s="182">
        <f>IF(ISERR(IRR($B35:I35)),"Doesn't exist",IRR($B35:I35))</f>
        <v>0.4715950843786525</v>
      </c>
      <c r="J37" s="182">
        <f>IF(ISERR(IRR($B35:J35)),"Doesn't exist",IRR($B35:J35))</f>
        <v>0.48391464281243501</v>
      </c>
      <c r="K37" s="182">
        <f>IF(ISERR(IRR($B35:K35)),"Doesn't exist",IRR($B35:K35))</f>
        <v>0.49158143178933456</v>
      </c>
      <c r="L37" s="182">
        <f>IF(ISERR(IRR($B35:L35)),"Doesn't exist",IRR($B35:L35))</f>
        <v>0.49581505102433576</v>
      </c>
      <c r="M37" s="182">
        <f>IF(ISERR(IRR($B35:M35)),"Doesn't exist",IRR($B35:M35))</f>
        <v>0.49894811914447024</v>
      </c>
      <c r="N37" s="182">
        <f>IF(ISERR(IRR($B35:N35)),"Doesn't exist",IRR($B35:N35))</f>
        <v>0.50097680164987768</v>
      </c>
      <c r="O37" s="182">
        <f>IF(ISERR(IRR($B35:O35)),"Doesn't exist",IRR($B35:O35))</f>
        <v>0.50229966156088302</v>
      </c>
      <c r="P37" s="182">
        <f>IF(ISERR(IRR($B35:P35)),"Doesn't exist",IRR($B35:P35))</f>
        <v>0.50316674976276565</v>
      </c>
      <c r="Q37" s="182">
        <f>IF(ISERR(IRR($B35:Q35)),"Doesn't exist",IRR($B35:Q35))</f>
        <v>0.50373725982133455</v>
      </c>
      <c r="R37" s="182">
        <f>IF(ISERR(IRR($B35:R35)),"Doesn't exist",IRR($B35:R35))</f>
        <v>0.50411367702686016</v>
      </c>
      <c r="S37" s="182">
        <f>IF(ISERR(IRR($B35:S35)),"Doesn't exist",IRR($B35:S35))</f>
        <v>0.50436253585679292</v>
      </c>
      <c r="T37" s="182">
        <f>IF(ISERR(IRR($B35:T35)),"Doesn't exist",IRR($B35:T35))</f>
        <v>0.50452730354207342</v>
      </c>
      <c r="U37" s="182">
        <f>IF(ISERR(IRR($B35:U35)),"Doesn't exist",IRR($B35:U35))</f>
        <v>0.50463651018566047</v>
      </c>
      <c r="V37" s="182">
        <f>IF(ISERR(IRR($B35:V35)),"Doesn't exist",IRR($B35:V35))</f>
        <v>0.5046994954955315</v>
      </c>
      <c r="W37" s="182">
        <f>IF(ISERR(IRR($B35:W35)),"Doesn't exist",IRR($B35:W35))</f>
        <v>0.50474757844770091</v>
      </c>
      <c r="X37" s="182">
        <f>IF(ISERR(IRR($B35:X35)),"Doesn't exist",IRR($B35:X35))</f>
        <v>0.5047795012940921</v>
      </c>
      <c r="Y37" s="182">
        <f>IF(ISERR(IRR($B35:Y35)),"Doesn't exist",IRR($B35:Y35))</f>
        <v>0.50480070104255836</v>
      </c>
      <c r="Z37" s="182">
        <f>IF(ISERR(IRR($B35:Z35)),"Doesn't exist",IRR($B35:Z35))</f>
        <v>0.50481478237121435</v>
      </c>
      <c r="AA37" s="182">
        <f>IF(ISERR(IRR($B35:AA35)),"Doesn't exist",IRR($B35:AA35))</f>
        <v>0.50482413676425542</v>
      </c>
      <c r="AB37" s="182">
        <f>IF(ISERR(IRR($B35:AB35)),"Doesn't exist",IRR($B35:AB35))</f>
        <v>0.50483035159160772</v>
      </c>
      <c r="AC37" s="182">
        <f>IF(ISERR(IRR($B35:AC35)),"Doesn't exist",IRR($B35:AC35))</f>
        <v>0.50483448084539662</v>
      </c>
      <c r="AD37" s="182">
        <f>IF(ISERR(IRR($B35:AD35)),"Doesn't exist",IRR($B35:AD35))</f>
        <v>0.50483722453124313</v>
      </c>
      <c r="AE37" s="182">
        <f>IF(ISERR(IRR($B35:AE35)),"Doesn't exist",IRR($B35:AE35))</f>
        <v>0.50483904763480947</v>
      </c>
      <c r="AF37" s="182">
        <f>IF(ISERR(IRR($B35:AF35)),"Doesn't exist",IRR($B35:AF35))</f>
        <v>0.50484025906430063</v>
      </c>
    </row>
    <row r="38" spans="1:32">
      <c r="A38" t="s">
        <v>413</v>
      </c>
      <c r="D38" s="182">
        <f>IRR($B36:D36)</f>
        <v>0.74860877342862353</v>
      </c>
      <c r="E38" s="182">
        <f>IRR($B36:E36)</f>
        <v>0.96604594184568504</v>
      </c>
      <c r="F38" s="182">
        <f>IRR($B36:F36)</f>
        <v>1.0493629683562409</v>
      </c>
      <c r="G38" s="182">
        <f>IRR($B36:G36)</f>
        <v>1.0841387869142864</v>
      </c>
      <c r="H38" s="182">
        <f>IRR($B36:H36)</f>
        <v>1.0994378450842892</v>
      </c>
      <c r="I38" s="182">
        <f>IRR($B36:I36)</f>
        <v>1.1063825892388075</v>
      </c>
      <c r="J38" s="182">
        <f>IRR($B36:J36)</f>
        <v>1.1095933496348382</v>
      </c>
      <c r="K38" s="182">
        <f>IRR($B36:K36)</f>
        <v>1.1110935056362452</v>
      </c>
      <c r="L38" s="182">
        <f>IRR($B36:L36)</f>
        <v>1.1117568843781505</v>
      </c>
      <c r="M38" s="182">
        <f>IRR($B36:M36)</f>
        <v>1.1120895010361855</v>
      </c>
      <c r="N38" s="182">
        <f>IRR($B36:N36)</f>
        <v>1.1122466392562531</v>
      </c>
      <c r="O38" s="182">
        <f>IRR($B36:O36)</f>
        <v>1.1123209481760448</v>
      </c>
      <c r="P38" s="182">
        <f>IRR($B36:P36)</f>
        <v>1.1123561061570939</v>
      </c>
      <c r="Q38" s="182">
        <f>IRR($B36:Q36)</f>
        <v>1.1123727450509375</v>
      </c>
      <c r="R38" s="182">
        <f>IRR($B36:R36)</f>
        <v>1.1123806206978673</v>
      </c>
      <c r="S38" s="182">
        <f>IRR($B36:S36)</f>
        <v>1.1123843487300622</v>
      </c>
      <c r="T38" s="182">
        <f>IRR($B36:T36)</f>
        <v>1.1123861135048703</v>
      </c>
      <c r="U38" s="182">
        <f>IRR($B36:U36)</f>
        <v>1.1123869489293803</v>
      </c>
      <c r="V38" s="182">
        <f>IRR($B36:V36)</f>
        <v>1.1123873209540833</v>
      </c>
      <c r="W38" s="182">
        <f>IRR($B36:W36)</f>
        <v>1.1123875081747299</v>
      </c>
      <c r="X38" s="182">
        <f>IRR($B36:X36)</f>
        <v>1.1123875968043806</v>
      </c>
      <c r="Y38" s="182">
        <f>IRR($B36:Y36)</f>
        <v>1.1123876387614215</v>
      </c>
      <c r="Z38" s="182">
        <f>IRR($B36:Z36)</f>
        <v>1.1123876586237817</v>
      </c>
      <c r="AA38" s="182">
        <f>IRR($B36:AA36)</f>
        <v>1.1123876680265727</v>
      </c>
      <c r="AB38" s="182">
        <f>IRR($B36:AB36)</f>
        <v>1.112387672477825</v>
      </c>
      <c r="AC38" s="182">
        <f>IRR($B36:AC36)</f>
        <v>1.1123876745850252</v>
      </c>
      <c r="AD38" s="182">
        <f>IRR($B36:AD36)</f>
        <v>1.1123876755825539</v>
      </c>
      <c r="AE38" s="182">
        <f>IRR($B36:AE36)</f>
        <v>1.1123876760547611</v>
      </c>
      <c r="AF38" s="182">
        <f>IRR($B36:AF36)</f>
        <v>1.1123876762782792</v>
      </c>
    </row>
    <row r="41" spans="1:32">
      <c r="A41" t="s">
        <v>26</v>
      </c>
      <c r="B41" s="16">
        <f>-'MG Unit Model 2'!H12+('ERR Summary'!C5/8)+('ERR Summary'!C8/8)-(0.02*'MG Unit Model 2'!H12)-F62</f>
        <v>-72049.909444933641</v>
      </c>
      <c r="C41" s="16">
        <f>'Cash Flow'!H24</f>
        <v>24369.470681827774</v>
      </c>
      <c r="D41" s="16">
        <f>C41</f>
        <v>24369.470681827774</v>
      </c>
      <c r="E41" s="16">
        <f t="shared" ref="E41:AF42" si="5">D41</f>
        <v>24369.470681827774</v>
      </c>
      <c r="F41" s="16">
        <f t="shared" si="5"/>
        <v>24369.470681827774</v>
      </c>
      <c r="G41" s="16">
        <f t="shared" si="5"/>
        <v>24369.470681827774</v>
      </c>
      <c r="H41" s="16">
        <f t="shared" si="5"/>
        <v>24369.470681827774</v>
      </c>
      <c r="I41" s="16">
        <f t="shared" si="5"/>
        <v>24369.470681827774</v>
      </c>
      <c r="J41" s="16">
        <f t="shared" si="5"/>
        <v>24369.470681827774</v>
      </c>
      <c r="K41" s="16">
        <f t="shared" si="5"/>
        <v>24369.470681827774</v>
      </c>
      <c r="L41" s="16">
        <f>K41-'MG Unit Model 2'!H11</f>
        <v>20169.470681827774</v>
      </c>
      <c r="M41" s="16">
        <f>K41</f>
        <v>24369.470681827774</v>
      </c>
      <c r="N41" s="16">
        <f t="shared" si="5"/>
        <v>24369.470681827774</v>
      </c>
      <c r="O41" s="16">
        <f t="shared" si="5"/>
        <v>24369.470681827774</v>
      </c>
      <c r="P41" s="16">
        <f t="shared" si="5"/>
        <v>24369.470681827774</v>
      </c>
      <c r="Q41" s="16">
        <f t="shared" si="5"/>
        <v>24369.470681827774</v>
      </c>
      <c r="R41" s="16">
        <f t="shared" si="5"/>
        <v>24369.470681827774</v>
      </c>
      <c r="S41" s="16">
        <f t="shared" si="5"/>
        <v>24369.470681827774</v>
      </c>
      <c r="T41" s="16">
        <f t="shared" si="5"/>
        <v>24369.470681827774</v>
      </c>
      <c r="U41" s="16">
        <f t="shared" si="5"/>
        <v>24369.470681827774</v>
      </c>
      <c r="V41" s="16">
        <f>L41</f>
        <v>20169.470681827774</v>
      </c>
      <c r="W41" s="16">
        <f>U41</f>
        <v>24369.470681827774</v>
      </c>
      <c r="X41" s="16">
        <f t="shared" si="5"/>
        <v>24369.470681827774</v>
      </c>
      <c r="Y41" s="16">
        <f t="shared" si="5"/>
        <v>24369.470681827774</v>
      </c>
      <c r="Z41" s="16">
        <f t="shared" si="5"/>
        <v>24369.470681827774</v>
      </c>
      <c r="AA41" s="16">
        <f t="shared" si="5"/>
        <v>24369.470681827774</v>
      </c>
      <c r="AB41" s="16">
        <f t="shared" si="5"/>
        <v>24369.470681827774</v>
      </c>
      <c r="AC41" s="16">
        <f t="shared" si="5"/>
        <v>24369.470681827774</v>
      </c>
      <c r="AD41" s="16">
        <f t="shared" si="5"/>
        <v>24369.470681827774</v>
      </c>
      <c r="AE41" s="16">
        <f t="shared" si="5"/>
        <v>24369.470681827774</v>
      </c>
      <c r="AF41" s="16">
        <f t="shared" si="5"/>
        <v>24369.470681827774</v>
      </c>
    </row>
    <row r="42" spans="1:32">
      <c r="B42" s="16">
        <f>B41</f>
        <v>-72049.909444933641</v>
      </c>
      <c r="C42" s="16">
        <f>'Cash Flow'!H25</f>
        <v>57569.899999720699</v>
      </c>
      <c r="D42" s="16">
        <f>C42</f>
        <v>57569.899999720699</v>
      </c>
      <c r="E42" s="16">
        <f t="shared" si="5"/>
        <v>57569.899999720699</v>
      </c>
      <c r="F42" s="16">
        <f t="shared" si="5"/>
        <v>57569.899999720699</v>
      </c>
      <c r="G42" s="16">
        <f t="shared" si="5"/>
        <v>57569.899999720699</v>
      </c>
      <c r="H42" s="16">
        <f t="shared" si="5"/>
        <v>57569.899999720699</v>
      </c>
      <c r="I42" s="16">
        <f t="shared" si="5"/>
        <v>57569.899999720699</v>
      </c>
      <c r="J42" s="16">
        <f t="shared" si="5"/>
        <v>57569.899999720699</v>
      </c>
      <c r="K42" s="16">
        <f t="shared" si="5"/>
        <v>57569.899999720699</v>
      </c>
      <c r="L42" s="16">
        <f>K42-'MG Unit Model 2'!H11</f>
        <v>53369.899999720699</v>
      </c>
      <c r="M42" s="16">
        <f>K42</f>
        <v>57569.899999720699</v>
      </c>
      <c r="N42" s="16">
        <f t="shared" si="5"/>
        <v>57569.899999720699</v>
      </c>
      <c r="O42" s="16">
        <f t="shared" si="5"/>
        <v>57569.899999720699</v>
      </c>
      <c r="P42" s="16">
        <f t="shared" si="5"/>
        <v>57569.899999720699</v>
      </c>
      <c r="Q42" s="16">
        <f t="shared" si="5"/>
        <v>57569.899999720699</v>
      </c>
      <c r="R42" s="16">
        <f t="shared" si="5"/>
        <v>57569.899999720699</v>
      </c>
      <c r="S42" s="16">
        <f t="shared" si="5"/>
        <v>57569.899999720699</v>
      </c>
      <c r="T42" s="16">
        <f t="shared" si="5"/>
        <v>57569.899999720699</v>
      </c>
      <c r="U42" s="16">
        <f t="shared" si="5"/>
        <v>57569.899999720699</v>
      </c>
      <c r="V42" s="16">
        <f>L42</f>
        <v>53369.899999720699</v>
      </c>
      <c r="W42" s="16">
        <f>U42</f>
        <v>57569.899999720699</v>
      </c>
      <c r="X42" s="16">
        <f t="shared" si="5"/>
        <v>57569.899999720699</v>
      </c>
      <c r="Y42" s="16">
        <f t="shared" si="5"/>
        <v>57569.899999720699</v>
      </c>
      <c r="Z42" s="16">
        <f t="shared" si="5"/>
        <v>57569.899999720699</v>
      </c>
      <c r="AA42" s="16">
        <f t="shared" si="5"/>
        <v>57569.899999720699</v>
      </c>
      <c r="AB42" s="16">
        <f t="shared" si="5"/>
        <v>57569.899999720699</v>
      </c>
      <c r="AC42" s="16">
        <f t="shared" si="5"/>
        <v>57569.899999720699</v>
      </c>
      <c r="AD42" s="16">
        <f t="shared" si="5"/>
        <v>57569.899999720699</v>
      </c>
      <c r="AE42" s="16">
        <f t="shared" si="5"/>
        <v>57569.899999720699</v>
      </c>
      <c r="AF42" s="16">
        <f t="shared" si="5"/>
        <v>57569.899999720699</v>
      </c>
    </row>
    <row r="43" spans="1:32">
      <c r="A43" t="s">
        <v>285</v>
      </c>
      <c r="C43" s="182">
        <f>IF(ISERR(IRR($B41:C41)),"Doesn't exist",IRR($B41:C41))</f>
        <v>-0.66176958625530413</v>
      </c>
      <c r="D43" s="182">
        <f>IF(ISERR(IRR($B41:D41)),"Doesn't exist",IRR($B41:D41))</f>
        <v>-0.22521956633964113</v>
      </c>
      <c r="E43" s="182">
        <f>IF(ISERR(IRR($B41:E41)),"Doesn't exist",IRR($B41:E41))</f>
        <v>7.3277872144217326E-3</v>
      </c>
      <c r="F43" s="182">
        <f>IF(ISERR(IRR($B41:F41)),"Doesn't exist",IRR($B41:F41))</f>
        <v>0.13291191617458487</v>
      </c>
      <c r="G43" s="182">
        <f>IF(ISERR(IRR($B41:G41)),"Doesn't exist",IRR($B41:G41))</f>
        <v>0.20522316876895297</v>
      </c>
      <c r="H43" s="182">
        <f>IF(ISERR(IRR($B41:H41)),"Doesn't exist",IRR($B41:H41))</f>
        <v>0.24924209669538966</v>
      </c>
      <c r="I43" s="182">
        <f>IF(ISERR(IRR($B41:I41)),"Doesn't exist",IRR($B41:I41))</f>
        <v>0.27723082282931366</v>
      </c>
      <c r="J43" s="182">
        <f>IF(ISERR(IRR($B41:J41)),"Doesn't exist",IRR($B41:J41))</f>
        <v>0.29563653780114096</v>
      </c>
      <c r="K43" s="182">
        <f>IF(ISERR(IRR($B41:K41)),"Doesn't exist",IRR($B41:K41))</f>
        <v>0.30806154263408958</v>
      </c>
      <c r="L43" s="182">
        <f>IF(ISERR(IRR($B41:L41)),"Doesn't exist",IRR($B41:L41))</f>
        <v>0.31520211894198225</v>
      </c>
      <c r="M43" s="182">
        <f>IF(ISERR(IRR($B41:M41)),"Doesn't exist",IRR($B41:M41))</f>
        <v>0.32129112096753398</v>
      </c>
      <c r="N43" s="182">
        <f>IF(ISERR(IRR($B41:N41)),"Doesn't exist",IRR($B41:N41))</f>
        <v>0.32561018311397794</v>
      </c>
      <c r="O43" s="182">
        <f>IF(ISERR(IRR($B41:O41)),"Doesn't exist",IRR($B41:O41))</f>
        <v>0.32870630973958059</v>
      </c>
      <c r="P43" s="182">
        <f>IF(ISERR(IRR($B41:P41)),"Doesn't exist",IRR($B41:P41))</f>
        <v>0.33094459269153265</v>
      </c>
      <c r="Q43" s="182">
        <f>IF(ISERR(IRR($B41:Q41)),"Doesn't exist",IRR($B41:Q41))</f>
        <v>0.33257370969104127</v>
      </c>
      <c r="R43" s="182">
        <f>IF(ISERR(IRR($B41:R41)),"Doesn't exist",IRR($B41:R41))</f>
        <v>0.3337659176761929</v>
      </c>
      <c r="S43" s="182">
        <f>IF(ISERR(IRR($B41:S41)),"Doesn't exist",IRR($B41:S41))</f>
        <v>0.334642212918419</v>
      </c>
      <c r="T43" s="182">
        <f>IF(ISERR(IRR($B41:T41)),"Doesn't exist",IRR($B41:T41))</f>
        <v>0.33528857274286072</v>
      </c>
      <c r="U43" s="182">
        <f>IF(ISERR(IRR($B41:U41)),"Doesn't exist",IRR($B41:U41))</f>
        <v>0.33576667716377906</v>
      </c>
      <c r="V43" s="182">
        <f>IF(ISERR(IRR($B41:V41)),"Doesn't exist",IRR($B41:V41))</f>
        <v>0.33606025443225596</v>
      </c>
      <c r="W43" s="182">
        <f>IF(ISERR(IRR($B41:W41)),"Doesn't exist",IRR($B41:W41))</f>
        <v>0.33632390364642029</v>
      </c>
      <c r="X43" s="182">
        <f>IF(ISERR(IRR($B41:X41)),"Doesn't exist",IRR($B41:X41))</f>
        <v>0.33652000653836578</v>
      </c>
      <c r="Y43" s="182">
        <f>IF(ISERR(IRR($B41:Y41)),"Doesn't exist",IRR($B41:Y41))</f>
        <v>0.33666603667712725</v>
      </c>
      <c r="Z43" s="182">
        <f>IF(ISERR(IRR($B41:Z41)),"Doesn't exist",IRR($B41:Z41))</f>
        <v>0.33677487940887585</v>
      </c>
      <c r="AA43" s="182">
        <f>IF(ISERR(IRR($B41:AA41)),"Doesn't exist",IRR($B41:AA41))</f>
        <v>0.33685606380294408</v>
      </c>
      <c r="AB43" s="182">
        <f>IF(ISERR(IRR($B41:AB41)),"Doesn't exist",IRR($B41:AB41))</f>
        <v>0.33691665311729802</v>
      </c>
      <c r="AC43" s="182">
        <f>IF(ISERR(IRR($B41:AC41)),"Doesn't exist",IRR($B41:AC41))</f>
        <v>0.33696189256964137</v>
      </c>
      <c r="AD43" s="182">
        <f>IF(ISERR(IRR($B41:AD41)),"Doesn't exist",IRR($B41:AD41))</f>
        <v>0.33699568306887029</v>
      </c>
      <c r="AE43" s="182">
        <f>IF(ISERR(IRR($B41:AE41)),"Doesn't exist",IRR($B41:AE41))</f>
        <v>0.33702092918641102</v>
      </c>
      <c r="AF43" s="182">
        <f>IF(ISERR(IRR($B41:AF41)),"Doesn't exist",IRR($B41:AF41))</f>
        <v>0.33703979567011944</v>
      </c>
    </row>
    <row r="44" spans="1:32">
      <c r="A44" t="s">
        <v>413</v>
      </c>
      <c r="D44" s="182">
        <f>IRR($B42:D42)</f>
        <v>0.37861542467595855</v>
      </c>
      <c r="E44" s="182">
        <f>IRR($B42:E42)</f>
        <v>0.60620491334645243</v>
      </c>
      <c r="F44" s="182">
        <f>IRR($B42:F42)</f>
        <v>0.70432827324202174</v>
      </c>
      <c r="G44" s="182">
        <f>IRR($B42:G42)</f>
        <v>0.75040149662366518</v>
      </c>
      <c r="H44" s="182">
        <f>IRR($B42:H42)</f>
        <v>0.77333491306377833</v>
      </c>
      <c r="I44" s="182">
        <f>IRR($B42:I42)</f>
        <v>0.78520025728828013</v>
      </c>
      <c r="J44" s="182">
        <f>IRR($B42:J42)</f>
        <v>0.79149741737959145</v>
      </c>
      <c r="K44" s="182">
        <f>IRR($B42:K42)</f>
        <v>0.79489560274141602</v>
      </c>
      <c r="L44" s="182">
        <f>IRR($B42:L42)</f>
        <v>0.79661513646635385</v>
      </c>
      <c r="M44" s="182">
        <f>IRR($B42:M42)</f>
        <v>0.79763473965213061</v>
      </c>
      <c r="N44" s="182">
        <f>IRR($B42:N42)</f>
        <v>0.7981973806912912</v>
      </c>
      <c r="O44" s="182">
        <f>IRR($B42:O42)</f>
        <v>0.79850873460853489</v>
      </c>
      <c r="P44" s="182">
        <f>IRR($B42:P42)</f>
        <v>0.79868133488550508</v>
      </c>
      <c r="Q44" s="182">
        <f>IRR($B42:Q42)</f>
        <v>0.7987771208456278</v>
      </c>
      <c r="R44" s="182">
        <f>IRR($B42:R42)</f>
        <v>0.79883031363221946</v>
      </c>
      <c r="S44" s="182">
        <f>IRR($B42:S42)</f>
        <v>0.79885986520559782</v>
      </c>
      <c r="T44" s="182">
        <f>IRR($B42:T42)</f>
        <v>0.79887628680953848</v>
      </c>
      <c r="U44" s="182">
        <f>IRR($B42:U42)</f>
        <v>0.79888541353314246</v>
      </c>
      <c r="V44" s="182">
        <f>IRR($B42:V42)</f>
        <v>0.79889011631946083</v>
      </c>
      <c r="W44" s="182">
        <f>IRR($B42:W42)</f>
        <v>0.79889293610953094</v>
      </c>
      <c r="X44" s="182">
        <f>IRR($B42:X42)</f>
        <v>0.79889450355059788</v>
      </c>
      <c r="Y44" s="182">
        <f>IRR($B42:Y42)</f>
        <v>0.79889537486258155</v>
      </c>
      <c r="Z44" s="182">
        <f>IRR($B42:Z42)</f>
        <v>0.79889585921433204</v>
      </c>
      <c r="AA44" s="182">
        <f>IRR($B42:AA42)</f>
        <v>0.7988961284613052</v>
      </c>
      <c r="AB44" s="182">
        <f>IRR($B42:AB42)</f>
        <v>0.79889627813394015</v>
      </c>
      <c r="AC44" s="182">
        <f>IRR($B42:AC42)</f>
        <v>0.7988963613361626</v>
      </c>
      <c r="AD44" s="182">
        <f>IRR($B42:AD42)</f>
        <v>0.79889640758789437</v>
      </c>
      <c r="AE44" s="182">
        <f>IRR($B42:AE42)</f>
        <v>0.79889643329903781</v>
      </c>
      <c r="AF44" s="182">
        <f>IRR($B42:AF42)</f>
        <v>0.79889644759176015</v>
      </c>
    </row>
    <row r="47" spans="1:32">
      <c r="A47" t="s">
        <v>27</v>
      </c>
      <c r="B47" s="16">
        <v>0</v>
      </c>
      <c r="C47" s="16">
        <f>'Cash Flow'!I24</f>
        <v>0</v>
      </c>
      <c r="D47" s="16">
        <f>C47</f>
        <v>0</v>
      </c>
      <c r="E47" s="16">
        <f t="shared" ref="E47:AF48" si="6">D47</f>
        <v>0</v>
      </c>
      <c r="F47" s="16">
        <f t="shared" si="6"/>
        <v>0</v>
      </c>
      <c r="G47" s="16">
        <f t="shared" si="6"/>
        <v>0</v>
      </c>
      <c r="H47" s="16">
        <f t="shared" si="6"/>
        <v>0</v>
      </c>
      <c r="I47" s="16">
        <f t="shared" si="6"/>
        <v>0</v>
      </c>
      <c r="J47" s="16">
        <f t="shared" si="6"/>
        <v>0</v>
      </c>
      <c r="K47" s="16">
        <f t="shared" si="6"/>
        <v>0</v>
      </c>
      <c r="L47" s="16">
        <f>K47-'MG Unit Model 2'!I11</f>
        <v>-2130.2564102564106</v>
      </c>
      <c r="M47" s="16">
        <f>K47</f>
        <v>0</v>
      </c>
      <c r="N47" s="16">
        <f t="shared" si="6"/>
        <v>0</v>
      </c>
      <c r="O47" s="16">
        <f t="shared" si="6"/>
        <v>0</v>
      </c>
      <c r="P47" s="16">
        <f t="shared" si="6"/>
        <v>0</v>
      </c>
      <c r="Q47" s="16">
        <f t="shared" si="6"/>
        <v>0</v>
      </c>
      <c r="R47" s="16">
        <f t="shared" si="6"/>
        <v>0</v>
      </c>
      <c r="S47" s="16">
        <f t="shared" si="6"/>
        <v>0</v>
      </c>
      <c r="T47" s="16">
        <f t="shared" si="6"/>
        <v>0</v>
      </c>
      <c r="U47" s="16">
        <f t="shared" si="6"/>
        <v>0</v>
      </c>
      <c r="V47" s="16">
        <f>L47</f>
        <v>-2130.2564102564106</v>
      </c>
      <c r="W47" s="16">
        <f>U47</f>
        <v>0</v>
      </c>
      <c r="X47" s="16">
        <f t="shared" si="6"/>
        <v>0</v>
      </c>
      <c r="Y47" s="16">
        <f t="shared" si="6"/>
        <v>0</v>
      </c>
      <c r="Z47" s="16">
        <f t="shared" si="6"/>
        <v>0</v>
      </c>
      <c r="AA47" s="16">
        <f t="shared" si="6"/>
        <v>0</v>
      </c>
      <c r="AB47" s="16">
        <f t="shared" si="6"/>
        <v>0</v>
      </c>
      <c r="AC47" s="16">
        <f t="shared" si="6"/>
        <v>0</v>
      </c>
      <c r="AD47" s="16">
        <f t="shared" si="6"/>
        <v>0</v>
      </c>
      <c r="AE47" s="16">
        <f t="shared" si="6"/>
        <v>0</v>
      </c>
      <c r="AF47" s="16">
        <f t="shared" si="6"/>
        <v>0</v>
      </c>
    </row>
    <row r="48" spans="1:32">
      <c r="B48" s="16">
        <f>B47</f>
        <v>0</v>
      </c>
      <c r="C48" s="16">
        <f>'Cash Flow'!I25</f>
        <v>0</v>
      </c>
      <c r="D48" s="16">
        <f>C48</f>
        <v>0</v>
      </c>
      <c r="E48" s="16">
        <f t="shared" si="6"/>
        <v>0</v>
      </c>
      <c r="F48" s="16">
        <f t="shared" si="6"/>
        <v>0</v>
      </c>
      <c r="G48" s="16">
        <f t="shared" si="6"/>
        <v>0</v>
      </c>
      <c r="H48" s="16">
        <f t="shared" si="6"/>
        <v>0</v>
      </c>
      <c r="I48" s="16">
        <f t="shared" si="6"/>
        <v>0</v>
      </c>
      <c r="J48" s="16">
        <f t="shared" si="6"/>
        <v>0</v>
      </c>
      <c r="K48" s="16">
        <f t="shared" si="6"/>
        <v>0</v>
      </c>
      <c r="L48" s="16">
        <f>K48-'MG Unit Model 2'!I11</f>
        <v>-2130.2564102564106</v>
      </c>
      <c r="M48" s="16">
        <f>K48</f>
        <v>0</v>
      </c>
      <c r="N48" s="16">
        <f t="shared" si="6"/>
        <v>0</v>
      </c>
      <c r="O48" s="16">
        <f t="shared" si="6"/>
        <v>0</v>
      </c>
      <c r="P48" s="16">
        <f t="shared" si="6"/>
        <v>0</v>
      </c>
      <c r="Q48" s="16">
        <f t="shared" si="6"/>
        <v>0</v>
      </c>
      <c r="R48" s="16">
        <f t="shared" si="6"/>
        <v>0</v>
      </c>
      <c r="S48" s="16">
        <f t="shared" si="6"/>
        <v>0</v>
      </c>
      <c r="T48" s="16">
        <f t="shared" si="6"/>
        <v>0</v>
      </c>
      <c r="U48" s="16">
        <f t="shared" si="6"/>
        <v>0</v>
      </c>
      <c r="V48" s="16">
        <f>L48</f>
        <v>-2130.2564102564106</v>
      </c>
      <c r="W48" s="16">
        <f>U48</f>
        <v>0</v>
      </c>
      <c r="X48" s="16">
        <f t="shared" si="6"/>
        <v>0</v>
      </c>
      <c r="Y48" s="16">
        <f t="shared" si="6"/>
        <v>0</v>
      </c>
      <c r="Z48" s="16">
        <f t="shared" si="6"/>
        <v>0</v>
      </c>
      <c r="AA48" s="16">
        <f t="shared" si="6"/>
        <v>0</v>
      </c>
      <c r="AB48" s="16">
        <f t="shared" si="6"/>
        <v>0</v>
      </c>
      <c r="AC48" s="16">
        <f t="shared" si="6"/>
        <v>0</v>
      </c>
      <c r="AD48" s="16">
        <f t="shared" si="6"/>
        <v>0</v>
      </c>
      <c r="AE48" s="16">
        <f t="shared" si="6"/>
        <v>0</v>
      </c>
      <c r="AF48" s="16">
        <f t="shared" si="6"/>
        <v>0</v>
      </c>
    </row>
    <row r="49" spans="1:32">
      <c r="A49" t="s">
        <v>286</v>
      </c>
      <c r="C49" s="182" t="str">
        <f>IF(ISERR(IRR($B47:C47)),"Doesn't exist",IRR($B47:C47))</f>
        <v>Doesn't exist</v>
      </c>
      <c r="D49" s="182" t="str">
        <f>IF(ISERR(IRR($B47:D47)),"Doesn't exist",IRR($B47:D47))</f>
        <v>Doesn't exist</v>
      </c>
      <c r="E49" s="182" t="str">
        <f>IF(ISERR(IRR($B47:E47)),"Doesn't exist",IRR($B47:E47))</f>
        <v>Doesn't exist</v>
      </c>
      <c r="F49" s="182" t="str">
        <f>IF(ISERR(IRR($B47:F47)),"Doesn't exist",IRR($B47:F47))</f>
        <v>Doesn't exist</v>
      </c>
      <c r="G49" s="182" t="str">
        <f>IF(ISERR(IRR($B47:G47)),"Doesn't exist",IRR($B47:G47))</f>
        <v>Doesn't exist</v>
      </c>
      <c r="H49" s="182" t="str">
        <f>IF(ISERR(IRR($B47:H47)),"Doesn't exist",IRR($B47:H47))</f>
        <v>Doesn't exist</v>
      </c>
      <c r="I49" s="182" t="str">
        <f>IF(ISERR(IRR($B47:I47)),"Doesn't exist",IRR($B47:I47))</f>
        <v>Doesn't exist</v>
      </c>
      <c r="J49" s="182" t="str">
        <f>IF(ISERR(IRR($B47:J47)),"Doesn't exist",IRR($B47:J47))</f>
        <v>Doesn't exist</v>
      </c>
      <c r="K49" s="182" t="str">
        <f>IF(ISERR(IRR($B47:K47)),"Doesn't exist",IRR($B47:K47))</f>
        <v>Doesn't exist</v>
      </c>
      <c r="L49" s="182" t="str">
        <f>IF(ISERR(IRR($B47:L47)),"Doesn't exist",IRR($B47:L47))</f>
        <v>Doesn't exist</v>
      </c>
      <c r="M49" s="182" t="str">
        <f>IF(ISERR(IRR($B47:M47)),"Doesn't exist",IRR($B47:M47))</f>
        <v>Doesn't exist</v>
      </c>
      <c r="N49" s="182" t="str">
        <f>IF(ISERR(IRR($B47:N47)),"Doesn't exist",IRR($B47:N47))</f>
        <v>Doesn't exist</v>
      </c>
      <c r="O49" s="182" t="str">
        <f>IF(ISERR(IRR($B47:O47)),"Doesn't exist",IRR($B47:O47))</f>
        <v>Doesn't exist</v>
      </c>
      <c r="P49" s="182" t="str">
        <f>IF(ISERR(IRR($B47:P47)),"Doesn't exist",IRR($B47:P47))</f>
        <v>Doesn't exist</v>
      </c>
      <c r="Q49" s="182" t="str">
        <f>IF(ISERR(IRR($B47:Q47)),"Doesn't exist",IRR($B47:Q47))</f>
        <v>Doesn't exist</v>
      </c>
      <c r="R49" s="182" t="str">
        <f>IF(ISERR(IRR($B47:R47)),"Doesn't exist",IRR($B47:R47))</f>
        <v>Doesn't exist</v>
      </c>
      <c r="S49" s="182" t="str">
        <f>IF(ISERR(IRR($B47:S47)),"Doesn't exist",IRR($B47:S47))</f>
        <v>Doesn't exist</v>
      </c>
      <c r="T49" s="182" t="str">
        <f>IF(ISERR(IRR($B47:T47)),"Doesn't exist",IRR($B47:T47))</f>
        <v>Doesn't exist</v>
      </c>
      <c r="U49" s="182" t="str">
        <f>IF(ISERR(IRR($B47:U47)),"Doesn't exist",IRR($B47:U47))</f>
        <v>Doesn't exist</v>
      </c>
      <c r="V49" s="182" t="str">
        <f>IF(ISERR(IRR($B47:V47)),"Doesn't exist",IRR($B47:V47))</f>
        <v>Doesn't exist</v>
      </c>
      <c r="W49" s="182" t="str">
        <f>IF(ISERR(IRR($B47:W47)),"Doesn't exist",IRR($B47:W47))</f>
        <v>Doesn't exist</v>
      </c>
      <c r="X49" s="182" t="str">
        <f>IF(ISERR(IRR($B47:X47)),"Doesn't exist",IRR($B47:X47))</f>
        <v>Doesn't exist</v>
      </c>
      <c r="Y49" s="182" t="str">
        <f>IF(ISERR(IRR($B47:Y47)),"Doesn't exist",IRR($B47:Y47))</f>
        <v>Doesn't exist</v>
      </c>
      <c r="Z49" s="182" t="str">
        <f>IF(ISERR(IRR($B47:Z47)),"Doesn't exist",IRR($B47:Z47))</f>
        <v>Doesn't exist</v>
      </c>
      <c r="AA49" s="182" t="str">
        <f>IF(ISERR(IRR($B47:AA47)),"Doesn't exist",IRR($B47:AA47))</f>
        <v>Doesn't exist</v>
      </c>
      <c r="AB49" s="182" t="str">
        <f>IF(ISERR(IRR($B47:AB47)),"Doesn't exist",IRR($B47:AB47))</f>
        <v>Doesn't exist</v>
      </c>
      <c r="AC49" s="182" t="str">
        <f>IF(ISERR(IRR($B47:AC47)),"Doesn't exist",IRR($B47:AC47))</f>
        <v>Doesn't exist</v>
      </c>
      <c r="AD49" s="182" t="str">
        <f>IF(ISERR(IRR($B47:AD47)),"Doesn't exist",IRR($B47:AD47))</f>
        <v>Doesn't exist</v>
      </c>
      <c r="AE49" s="182" t="str">
        <f>IF(ISERR(IRR($B47:AE47)),"Doesn't exist",IRR($B47:AE47))</f>
        <v>Doesn't exist</v>
      </c>
      <c r="AF49" s="182" t="str">
        <f>IF(ISERR(IRR($B47:AF47)),"Doesn't exist",IRR($B47:AF47))</f>
        <v>Doesn't exist</v>
      </c>
    </row>
    <row r="50" spans="1:32">
      <c r="A50" t="s">
        <v>413</v>
      </c>
      <c r="D50" s="182" t="e">
        <f>IRR($B48:D48)</f>
        <v>#NUM!</v>
      </c>
      <c r="E50" s="182" t="e">
        <f>IRR($B48:E48)</f>
        <v>#NUM!</v>
      </c>
      <c r="F50" s="182" t="e">
        <f>IRR($B48:F48)</f>
        <v>#NUM!</v>
      </c>
      <c r="G50" s="182" t="e">
        <f>IRR($B48:G48)</f>
        <v>#NUM!</v>
      </c>
      <c r="H50" s="182" t="e">
        <f>IRR($B48:H48)</f>
        <v>#NUM!</v>
      </c>
      <c r="I50" s="182" t="e">
        <f>IRR($B48:I48)</f>
        <v>#NUM!</v>
      </c>
      <c r="J50" s="182" t="e">
        <f>IRR($B48:J48)</f>
        <v>#NUM!</v>
      </c>
      <c r="K50" s="182" t="e">
        <f>IRR($B48:K48)</f>
        <v>#NUM!</v>
      </c>
      <c r="L50" s="182" t="e">
        <f>IRR($B48:L48)</f>
        <v>#NUM!</v>
      </c>
      <c r="M50" s="182" t="e">
        <f>IRR($B48:M48)</f>
        <v>#NUM!</v>
      </c>
      <c r="N50" s="182" t="e">
        <f>IRR($B48:N48)</f>
        <v>#NUM!</v>
      </c>
      <c r="O50" s="182" t="e">
        <f>IRR($B48:O48)</f>
        <v>#NUM!</v>
      </c>
      <c r="P50" s="182" t="e">
        <f>IRR($B48:P48)</f>
        <v>#NUM!</v>
      </c>
      <c r="Q50" s="182" t="e">
        <f>IRR($B48:Q48)</f>
        <v>#NUM!</v>
      </c>
      <c r="R50" s="182" t="e">
        <f>IRR($B48:R48)</f>
        <v>#NUM!</v>
      </c>
      <c r="S50" s="182" t="e">
        <f>IRR($B48:S48)</f>
        <v>#NUM!</v>
      </c>
      <c r="T50" s="182" t="e">
        <f>IRR($B48:T48)</f>
        <v>#NUM!</v>
      </c>
      <c r="U50" s="182" t="e">
        <f>IRR($B48:U48)</f>
        <v>#NUM!</v>
      </c>
      <c r="V50" s="182" t="e">
        <f>IRR($B48:V48)</f>
        <v>#NUM!</v>
      </c>
      <c r="W50" s="182" t="e">
        <f>IRR($B48:W48)</f>
        <v>#NUM!</v>
      </c>
      <c r="X50" s="182" t="e">
        <f>IRR($B48:X48)</f>
        <v>#NUM!</v>
      </c>
      <c r="Y50" s="182" t="e">
        <f>IRR($B48:Y48)</f>
        <v>#NUM!</v>
      </c>
      <c r="Z50" s="182" t="e">
        <f>IRR($B48:Z48)</f>
        <v>#NUM!</v>
      </c>
      <c r="AA50" s="182" t="e">
        <f>IRR($B48:AA48)</f>
        <v>#NUM!</v>
      </c>
      <c r="AB50" s="182" t="e">
        <f>IRR($B48:AB48)</f>
        <v>#NUM!</v>
      </c>
      <c r="AC50" s="182" t="e">
        <f>IRR($B48:AC48)</f>
        <v>#NUM!</v>
      </c>
      <c r="AD50" s="182" t="e">
        <f>IRR($B48:AD48)</f>
        <v>#NUM!</v>
      </c>
      <c r="AE50" s="182" t="e">
        <f>IRR($B48:AE48)</f>
        <v>#NUM!</v>
      </c>
      <c r="AF50" s="182" t="e">
        <f>IRR($B48:AF48)</f>
        <v>#NUM!</v>
      </c>
    </row>
    <row r="53" spans="1:32">
      <c r="A53" t="s">
        <v>28</v>
      </c>
      <c r="B53" s="16">
        <f>-'MG Unit Model 2'!J12+('ERR Summary'!C5/8)+('ERR Summary'!C8/8)-(0.02*'MG Unit Model 2'!J12)-H62</f>
        <v>-45750.152610258592</v>
      </c>
      <c r="C53" s="16">
        <f>'Cash Flow'!J24</f>
        <v>24016.821355388991</v>
      </c>
      <c r="D53" s="16">
        <f>C53</f>
        <v>24016.821355388991</v>
      </c>
      <c r="E53" s="16">
        <f t="shared" ref="E53:AF54" si="7">D53</f>
        <v>24016.821355388991</v>
      </c>
      <c r="F53" s="16">
        <f t="shared" si="7"/>
        <v>24016.821355388991</v>
      </c>
      <c r="G53" s="16">
        <f t="shared" si="7"/>
        <v>24016.821355388991</v>
      </c>
      <c r="H53" s="16">
        <f t="shared" si="7"/>
        <v>24016.821355388991</v>
      </c>
      <c r="I53" s="16">
        <f t="shared" si="7"/>
        <v>24016.821355388991</v>
      </c>
      <c r="J53" s="16">
        <f t="shared" si="7"/>
        <v>24016.821355388991</v>
      </c>
      <c r="K53" s="16">
        <f t="shared" si="7"/>
        <v>24016.821355388991</v>
      </c>
      <c r="L53" s="16">
        <f>K53-'MG Unit Model 2'!J11</f>
        <v>21157.334175901811</v>
      </c>
      <c r="M53" s="16">
        <f>K53</f>
        <v>24016.821355388991</v>
      </c>
      <c r="N53" s="16">
        <f t="shared" si="7"/>
        <v>24016.821355388991</v>
      </c>
      <c r="O53" s="16">
        <f t="shared" si="7"/>
        <v>24016.821355388991</v>
      </c>
      <c r="P53" s="16">
        <f t="shared" si="7"/>
        <v>24016.821355388991</v>
      </c>
      <c r="Q53" s="16">
        <f t="shared" si="7"/>
        <v>24016.821355388991</v>
      </c>
      <c r="R53" s="16">
        <f t="shared" si="7"/>
        <v>24016.821355388991</v>
      </c>
      <c r="S53" s="16">
        <f t="shared" si="7"/>
        <v>24016.821355388991</v>
      </c>
      <c r="T53" s="16">
        <f t="shared" si="7"/>
        <v>24016.821355388991</v>
      </c>
      <c r="U53" s="16">
        <f t="shared" si="7"/>
        <v>24016.821355388991</v>
      </c>
      <c r="V53" s="16">
        <f>L53</f>
        <v>21157.334175901811</v>
      </c>
      <c r="W53" s="16">
        <f>U53</f>
        <v>24016.821355388991</v>
      </c>
      <c r="X53" s="16">
        <f t="shared" si="7"/>
        <v>24016.821355388991</v>
      </c>
      <c r="Y53" s="16">
        <f t="shared" si="7"/>
        <v>24016.821355388991</v>
      </c>
      <c r="Z53" s="16">
        <f t="shared" si="7"/>
        <v>24016.821355388991</v>
      </c>
      <c r="AA53" s="16">
        <f t="shared" si="7"/>
        <v>24016.821355388991</v>
      </c>
      <c r="AB53" s="16">
        <f t="shared" si="7"/>
        <v>24016.821355388991</v>
      </c>
      <c r="AC53" s="16">
        <f t="shared" si="7"/>
        <v>24016.821355388991</v>
      </c>
      <c r="AD53" s="16">
        <f t="shared" si="7"/>
        <v>24016.821355388991</v>
      </c>
      <c r="AE53" s="16">
        <f t="shared" si="7"/>
        <v>24016.821355388991</v>
      </c>
      <c r="AF53" s="16">
        <f t="shared" si="7"/>
        <v>24016.821355388991</v>
      </c>
    </row>
    <row r="54" spans="1:32">
      <c r="B54" s="16">
        <f>B53</f>
        <v>-45750.152610258592</v>
      </c>
      <c r="C54" s="16">
        <f>'Cash Flow'!J25</f>
        <v>55552.967775386205</v>
      </c>
      <c r="D54" s="16">
        <f>C54</f>
        <v>55552.967775386205</v>
      </c>
      <c r="E54" s="16">
        <f t="shared" si="7"/>
        <v>55552.967775386205</v>
      </c>
      <c r="F54" s="16">
        <f t="shared" si="7"/>
        <v>55552.967775386205</v>
      </c>
      <c r="G54" s="16">
        <f t="shared" si="7"/>
        <v>55552.967775386205</v>
      </c>
      <c r="H54" s="16">
        <f t="shared" si="7"/>
        <v>55552.967775386205</v>
      </c>
      <c r="I54" s="16">
        <f t="shared" si="7"/>
        <v>55552.967775386205</v>
      </c>
      <c r="J54" s="16">
        <f t="shared" si="7"/>
        <v>55552.967775386205</v>
      </c>
      <c r="K54" s="16">
        <f t="shared" si="7"/>
        <v>55552.967775386205</v>
      </c>
      <c r="L54" s="16">
        <f>K54-'MG Unit Model 2'!J11</f>
        <v>52693.480595899026</v>
      </c>
      <c r="M54" s="16">
        <f>K54</f>
        <v>55552.967775386205</v>
      </c>
      <c r="N54" s="16">
        <f t="shared" si="7"/>
        <v>55552.967775386205</v>
      </c>
      <c r="O54" s="16">
        <f t="shared" si="7"/>
        <v>55552.967775386205</v>
      </c>
      <c r="P54" s="16">
        <f t="shared" si="7"/>
        <v>55552.967775386205</v>
      </c>
      <c r="Q54" s="16">
        <f t="shared" si="7"/>
        <v>55552.967775386205</v>
      </c>
      <c r="R54" s="16">
        <f t="shared" si="7"/>
        <v>55552.967775386205</v>
      </c>
      <c r="S54" s="16">
        <f t="shared" si="7"/>
        <v>55552.967775386205</v>
      </c>
      <c r="T54" s="16">
        <f t="shared" si="7"/>
        <v>55552.967775386205</v>
      </c>
      <c r="U54" s="16">
        <f t="shared" si="7"/>
        <v>55552.967775386205</v>
      </c>
      <c r="V54" s="16">
        <f>L54</f>
        <v>52693.480595899026</v>
      </c>
      <c r="W54" s="16">
        <f>U54</f>
        <v>55552.967775386205</v>
      </c>
      <c r="X54" s="16">
        <f t="shared" si="7"/>
        <v>55552.967775386205</v>
      </c>
      <c r="Y54" s="16">
        <f t="shared" si="7"/>
        <v>55552.967775386205</v>
      </c>
      <c r="Z54" s="16">
        <f t="shared" si="7"/>
        <v>55552.967775386205</v>
      </c>
      <c r="AA54" s="16">
        <f t="shared" si="7"/>
        <v>55552.967775386205</v>
      </c>
      <c r="AB54" s="16">
        <f t="shared" si="7"/>
        <v>55552.967775386205</v>
      </c>
      <c r="AC54" s="16">
        <f t="shared" si="7"/>
        <v>55552.967775386205</v>
      </c>
      <c r="AD54" s="16">
        <f t="shared" si="7"/>
        <v>55552.967775386205</v>
      </c>
      <c r="AE54" s="16">
        <f t="shared" si="7"/>
        <v>55552.967775386205</v>
      </c>
      <c r="AF54" s="16">
        <f t="shared" si="7"/>
        <v>55552.967775386205</v>
      </c>
    </row>
    <row r="55" spans="1:32">
      <c r="A55" t="s">
        <v>287</v>
      </c>
      <c r="C55" s="182">
        <f>IF(ISERR(IRR($B53:C53)),"Doesn't exist",IRR($B53:C53))</f>
        <v>-0.47504390728515988</v>
      </c>
      <c r="D55" s="182">
        <f>IF(ISERR(IRR($B53:D53)),"Doesn't exist",IRR($B53:D53))</f>
        <v>3.309521300651963E-2</v>
      </c>
      <c r="E55" s="182">
        <f>IF(ISERR(IRR($B53:E53)),"Doesn't exist",IRR($B53:E53))</f>
        <v>0.26662173170868075</v>
      </c>
      <c r="F55" s="182">
        <f>IF(ISERR(IRR($B53:F53)),"Doesn't exist",IRR($B53:F53))</f>
        <v>0.38036174230853637</v>
      </c>
      <c r="G55" s="182">
        <f>IF(ISERR(IRR($B53:G53)),"Doesn't exist",IRR($B53:G53))</f>
        <v>0.44024477459905986</v>
      </c>
      <c r="H55" s="182">
        <f>IF(ISERR(IRR($B53:H53)),"Doesn't exist",IRR($B53:H53))</f>
        <v>0.47371148513528105</v>
      </c>
      <c r="I55" s="182">
        <f>IF(ISERR(IRR($B53:I53)),"Doesn't exist",IRR($B53:I53))</f>
        <v>0.49324548984594041</v>
      </c>
      <c r="J55" s="182">
        <f>IF(ISERR(IRR($B53:J53)),"Doesn't exist",IRR($B53:J53))</f>
        <v>0.50501256533982009</v>
      </c>
      <c r="K55" s="182">
        <f>IF(ISERR(IRR($B53:K53)),"Doesn't exist",IRR($B53:K53))</f>
        <v>0.51226585800321267</v>
      </c>
      <c r="L55" s="182">
        <f>IF(ISERR(IRR($B53:L53)),"Doesn't exist",IRR($B53:L53))</f>
        <v>0.51628185943396177</v>
      </c>
      <c r="M55" s="182">
        <f>IF(ISERR(IRR($B53:M53)),"Doesn't exist",IRR($B53:M53))</f>
        <v>0.51918321769723819</v>
      </c>
      <c r="N55" s="182">
        <f>IF(ISERR(IRR($B53:N53)),"Doesn't exist",IRR($B53:N53))</f>
        <v>0.52104159993271248</v>
      </c>
      <c r="O55" s="182">
        <f>IF(ISERR(IRR($B53:O53)),"Doesn't exist",IRR($B53:O53))</f>
        <v>0.52223988559570356</v>
      </c>
      <c r="P55" s="182">
        <f>IF(ISERR(IRR($B53:P53)),"Doesn't exist",IRR($B53:P53))</f>
        <v>0.52301629739749966</v>
      </c>
      <c r="Q55" s="182">
        <f>IF(ISERR(IRR($B53:Q53)),"Doesn't exist",IRR($B53:Q53))</f>
        <v>0.52352113550752599</v>
      </c>
      <c r="R55" s="182">
        <f>IF(ISERR(IRR($B53:R53)),"Doesn't exist",IRR($B53:R53))</f>
        <v>0.52385022633803868</v>
      </c>
      <c r="S55" s="182">
        <f>IF(ISERR(IRR($B53:S53)),"Doesn't exist",IRR($B53:S53))</f>
        <v>0.52406514423806083</v>
      </c>
      <c r="T55" s="182">
        <f>IF(ISERR(IRR($B53:T53)),"Doesn't exist",IRR($B53:T53))</f>
        <v>0.52420568316115346</v>
      </c>
      <c r="U55" s="182">
        <f>IF(ISERR(IRR($B53:U53)),"Doesn't exist",IRR($B53:U53))</f>
        <v>0.52429766971731362</v>
      </c>
      <c r="V55" s="182">
        <f>IF(ISERR(IRR($B53:V53)),"Doesn't exist",IRR($B53:V53))</f>
        <v>0.52435074819886318</v>
      </c>
      <c r="W55" s="182">
        <f>IF(ISERR(IRR($B53:W53)),"Doesn't exist",IRR($B53:W53))</f>
        <v>0.52439023259433748</v>
      </c>
      <c r="X55" s="182">
        <f>IF(ISERR(IRR($B53:X53)),"Doesn't exist",IRR($B53:X53))</f>
        <v>0.52441611380840558</v>
      </c>
      <c r="Y55" s="182">
        <f>IF(ISERR(IRR($B53:Y53)),"Doesn't exist",IRR($B53:Y53))</f>
        <v>0.52443308229031738</v>
      </c>
      <c r="Z55" s="182">
        <f>IF(ISERR(IRR($B53:Z53)),"Doesn't exist",IRR($B53:Z53))</f>
        <v>0.52444420909614675</v>
      </c>
      <c r="AA55" s="182">
        <f>IF(ISERR(IRR($B53:AA53)),"Doesn't exist",IRR($B53:AA53))</f>
        <v>0.52445150612585323</v>
      </c>
      <c r="AB55" s="182">
        <f>IF(ISERR(IRR($B53:AB53)),"Doesn't exist",IRR($B53:AB53))</f>
        <v>0.52445629193136956</v>
      </c>
      <c r="AC55" s="182">
        <f>IF(ISERR(IRR($B53:AC53)),"Doesn't exist",IRR($B53:AC53))</f>
        <v>0.52445943090026859</v>
      </c>
      <c r="AD55" s="182">
        <f>IF(ISERR(IRR($B53:AD53)),"Doesn't exist",IRR($B53:AD53))</f>
        <v>0.52446148979841012</v>
      </c>
      <c r="AE55" s="182">
        <f>IF(ISERR(IRR($B53:AE53)),"Doesn't exist",IRR($B53:AE53))</f>
        <v>0.52446284029544565</v>
      </c>
      <c r="AF55" s="182">
        <f>IF(ISERR(IRR($B53:AF53)),"Doesn't exist",IRR($B53:AF53))</f>
        <v>0.52446372614487036</v>
      </c>
    </row>
    <row r="56" spans="1:32">
      <c r="A56" t="s">
        <v>413</v>
      </c>
      <c r="D56" s="182">
        <f>IRR($B54:D54)</f>
        <v>0.86526000255887259</v>
      </c>
      <c r="E56" s="182">
        <f>IRR($B54:E54)</f>
        <v>1.0791722065671272</v>
      </c>
      <c r="F56" s="182">
        <f>IRR($B54:F54)</f>
        <v>1.1583109199289936</v>
      </c>
      <c r="G56" s="182">
        <f>IRR($B54:G54)</f>
        <v>1.190173749930401</v>
      </c>
      <c r="H56" s="182">
        <f>IRR($B54:H54)</f>
        <v>1.2036651685680391</v>
      </c>
      <c r="I56" s="182">
        <f>IRR($B54:I54)</f>
        <v>1.2095457322713954</v>
      </c>
      <c r="J56" s="182">
        <f>IRR($B54:J54)</f>
        <v>1.2121511008622243</v>
      </c>
      <c r="K56" s="182">
        <f>IRR($B54:K54)</f>
        <v>1.2133158393336028</v>
      </c>
      <c r="L56" s="182">
        <f>IRR($B54:L54)</f>
        <v>1.2138121936168558</v>
      </c>
      <c r="M56" s="182">
        <f>IRR($B54:M54)</f>
        <v>1.2140479043085897</v>
      </c>
      <c r="N56" s="182">
        <f>IRR($B54:N54)</f>
        <v>1.2141542097164955</v>
      </c>
      <c r="O56" s="182">
        <f>IRR($B54:O54)</f>
        <v>1.2142021863807271</v>
      </c>
      <c r="P56" s="182">
        <f>IRR($B54:P54)</f>
        <v>1.2142238462494968</v>
      </c>
      <c r="Q56" s="182">
        <f>IRR($B54:Q54)</f>
        <v>1.2142336266645004</v>
      </c>
      <c r="R56" s="182">
        <f>IRR($B54:R54)</f>
        <v>1.2142380433480291</v>
      </c>
      <c r="S56" s="182">
        <f>IRR($B54:S54)</f>
        <v>1.2142400379385672</v>
      </c>
      <c r="T56" s="182">
        <f>IRR($B54:T54)</f>
        <v>1.214240938721729</v>
      </c>
      <c r="U56" s="182">
        <f>IRR($B54:U54)</f>
        <v>1.214241345531291</v>
      </c>
      <c r="V56" s="182">
        <f>IRR($B54:V54)</f>
        <v>1.2142415197977554</v>
      </c>
      <c r="W56" s="182">
        <f>IRR($B54:W54)</f>
        <v>1.214241602771033</v>
      </c>
      <c r="X56" s="182">
        <f>IRR($B54:X54)</f>
        <v>1.2142416402435332</v>
      </c>
      <c r="Y56" s="182">
        <f>IRR($B54:Y54)</f>
        <v>1.214241657166911</v>
      </c>
      <c r="Z56" s="182">
        <f>IRR($B54:Z54)</f>
        <v>1.2142416648098546</v>
      </c>
      <c r="AA56" s="182">
        <f>IRR($B54:AA54)</f>
        <v>1.2142416682615433</v>
      </c>
      <c r="AB56" s="182">
        <f>IRR($B54:AB54)</f>
        <v>1.2142416698203577</v>
      </c>
      <c r="AC56" s="182">
        <f>IRR($B54:AC54)</f>
        <v>1.2142416705242955</v>
      </c>
      <c r="AD56" s="182">
        <f>IRR($B54:AD54)</f>
        <v>1.2142416708421377</v>
      </c>
      <c r="AE56" s="182">
        <f>IRR($B54:AE54)</f>
        <v>1.214241670985595</v>
      </c>
      <c r="AF56" s="182">
        <f>IRR($B54:AF54)</f>
        <v>1.2142416710502784</v>
      </c>
    </row>
    <row r="59" spans="1:32">
      <c r="A59" s="191" t="s">
        <v>292</v>
      </c>
      <c r="B59" s="192"/>
      <c r="C59" s="192"/>
      <c r="D59" s="192"/>
      <c r="E59" s="192"/>
      <c r="F59" s="192"/>
      <c r="G59" s="192"/>
      <c r="H59" s="193"/>
    </row>
    <row r="60" spans="1:32">
      <c r="A60" s="194"/>
      <c r="B60" s="195"/>
      <c r="C60" s="195"/>
      <c r="D60" s="195"/>
      <c r="E60" s="195"/>
      <c r="F60" s="195"/>
      <c r="G60" s="195"/>
      <c r="H60" s="196"/>
    </row>
    <row r="61" spans="1:32">
      <c r="A61" s="194" t="s">
        <v>16</v>
      </c>
      <c r="B61" s="195" t="s">
        <v>20</v>
      </c>
      <c r="C61" s="195" t="s">
        <v>21</v>
      </c>
      <c r="D61" s="195" t="s">
        <v>22</v>
      </c>
      <c r="E61" s="195" t="s">
        <v>283</v>
      </c>
      <c r="F61" s="195" t="s">
        <v>26</v>
      </c>
      <c r="G61" s="195" t="s">
        <v>27</v>
      </c>
      <c r="H61" s="196" t="s">
        <v>28</v>
      </c>
    </row>
    <row r="62" spans="1:32">
      <c r="A62" s="197">
        <v>0</v>
      </c>
      <c r="B62" s="198">
        <v>0</v>
      </c>
      <c r="C62" s="198">
        <v>0</v>
      </c>
      <c r="D62" s="198">
        <v>0</v>
      </c>
      <c r="E62" s="198">
        <v>0</v>
      </c>
      <c r="F62" s="198">
        <v>0</v>
      </c>
      <c r="G62" s="198">
        <v>0</v>
      </c>
      <c r="H62" s="199">
        <v>0</v>
      </c>
    </row>
  </sheetData>
  <mergeCells count="4">
    <mergeCell ref="A1:P1"/>
    <mergeCell ref="A5:B6"/>
    <mergeCell ref="A4:B4"/>
    <mergeCell ref="C9:N9"/>
  </mergeCells>
  <phoneticPr fontId="6" type="noConversion"/>
  <conditionalFormatting sqref="C9">
    <cfRule type="cellIs" dxfId="1" priority="1" stopIfTrue="1" operator="equal">
      <formula>0</formula>
    </cfRule>
    <cfRule type="cellIs" dxfId="0" priority="2" stopIfTrue="1" operator="notEqual">
      <formula>0</formula>
    </cfRule>
  </conditionalFormatting>
  <pageMargins left="0.2" right="0.21" top="1" bottom="1" header="0.5" footer="0.5"/>
  <pageSetup scale="4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B24"/>
  <sheetViews>
    <sheetView showGridLines="0" topLeftCell="B13" zoomScale="120" zoomScaleNormal="120" workbookViewId="0">
      <selection activeCell="B23" sqref="B23"/>
    </sheetView>
  </sheetViews>
  <sheetFormatPr defaultColWidth="9.140625" defaultRowHeight="12.75"/>
  <cols>
    <col min="1" max="1" width="5.7109375" style="204" customWidth="1"/>
    <col min="2" max="2" width="106.42578125" style="204" customWidth="1"/>
    <col min="3" max="16384" width="9.140625" style="204"/>
  </cols>
  <sheetData>
    <row r="1" spans="2:2">
      <c r="B1" s="587" t="s">
        <v>1247</v>
      </c>
    </row>
    <row r="2" spans="2:2" ht="20.25">
      <c r="B2" s="207" t="s">
        <v>308</v>
      </c>
    </row>
    <row r="3" spans="2:2" ht="12.75" customHeight="1">
      <c r="B3" s="207"/>
    </row>
    <row r="4" spans="2:2" ht="18">
      <c r="B4" s="208" t="s">
        <v>1239</v>
      </c>
    </row>
    <row r="5" spans="2:2" ht="12.75" customHeight="1">
      <c r="B5" s="207"/>
    </row>
    <row r="6" spans="2:2" ht="12.75" customHeight="1">
      <c r="B6" s="209" t="s">
        <v>1240</v>
      </c>
    </row>
    <row r="7" spans="2:2" ht="6.75" customHeight="1">
      <c r="B7" s="209"/>
    </row>
    <row r="8" spans="2:2" ht="51">
      <c r="B8" s="583" t="s">
        <v>1241</v>
      </c>
    </row>
    <row r="10" spans="2:2">
      <c r="B10" s="209" t="s">
        <v>1243</v>
      </c>
    </row>
    <row r="12" spans="2:2" ht="38.25">
      <c r="B12" s="584" t="s">
        <v>1246</v>
      </c>
    </row>
    <row r="14" spans="2:2">
      <c r="B14" s="209" t="s">
        <v>1242</v>
      </c>
    </row>
    <row r="15" spans="2:2" ht="6.75" customHeight="1"/>
    <row r="16" spans="2:2">
      <c r="B16" s="204" t="s">
        <v>309</v>
      </c>
    </row>
    <row r="17" spans="2:2" ht="30.75" customHeight="1">
      <c r="B17" s="582" t="s">
        <v>1244</v>
      </c>
    </row>
    <row r="18" spans="2:2" ht="29.25" customHeight="1">
      <c r="B18" s="204" t="s">
        <v>310</v>
      </c>
    </row>
    <row r="20" spans="2:2">
      <c r="B20" s="209" t="s">
        <v>311</v>
      </c>
    </row>
    <row r="21" spans="2:2" ht="6.75" customHeight="1"/>
    <row r="22" spans="2:2" ht="114.75">
      <c r="B22" s="582" t="s">
        <v>1245</v>
      </c>
    </row>
    <row r="24" spans="2:2">
      <c r="B24" s="205" t="s">
        <v>294</v>
      </c>
    </row>
  </sheetData>
  <phoneticPr fontId="6"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2:J96"/>
  <sheetViews>
    <sheetView showGridLines="0" zoomScale="90" workbookViewId="0">
      <selection activeCell="G4" sqref="G4"/>
    </sheetView>
  </sheetViews>
  <sheetFormatPr defaultColWidth="9.140625" defaultRowHeight="12.75"/>
  <cols>
    <col min="1" max="1" width="5.7109375" style="313" customWidth="1"/>
    <col min="2" max="2" width="16.28515625" style="313" customWidth="1"/>
    <col min="3" max="3" width="67" style="313" customWidth="1"/>
    <col min="4" max="4" width="17.140625" style="313" customWidth="1"/>
    <col min="5" max="5" width="15" style="313" customWidth="1"/>
    <col min="6" max="6" width="16.42578125" style="313" customWidth="1"/>
    <col min="7" max="7" width="17.140625" style="313" customWidth="1"/>
    <col min="8" max="8" width="5.7109375" style="313" customWidth="1"/>
    <col min="9" max="9" width="20.7109375" style="313" customWidth="1"/>
    <col min="10" max="16384" width="9.140625" style="313"/>
  </cols>
  <sheetData>
    <row r="2" spans="2:10" ht="20.25">
      <c r="B2" s="616" t="s">
        <v>308</v>
      </c>
      <c r="C2" s="616"/>
      <c r="G2" s="210"/>
    </row>
    <row r="4" spans="2:10" ht="18">
      <c r="B4" s="314" t="s">
        <v>312</v>
      </c>
      <c r="G4" s="587" t="s">
        <v>1247</v>
      </c>
    </row>
    <row r="5" spans="2:10" ht="12.75" customHeight="1">
      <c r="C5" s="315"/>
    </row>
    <row r="6" spans="2:10" ht="39.75" customHeight="1">
      <c r="B6" s="617" t="s">
        <v>327</v>
      </c>
      <c r="C6" s="617"/>
      <c r="D6" s="617"/>
      <c r="E6" s="617"/>
      <c r="F6" s="617"/>
      <c r="G6" s="617"/>
    </row>
    <row r="8" spans="2:10" s="315" customFormat="1" ht="15.75">
      <c r="B8" s="618" t="s">
        <v>313</v>
      </c>
      <c r="C8" s="620" t="s">
        <v>314</v>
      </c>
      <c r="D8" s="622" t="s">
        <v>315</v>
      </c>
      <c r="E8" s="623"/>
      <c r="F8" s="623"/>
      <c r="G8" s="624"/>
    </row>
    <row r="9" spans="2:10" s="315" customFormat="1" ht="39" thickBot="1">
      <c r="B9" s="619"/>
      <c r="C9" s="621"/>
      <c r="D9" s="211" t="s">
        <v>316</v>
      </c>
      <c r="E9" s="212" t="s">
        <v>317</v>
      </c>
      <c r="F9" s="213" t="s">
        <v>318</v>
      </c>
      <c r="G9" s="212" t="s">
        <v>319</v>
      </c>
      <c r="I9" s="214" t="s">
        <v>320</v>
      </c>
      <c r="J9" s="316"/>
    </row>
    <row r="10" spans="2:10" ht="35.1" customHeight="1">
      <c r="B10" s="215" t="s">
        <v>288</v>
      </c>
      <c r="C10" s="216" t="s">
        <v>321</v>
      </c>
      <c r="D10" s="217">
        <v>1</v>
      </c>
      <c r="E10" s="218">
        <v>1</v>
      </c>
      <c r="F10" s="219" t="s">
        <v>322</v>
      </c>
      <c r="G10" s="220">
        <f>D10</f>
        <v>1</v>
      </c>
      <c r="I10" s="221" t="str">
        <f>IF(D10=E10,IF(D11=E11,"Y","N"),"N")</f>
        <v>Y</v>
      </c>
    </row>
    <row r="11" spans="2:10" ht="34.5" customHeight="1">
      <c r="B11" s="222" t="s">
        <v>288</v>
      </c>
      <c r="C11" s="223" t="s">
        <v>323</v>
      </c>
      <c r="D11" s="224">
        <v>1</v>
      </c>
      <c r="E11" s="225">
        <v>1</v>
      </c>
      <c r="F11" s="226" t="s">
        <v>322</v>
      </c>
      <c r="G11" s="227">
        <f>D11</f>
        <v>1</v>
      </c>
      <c r="I11" s="228" t="str">
        <f>IF(D13=E13,IF(D14=E14,IF(D16=E16,IF(D17=E17,"Y","N"),"N"),"N"),"N")</f>
        <v>Y</v>
      </c>
    </row>
    <row r="12" spans="2:10" ht="14.25" customHeight="1">
      <c r="B12" s="229"/>
      <c r="C12" s="229"/>
      <c r="D12" s="229"/>
      <c r="E12" s="229"/>
      <c r="F12" s="229"/>
      <c r="G12" s="230"/>
      <c r="I12" s="317"/>
    </row>
    <row r="13" spans="2:10" ht="40.5" customHeight="1">
      <c r="B13" s="231" t="s">
        <v>324</v>
      </c>
      <c r="C13" s="327" t="s">
        <v>418</v>
      </c>
      <c r="D13" s="232">
        <v>0.5</v>
      </c>
      <c r="E13" s="233">
        <v>0.5</v>
      </c>
      <c r="F13" s="234" t="s">
        <v>422</v>
      </c>
      <c r="G13" s="235">
        <f>IF($I$10="Y",D13,E13)</f>
        <v>0.5</v>
      </c>
      <c r="H13" s="614"/>
      <c r="I13" s="236" t="s">
        <v>325</v>
      </c>
    </row>
    <row r="14" spans="2:10" ht="35.1" customHeight="1">
      <c r="B14" s="331" t="s">
        <v>324</v>
      </c>
      <c r="C14" s="313" t="s">
        <v>419</v>
      </c>
      <c r="D14" s="238">
        <v>0.25</v>
      </c>
      <c r="E14" s="239">
        <v>0.25</v>
      </c>
      <c r="F14" s="240" t="s">
        <v>0</v>
      </c>
      <c r="G14" s="241">
        <f>IF($I$10="Y",D14,E14)</f>
        <v>0.25</v>
      </c>
      <c r="H14" s="614"/>
      <c r="I14" s="242" t="s">
        <v>1</v>
      </c>
    </row>
    <row r="15" spans="2:10" ht="35.1" customHeight="1">
      <c r="B15" s="331" t="s">
        <v>324</v>
      </c>
      <c r="C15" s="313" t="s">
        <v>421</v>
      </c>
      <c r="D15" s="238">
        <v>0.5</v>
      </c>
      <c r="E15" s="239">
        <v>0.5</v>
      </c>
      <c r="F15" s="240" t="s">
        <v>422</v>
      </c>
      <c r="G15" s="241">
        <f>IF($I$10="Y",D15,E15)</f>
        <v>0.5</v>
      </c>
      <c r="H15" s="614"/>
      <c r="I15" s="246" t="s">
        <v>2</v>
      </c>
    </row>
    <row r="16" spans="2:10" ht="35.1" customHeight="1">
      <c r="B16" s="237" t="s">
        <v>324</v>
      </c>
      <c r="C16" s="328" t="s">
        <v>420</v>
      </c>
      <c r="D16" s="243">
        <v>0.5</v>
      </c>
      <c r="E16" s="244">
        <v>0.5</v>
      </c>
      <c r="F16" s="245" t="s">
        <v>416</v>
      </c>
      <c r="G16" s="241">
        <f>IF($I$10="Y",D16,E16)</f>
        <v>0.5</v>
      </c>
      <c r="H16" s="614"/>
      <c r="I16" s="252"/>
    </row>
    <row r="17" spans="2:8" ht="35.1" customHeight="1">
      <c r="B17" s="247" t="s">
        <v>324</v>
      </c>
      <c r="C17" s="329" t="s">
        <v>414</v>
      </c>
      <c r="D17" s="248">
        <v>0.05</v>
      </c>
      <c r="E17" s="249">
        <v>0.05</v>
      </c>
      <c r="F17" s="250" t="s">
        <v>415</v>
      </c>
      <c r="G17" s="251">
        <f>IF($I$10="Y",D17,E17)</f>
        <v>0.05</v>
      </c>
      <c r="H17" s="614"/>
    </row>
    <row r="18" spans="2:8">
      <c r="D18" s="318"/>
      <c r="E18" s="318"/>
      <c r="F18" s="318"/>
      <c r="G18" s="319"/>
    </row>
    <row r="19" spans="2:8" ht="31.5" customHeight="1">
      <c r="B19" s="615">
        <f>IF(I10="N",IF(I11="N","Reminder: Please reset all summary parameters to original values before changing specific parameters.  Specific parameters will only be used in ERR computation when all summary parameters are set to initial values",0),0)</f>
        <v>0</v>
      </c>
      <c r="C19" s="615"/>
      <c r="D19" s="615"/>
      <c r="E19" s="615"/>
      <c r="F19" s="615"/>
      <c r="G19" s="615"/>
    </row>
    <row r="20" spans="2:8" ht="12" customHeight="1">
      <c r="B20" s="253"/>
      <c r="C20" s="253"/>
      <c r="D20" s="253"/>
      <c r="E20" s="253"/>
      <c r="F20" s="253"/>
      <c r="G20" s="253"/>
    </row>
    <row r="21" spans="2:8" ht="18.75" customHeight="1">
      <c r="C21" s="254" t="s">
        <v>326</v>
      </c>
      <c r="D21" s="255">
        <f>'ERR Summary'!Q25</f>
        <v>0.16675787571012668</v>
      </c>
      <c r="E21" s="320"/>
    </row>
    <row r="22" spans="2:8">
      <c r="C22" s="254"/>
      <c r="D22" s="320"/>
      <c r="E22" s="320"/>
    </row>
    <row r="23" spans="2:8">
      <c r="C23" s="254" t="s">
        <v>3</v>
      </c>
      <c r="D23" s="321">
        <v>0.43</v>
      </c>
      <c r="E23" s="322"/>
    </row>
    <row r="96" spans="3:3">
      <c r="C96" s="313">
        <f>32.36+8.37+14.88+24.49+12.69+12</f>
        <v>104.78999999999999</v>
      </c>
    </row>
  </sheetData>
  <mergeCells count="7">
    <mergeCell ref="H13:H17"/>
    <mergeCell ref="B19:G19"/>
    <mergeCell ref="B2:C2"/>
    <mergeCell ref="B6:G6"/>
    <mergeCell ref="B8:B9"/>
    <mergeCell ref="C8:C9"/>
    <mergeCell ref="D8:G8"/>
  </mergeCells>
  <phoneticPr fontId="6" type="noConversion"/>
  <conditionalFormatting sqref="B19:B20 B12">
    <cfRule type="cellIs" dxfId="17" priority="1" stopIfTrue="1" operator="equal">
      <formula>0</formula>
    </cfRule>
    <cfRule type="cellIs" dxfId="16" priority="2" stopIfTrue="1" operator="notEqual">
      <formula>0</formula>
    </cfRule>
  </conditionalFormatting>
  <hyperlinks>
    <hyperlink ref="I14" location="'Activity Description'!A1" display="  Activity Description"/>
    <hyperlink ref="I15" location="'User''s Guide'!A1" display="   User's Guide"/>
  </hyperlinks>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Reset">
                <anchor moveWithCells="1" sizeWithCells="1">
                  <from>
                    <xdr:col>8</xdr:col>
                    <xdr:colOff>0</xdr:colOff>
                    <xdr:row>5</xdr:row>
                    <xdr:rowOff>0</xdr:rowOff>
                  </from>
                  <to>
                    <xdr:col>8</xdr:col>
                    <xdr:colOff>1371600</xdr:colOff>
                    <xdr:row>6</xdr:row>
                    <xdr:rowOff>95250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workbookViewId="0">
      <selection activeCell="C15" sqref="C15"/>
    </sheetView>
  </sheetViews>
  <sheetFormatPr defaultRowHeight="12.75"/>
  <cols>
    <col min="1" max="1" width="11.42578125" customWidth="1"/>
    <col min="2" max="2" width="45.85546875" customWidth="1"/>
    <col min="3" max="3" width="13.5703125" customWidth="1"/>
    <col min="4" max="4" width="14.7109375" bestFit="1" customWidth="1"/>
    <col min="5" max="5" width="16" bestFit="1" customWidth="1"/>
    <col min="6" max="6" width="14.7109375" bestFit="1" customWidth="1"/>
    <col min="7" max="7" width="18.5703125" bestFit="1" customWidth="1"/>
    <col min="8" max="8" width="14.7109375" bestFit="1" customWidth="1"/>
    <col min="9" max="9" width="13.140625" bestFit="1" customWidth="1"/>
    <col min="10" max="10" width="14.140625" customWidth="1"/>
    <col min="11" max="12" width="12.85546875" customWidth="1"/>
    <col min="13" max="13" width="13.85546875" customWidth="1"/>
    <col min="14" max="14" width="14.7109375" customWidth="1"/>
    <col min="15" max="21" width="11.42578125" customWidth="1"/>
    <col min="22" max="22" width="16" bestFit="1" customWidth="1"/>
  </cols>
  <sheetData>
    <row r="1" spans="1:22">
      <c r="A1" s="585"/>
      <c r="B1" s="586">
        <f>IF('[13]ERR &amp; Sensitivity Analysis'!$I$10="N","Note: Current calculations are based on user input and are not the original MCC estimates.",IF('[13]ERR &amp; Sensitivity Analysis'!$J$14="N","Note: Current calculations are based on user input and are not the original MCC estimates.",0))</f>
        <v>0</v>
      </c>
      <c r="C1" s="585"/>
      <c r="D1" s="585"/>
      <c r="E1" s="585"/>
      <c r="F1" s="585"/>
      <c r="G1" s="587" t="s">
        <v>1247</v>
      </c>
      <c r="H1" s="585"/>
      <c r="I1" s="585"/>
      <c r="J1" s="585"/>
      <c r="K1" s="585"/>
      <c r="L1" s="585"/>
      <c r="M1" s="585"/>
      <c r="N1" s="585"/>
      <c r="O1" s="585"/>
      <c r="P1" s="585"/>
      <c r="Q1" s="585"/>
      <c r="R1" s="585"/>
      <c r="S1" s="585"/>
      <c r="T1" s="585"/>
      <c r="U1" s="585"/>
      <c r="V1" s="585"/>
    </row>
    <row r="2" spans="1:22">
      <c r="A2" s="625" t="s">
        <v>308</v>
      </c>
      <c r="B2" s="626"/>
      <c r="C2" s="625"/>
      <c r="D2" s="626"/>
      <c r="E2" s="585"/>
      <c r="F2" s="585"/>
      <c r="G2" s="585"/>
      <c r="H2" s="585"/>
      <c r="I2" s="585"/>
      <c r="J2" s="585"/>
      <c r="K2" s="585"/>
      <c r="L2" s="585"/>
      <c r="M2" s="585"/>
      <c r="N2" s="585"/>
      <c r="O2" s="585"/>
      <c r="P2" s="585"/>
      <c r="Q2" s="585"/>
      <c r="R2" s="585"/>
      <c r="S2" s="585"/>
      <c r="T2" s="585"/>
      <c r="U2" s="585"/>
      <c r="V2" s="585"/>
    </row>
    <row r="3" spans="1:22">
      <c r="A3" s="625"/>
      <c r="B3" s="626"/>
      <c r="C3" s="625"/>
      <c r="D3" s="626"/>
      <c r="E3" s="588"/>
      <c r="F3" s="588"/>
      <c r="G3" s="588"/>
      <c r="H3" s="588"/>
      <c r="I3" s="588"/>
      <c r="J3" s="588"/>
      <c r="K3" s="588"/>
      <c r="L3" s="588"/>
      <c r="M3" s="588"/>
      <c r="N3" s="588"/>
      <c r="O3" s="588"/>
      <c r="P3" s="588"/>
      <c r="Q3" s="588"/>
      <c r="R3" s="588"/>
      <c r="S3" s="588"/>
      <c r="T3" s="588"/>
      <c r="U3" s="588"/>
      <c r="V3" s="588"/>
    </row>
    <row r="4" spans="1:22">
      <c r="A4" s="625"/>
      <c r="B4" s="626"/>
      <c r="C4" s="625"/>
      <c r="D4" s="626"/>
      <c r="E4" s="588"/>
      <c r="F4" s="588"/>
      <c r="G4" s="588"/>
      <c r="H4" s="588"/>
      <c r="I4" s="588"/>
      <c r="J4" s="588"/>
      <c r="K4" s="588"/>
      <c r="L4" s="588"/>
      <c r="M4" s="588"/>
      <c r="N4" s="588"/>
      <c r="O4" s="588"/>
      <c r="P4" s="588"/>
      <c r="Q4" s="588"/>
      <c r="R4" s="588"/>
      <c r="S4" s="588"/>
      <c r="T4" s="588"/>
      <c r="U4" s="588"/>
      <c r="V4" s="588"/>
    </row>
    <row r="5" spans="1:22">
      <c r="A5" s="625"/>
      <c r="B5" s="626"/>
      <c r="C5" s="625"/>
      <c r="D5" s="626"/>
      <c r="E5" s="588"/>
      <c r="F5" s="588"/>
      <c r="G5" s="588"/>
      <c r="H5" s="588"/>
      <c r="I5" s="588"/>
      <c r="J5" s="588"/>
      <c r="K5" s="588"/>
      <c r="L5" s="588"/>
      <c r="M5" s="588"/>
      <c r="N5" s="588"/>
      <c r="O5" s="588"/>
      <c r="P5" s="588"/>
      <c r="Q5" s="588"/>
      <c r="R5" s="588"/>
      <c r="S5" s="588"/>
      <c r="T5" s="588"/>
      <c r="U5" s="588"/>
      <c r="V5" s="588"/>
    </row>
    <row r="6" spans="1:22" ht="13.5" thickBot="1">
      <c r="A6" s="627"/>
      <c r="B6" s="628"/>
      <c r="C6" s="627"/>
      <c r="D6" s="628"/>
      <c r="E6" s="588"/>
      <c r="F6" s="588"/>
      <c r="G6" s="588"/>
      <c r="H6" s="588"/>
      <c r="I6" s="588"/>
      <c r="J6" s="588"/>
      <c r="K6" s="588"/>
      <c r="L6" s="588"/>
      <c r="M6" s="588"/>
      <c r="N6" s="588"/>
      <c r="O6" s="588"/>
      <c r="P6" s="588"/>
      <c r="Q6" s="588"/>
      <c r="R6" s="588"/>
      <c r="S6" s="588"/>
      <c r="T6" s="588"/>
      <c r="U6" s="588"/>
      <c r="V6" s="588"/>
    </row>
    <row r="7" spans="1:22">
      <c r="A7" s="589"/>
      <c r="B7" s="589"/>
      <c r="C7" s="589"/>
      <c r="D7" s="589"/>
      <c r="E7" s="589"/>
      <c r="F7" s="589"/>
      <c r="G7" s="589"/>
      <c r="H7" s="589"/>
      <c r="I7" s="589"/>
      <c r="J7" s="589"/>
      <c r="K7" s="589"/>
      <c r="L7" s="589"/>
      <c r="M7" s="589"/>
      <c r="N7" s="589"/>
      <c r="O7" s="589"/>
      <c r="P7" s="589"/>
      <c r="Q7" s="589"/>
      <c r="R7" s="589"/>
      <c r="S7" s="589"/>
      <c r="T7" s="589"/>
      <c r="U7" s="589"/>
      <c r="V7" s="589"/>
    </row>
    <row r="8" spans="1:22">
      <c r="A8" s="589"/>
      <c r="B8" s="589"/>
      <c r="C8" s="589"/>
      <c r="D8" s="589"/>
      <c r="E8" s="589"/>
      <c r="F8" s="589"/>
      <c r="G8" s="589"/>
      <c r="H8" s="589"/>
      <c r="I8" s="589"/>
      <c r="J8" s="589"/>
      <c r="K8" s="589"/>
      <c r="L8" s="589"/>
      <c r="M8" s="589"/>
      <c r="N8" s="589"/>
      <c r="O8" s="589"/>
      <c r="P8" s="589"/>
      <c r="Q8" s="589"/>
      <c r="R8" s="589"/>
      <c r="S8" s="589"/>
      <c r="T8" s="589"/>
      <c r="U8" s="589"/>
      <c r="V8" s="589"/>
    </row>
    <row r="9" spans="1:22">
      <c r="A9" s="589"/>
      <c r="B9" s="589"/>
      <c r="C9" s="589"/>
      <c r="D9" s="589"/>
      <c r="E9" s="589"/>
      <c r="F9" s="589"/>
      <c r="G9" s="589"/>
      <c r="H9" s="589"/>
      <c r="I9" s="589"/>
      <c r="J9" s="589"/>
      <c r="K9" s="589"/>
      <c r="L9" s="589"/>
      <c r="M9" s="589"/>
      <c r="N9" s="589"/>
      <c r="O9" s="589"/>
      <c r="P9" s="589"/>
      <c r="Q9" s="589"/>
      <c r="R9" s="589"/>
      <c r="S9" s="589"/>
      <c r="T9" s="589"/>
      <c r="U9" s="589"/>
      <c r="V9" s="589"/>
    </row>
    <row r="10" spans="1:22" ht="15">
      <c r="A10" s="590"/>
      <c r="B10" s="589"/>
      <c r="C10" s="589" t="s">
        <v>1248</v>
      </c>
      <c r="D10" s="589"/>
      <c r="E10" s="589"/>
      <c r="F10" s="589"/>
      <c r="G10" s="589"/>
      <c r="H10" s="589"/>
      <c r="I10" s="589"/>
      <c r="J10" s="589"/>
      <c r="K10" s="589"/>
      <c r="L10" s="589"/>
      <c r="M10" s="589"/>
      <c r="N10" s="589"/>
      <c r="O10" s="589"/>
      <c r="P10" s="589"/>
      <c r="Q10" s="589"/>
      <c r="R10" s="589"/>
      <c r="S10" s="589"/>
      <c r="T10" s="589"/>
      <c r="U10" s="589"/>
      <c r="V10" s="589"/>
    </row>
    <row r="11" spans="1:22">
      <c r="A11" s="591"/>
      <c r="B11" s="591"/>
      <c r="C11" s="592">
        <v>1</v>
      </c>
      <c r="D11" s="592">
        <v>2</v>
      </c>
      <c r="E11" s="592">
        <v>3</v>
      </c>
      <c r="F11" s="592">
        <v>4</v>
      </c>
      <c r="G11" s="592">
        <v>5</v>
      </c>
      <c r="H11" s="592">
        <v>6</v>
      </c>
      <c r="I11" s="592">
        <v>7</v>
      </c>
      <c r="J11" s="592">
        <v>8</v>
      </c>
      <c r="K11" s="592">
        <v>9</v>
      </c>
      <c r="L11" s="593">
        <v>10</v>
      </c>
      <c r="M11" s="593">
        <v>11</v>
      </c>
      <c r="N11" s="593">
        <v>12</v>
      </c>
      <c r="O11" s="593">
        <v>13</v>
      </c>
      <c r="P11" s="593">
        <v>14</v>
      </c>
      <c r="Q11" s="593">
        <v>15</v>
      </c>
      <c r="R11" s="593">
        <v>16</v>
      </c>
      <c r="S11" s="593">
        <v>17</v>
      </c>
      <c r="T11" s="593">
        <v>18</v>
      </c>
      <c r="U11" s="593">
        <v>19</v>
      </c>
      <c r="V11" s="593">
        <v>20</v>
      </c>
    </row>
    <row r="12" spans="1:22">
      <c r="A12" s="589"/>
      <c r="B12" s="589"/>
      <c r="C12" s="594"/>
      <c r="D12" s="594"/>
      <c r="E12" s="594"/>
      <c r="F12" s="594"/>
      <c r="G12" s="594"/>
      <c r="H12" s="594"/>
      <c r="I12" s="594"/>
      <c r="J12" s="594"/>
      <c r="K12" s="594"/>
      <c r="L12" s="594"/>
      <c r="M12" s="594"/>
      <c r="N12" s="594"/>
      <c r="O12" s="594"/>
      <c r="P12" s="594"/>
      <c r="Q12" s="594"/>
      <c r="R12" s="594"/>
      <c r="S12" s="594"/>
      <c r="T12" s="594"/>
      <c r="U12" s="594"/>
      <c r="V12" s="594"/>
    </row>
    <row r="13" spans="1:22">
      <c r="A13" s="589"/>
      <c r="B13" s="595" t="s">
        <v>1249</v>
      </c>
      <c r="C13" s="596">
        <f>-SUM('ERR Summary'!C4:C8)/8.3</f>
        <v>2499.212469572688</v>
      </c>
      <c r="D13" s="596">
        <f>-SUM('ERR Summary'!D4:D8)/8.3</f>
        <v>632.36032740379721</v>
      </c>
      <c r="E13" s="596">
        <f>-SUM('ERR Summary'!E4:E8)/8.3</f>
        <v>1840.133040611229</v>
      </c>
      <c r="F13" s="596">
        <f>-SUM('ERR Summary'!F4:F8)/8.3</f>
        <v>2709.7337142602014</v>
      </c>
      <c r="G13" s="596">
        <f>-SUM('ERR Summary'!G4:G8)/8.3</f>
        <v>12972.697108561995</v>
      </c>
      <c r="H13" s="596">
        <f>-SUM('ERR Summary'!H4:H8)/8.3</f>
        <v>27326.294825194742</v>
      </c>
      <c r="I13" s="594"/>
      <c r="J13" s="594"/>
      <c r="K13" s="594"/>
      <c r="L13" s="594"/>
      <c r="M13" s="594"/>
      <c r="N13" s="594"/>
      <c r="O13" s="594"/>
      <c r="P13" s="594"/>
      <c r="Q13" s="594"/>
      <c r="R13" s="594"/>
      <c r="S13" s="594"/>
      <c r="T13" s="594"/>
      <c r="U13" s="594"/>
      <c r="V13" s="594"/>
    </row>
    <row r="14" spans="1:22">
      <c r="A14" s="589"/>
      <c r="B14" s="589"/>
      <c r="C14" s="594"/>
      <c r="D14" s="594"/>
      <c r="E14" s="594"/>
      <c r="F14" s="594"/>
      <c r="G14" s="594"/>
      <c r="H14" s="594"/>
      <c r="I14" s="594"/>
      <c r="J14" s="594"/>
      <c r="K14" s="594"/>
      <c r="L14" s="594"/>
      <c r="M14" s="594"/>
      <c r="N14" s="594"/>
      <c r="O14" s="594"/>
      <c r="P14" s="594"/>
      <c r="Q14" s="594"/>
      <c r="R14" s="594"/>
      <c r="S14" s="594"/>
      <c r="T14" s="594"/>
      <c r="U14" s="594"/>
      <c r="V14" s="594"/>
    </row>
    <row r="15" spans="1:22">
      <c r="A15" s="589"/>
      <c r="B15" s="595" t="s">
        <v>1250</v>
      </c>
      <c r="C15" s="597">
        <f>('ERR Summary'!C22-SUM('ERR Summary'!C4:C8))/8.3</f>
        <v>0</v>
      </c>
      <c r="D15" s="597">
        <f>('ERR Summary'!D22-SUM('ERR Summary'!D4:D8))/8.3</f>
        <v>-78.126434460315409</v>
      </c>
      <c r="E15" s="597">
        <f>('ERR Summary'!E22-SUM('ERR Summary'!E4:E8))/8.3</f>
        <v>690.85718738716844</v>
      </c>
      <c r="F15" s="597">
        <f>('ERR Summary'!F22-SUM('ERR Summary'!F4:F8))/8.3</f>
        <v>1678.8145324620159</v>
      </c>
      <c r="G15" s="597">
        <f>('ERR Summary'!G22-SUM('ERR Summary'!G4:G8))/8.3</f>
        <v>1678.814532462015</v>
      </c>
      <c r="H15" s="597">
        <f>('ERR Summary'!H22-SUM('ERR Summary'!H4:H8))/8.3</f>
        <v>1678.8145324620186</v>
      </c>
      <c r="I15" s="597">
        <f>('ERR Summary'!I22-SUM('ERR Summary'!I4:I8))/8.3</f>
        <v>1678.8145324620159</v>
      </c>
      <c r="J15" s="597">
        <f>('ERR Summary'!J22-SUM('ERR Summary'!J4:J8))/8.3</f>
        <v>7470.2498935976309</v>
      </c>
      <c r="K15" s="597">
        <f>('ERR Summary'!K22-SUM('ERR Summary'!K4:K8))/8.3</f>
        <v>11170.203913145375</v>
      </c>
      <c r="L15" s="597">
        <f>('ERR Summary'!L22-SUM('ERR Summary'!L4:L8))/8.3</f>
        <v>11170.203913145375</v>
      </c>
      <c r="M15" s="597">
        <f>('ERR Summary'!M22-SUM('ERR Summary'!M4:M8))/8.3</f>
        <v>11170.203913145375</v>
      </c>
      <c r="N15" s="597">
        <f>('ERR Summary'!N22-SUM('ERR Summary'!N4:N8))/8.3</f>
        <v>10176.468973386338</v>
      </c>
      <c r="O15" s="597">
        <f>('ERR Summary'!O22-SUM('ERR Summary'!O4:O8))/8.3</f>
        <v>10176.468973386338</v>
      </c>
      <c r="P15" s="597">
        <f>('ERR Summary'!P22-SUM('ERR Summary'!P4:P8))/8.3</f>
        <v>11170.203913145375</v>
      </c>
      <c r="Q15" s="597">
        <f>('ERR Summary'!Q22-SUM('ERR Summary'!Q4:Q8))/8.3</f>
        <v>11170.203913145375</v>
      </c>
      <c r="R15" s="597">
        <f>('ERR Summary'!R22-SUM('ERR Summary'!R4:R8))/8.3</f>
        <v>11170.203913145375</v>
      </c>
      <c r="S15" s="597">
        <f>('ERR Summary'!S22-SUM('ERR Summary'!S4:S8))/8.3</f>
        <v>11170.203913145375</v>
      </c>
      <c r="T15" s="597">
        <f>('ERR Summary'!T22-SUM('ERR Summary'!T4:T8))/8.3</f>
        <v>11170.203913145375</v>
      </c>
      <c r="U15" s="597">
        <f>('ERR Summary'!U22-SUM('ERR Summary'!U4:U8))/8.3</f>
        <v>11170.203913145375</v>
      </c>
      <c r="V15" s="597">
        <f>('ERR Summary'!V22-SUM('ERR Summary'!V4:V8))/8.3</f>
        <v>11170.203913145375</v>
      </c>
    </row>
    <row r="16" spans="1:22">
      <c r="A16" s="589"/>
      <c r="B16" s="589"/>
      <c r="C16" s="594"/>
      <c r="D16" s="594"/>
      <c r="E16" s="594"/>
      <c r="F16" s="594"/>
      <c r="G16" s="594"/>
      <c r="H16" s="594"/>
      <c r="I16" s="594"/>
      <c r="J16" s="594"/>
      <c r="K16" s="594"/>
      <c r="L16" s="594"/>
      <c r="M16" s="594"/>
      <c r="N16" s="594"/>
      <c r="O16" s="594"/>
      <c r="P16" s="594"/>
      <c r="Q16" s="594"/>
      <c r="R16" s="594"/>
      <c r="S16" s="594"/>
      <c r="T16" s="594"/>
      <c r="U16" s="594"/>
      <c r="V16" s="594"/>
    </row>
    <row r="17" spans="1:22">
      <c r="A17" s="589"/>
      <c r="B17" s="595" t="s">
        <v>1251</v>
      </c>
      <c r="C17" s="598">
        <f>C15-C13</f>
        <v>-2499.212469572688</v>
      </c>
      <c r="D17" s="598">
        <f t="shared" ref="D17:V17" si="0">D15-D13</f>
        <v>-710.48676186411262</v>
      </c>
      <c r="E17" s="598">
        <f t="shared" si="0"/>
        <v>-1149.2758532240605</v>
      </c>
      <c r="F17" s="598">
        <f t="shared" si="0"/>
        <v>-1030.9191817981855</v>
      </c>
      <c r="G17" s="598">
        <f t="shared" si="0"/>
        <v>-11293.882576099981</v>
      </c>
      <c r="H17" s="598">
        <f t="shared" si="0"/>
        <v>-25647.480292732722</v>
      </c>
      <c r="I17" s="598">
        <f t="shared" si="0"/>
        <v>1678.8145324620159</v>
      </c>
      <c r="J17" s="598">
        <f t="shared" si="0"/>
        <v>7470.2498935976309</v>
      </c>
      <c r="K17" s="598">
        <f t="shared" si="0"/>
        <v>11170.203913145375</v>
      </c>
      <c r="L17" s="598">
        <f t="shared" si="0"/>
        <v>11170.203913145375</v>
      </c>
      <c r="M17" s="598">
        <f t="shared" si="0"/>
        <v>11170.203913145375</v>
      </c>
      <c r="N17" s="598">
        <f t="shared" si="0"/>
        <v>10176.468973386338</v>
      </c>
      <c r="O17" s="598">
        <f t="shared" si="0"/>
        <v>10176.468973386338</v>
      </c>
      <c r="P17" s="598">
        <f t="shared" si="0"/>
        <v>11170.203913145375</v>
      </c>
      <c r="Q17" s="598">
        <f t="shared" si="0"/>
        <v>11170.203913145375</v>
      </c>
      <c r="R17" s="598">
        <f t="shared" si="0"/>
        <v>11170.203913145375</v>
      </c>
      <c r="S17" s="598">
        <f t="shared" si="0"/>
        <v>11170.203913145375</v>
      </c>
      <c r="T17" s="598">
        <f t="shared" si="0"/>
        <v>11170.203913145375</v>
      </c>
      <c r="U17" s="598">
        <f t="shared" si="0"/>
        <v>11170.203913145375</v>
      </c>
      <c r="V17" s="598">
        <f t="shared" si="0"/>
        <v>11170.203913145375</v>
      </c>
    </row>
    <row r="18" spans="1:22">
      <c r="A18" s="589"/>
      <c r="B18" s="589"/>
      <c r="C18" s="594"/>
      <c r="D18" s="594"/>
      <c r="E18" s="594"/>
      <c r="F18" s="594"/>
      <c r="G18" s="594"/>
      <c r="H18" s="594"/>
      <c r="I18" s="594"/>
      <c r="J18" s="594"/>
      <c r="K18" s="594"/>
      <c r="L18" s="594"/>
      <c r="M18" s="594"/>
      <c r="N18" s="594"/>
      <c r="O18" s="594"/>
      <c r="P18" s="594"/>
      <c r="Q18" s="594"/>
      <c r="R18" s="594"/>
      <c r="S18" s="594"/>
      <c r="T18" s="594"/>
      <c r="U18" s="594"/>
      <c r="V18" s="594"/>
    </row>
    <row r="19" spans="1:22">
      <c r="A19" s="589"/>
      <c r="B19" s="595" t="s">
        <v>5</v>
      </c>
      <c r="C19" s="599">
        <f>IRR(C17:V17)</f>
        <v>0.16302930400217885</v>
      </c>
      <c r="D19" s="594"/>
      <c r="E19" s="594"/>
      <c r="F19" s="594"/>
      <c r="G19" s="594"/>
      <c r="H19" s="594"/>
      <c r="I19" s="594"/>
      <c r="J19" s="594"/>
      <c r="K19" s="594"/>
      <c r="L19" s="594"/>
      <c r="M19" s="594"/>
      <c r="N19" s="594"/>
      <c r="O19" s="594"/>
      <c r="P19" s="594"/>
      <c r="Q19" s="594"/>
      <c r="R19" s="594"/>
      <c r="S19" s="594"/>
      <c r="T19" s="594"/>
      <c r="U19" s="594"/>
      <c r="V19" s="594"/>
    </row>
    <row r="20" spans="1:22">
      <c r="A20" s="589"/>
      <c r="B20" s="595"/>
      <c r="C20" s="589"/>
      <c r="D20" s="589"/>
      <c r="E20" s="589"/>
      <c r="F20" s="589"/>
      <c r="G20" s="589"/>
      <c r="H20" s="589"/>
      <c r="I20" s="589"/>
      <c r="J20" s="589"/>
      <c r="K20" s="589"/>
      <c r="L20" s="589"/>
      <c r="M20" s="589"/>
      <c r="N20" s="589"/>
      <c r="O20" s="589"/>
      <c r="P20" s="589"/>
      <c r="Q20" s="589"/>
      <c r="R20" s="589"/>
      <c r="S20" s="589"/>
      <c r="T20" s="589"/>
      <c r="U20" s="589"/>
      <c r="V20" s="589"/>
    </row>
    <row r="21" spans="1:22">
      <c r="A21" s="589"/>
      <c r="B21" s="589"/>
      <c r="C21" s="589"/>
      <c r="D21" s="589"/>
      <c r="E21" s="589"/>
      <c r="F21" s="589"/>
      <c r="G21" s="589"/>
      <c r="H21" s="589"/>
      <c r="I21" s="589"/>
      <c r="J21" s="589"/>
      <c r="K21" s="589"/>
      <c r="L21" s="589"/>
      <c r="M21" s="589"/>
      <c r="N21" s="589"/>
      <c r="O21" s="589"/>
      <c r="P21" s="589"/>
      <c r="Q21" s="589"/>
      <c r="R21" s="589"/>
      <c r="S21" s="589"/>
      <c r="T21" s="589"/>
      <c r="U21" s="589"/>
      <c r="V21" s="589"/>
    </row>
  </sheetData>
  <mergeCells count="2">
    <mergeCell ref="A2:B6"/>
    <mergeCell ref="C2:D6"/>
  </mergeCells>
  <conditionalFormatting sqref="B1">
    <cfRule type="cellIs" dxfId="15" priority="1" stopIfTrue="1" operator="equal">
      <formula>0</formula>
    </cfRule>
    <cfRule type="cellIs" dxfId="14" priority="2" stopIfTrue="1" operator="notEqual">
      <formula>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L44"/>
  <sheetViews>
    <sheetView showGridLines="0" tabSelected="1" zoomScale="85" zoomScaleNormal="100" workbookViewId="0">
      <selection activeCell="A33" sqref="A33"/>
    </sheetView>
  </sheetViews>
  <sheetFormatPr defaultColWidth="9.140625" defaultRowHeight="12.75"/>
  <cols>
    <col min="1" max="1" width="36.42578125" style="71" customWidth="1"/>
    <col min="2" max="2" width="16" style="71" customWidth="1"/>
    <col min="3" max="3" width="11.28515625" style="71" bestFit="1" customWidth="1"/>
    <col min="4" max="4" width="11.28515625" style="71" customWidth="1"/>
    <col min="5" max="5" width="10.85546875" style="71" bestFit="1" customWidth="1"/>
    <col min="6" max="23" width="11.28515625" style="71" bestFit="1" customWidth="1"/>
    <col min="24" max="27" width="10.28515625" style="71" bestFit="1" customWidth="1"/>
    <col min="28" max="33" width="10.140625" style="71" bestFit="1" customWidth="1"/>
    <col min="34" max="16384" width="9.140625" style="71"/>
  </cols>
  <sheetData>
    <row r="1" spans="1:38" s="256" customFormat="1" ht="20.25">
      <c r="A1" s="629" t="s">
        <v>168</v>
      </c>
      <c r="B1" s="629"/>
      <c r="C1" s="629"/>
      <c r="D1" s="629"/>
      <c r="E1" s="629"/>
      <c r="F1" s="629"/>
      <c r="G1" s="629"/>
      <c r="H1" s="629"/>
      <c r="I1" s="629"/>
      <c r="J1" s="629"/>
      <c r="K1" s="629"/>
      <c r="L1" s="629"/>
    </row>
    <row r="2" spans="1:38">
      <c r="A2" s="615">
        <f>IF('ERR &amp; Sensitivity Analysis'!$I$10="N","Note: Current calculations are based on user input and are not the original MCC estimates.",IF('ERR &amp; Sensitivity Analysis'!$I$11="N","Note: Current calculations are based on user input and are not the original MCC estimates.",0))</f>
        <v>0</v>
      </c>
      <c r="B2" s="615"/>
      <c r="C2" s="615"/>
      <c r="D2" s="615"/>
      <c r="E2" s="615"/>
      <c r="F2" s="615"/>
      <c r="G2" s="615"/>
      <c r="H2" s="615"/>
      <c r="I2" s="615"/>
    </row>
    <row r="3" spans="1:38">
      <c r="A3" s="72" t="s">
        <v>62</v>
      </c>
      <c r="B3" s="108" t="s">
        <v>167</v>
      </c>
      <c r="C3" s="71">
        <v>0</v>
      </c>
      <c r="D3" s="71">
        <f t="shared" ref="D3:AG3" si="0">+C3+1</f>
        <v>1</v>
      </c>
      <c r="E3" s="71">
        <f t="shared" si="0"/>
        <v>2</v>
      </c>
      <c r="F3" s="71">
        <f t="shared" si="0"/>
        <v>3</v>
      </c>
      <c r="G3" s="71">
        <f t="shared" si="0"/>
        <v>4</v>
      </c>
      <c r="H3" s="71">
        <f t="shared" si="0"/>
        <v>5</v>
      </c>
      <c r="I3" s="71">
        <f t="shared" si="0"/>
        <v>6</v>
      </c>
      <c r="J3" s="71">
        <f t="shared" si="0"/>
        <v>7</v>
      </c>
      <c r="K3" s="71">
        <f t="shared" si="0"/>
        <v>8</v>
      </c>
      <c r="L3" s="71">
        <f t="shared" si="0"/>
        <v>9</v>
      </c>
      <c r="M3" s="71">
        <f t="shared" si="0"/>
        <v>10</v>
      </c>
      <c r="N3" s="71">
        <f t="shared" si="0"/>
        <v>11</v>
      </c>
      <c r="O3" s="71">
        <f t="shared" si="0"/>
        <v>12</v>
      </c>
      <c r="P3" s="71">
        <f t="shared" si="0"/>
        <v>13</v>
      </c>
      <c r="Q3" s="71">
        <f t="shared" si="0"/>
        <v>14</v>
      </c>
      <c r="R3" s="71">
        <f t="shared" si="0"/>
        <v>15</v>
      </c>
      <c r="S3" s="71">
        <f t="shared" si="0"/>
        <v>16</v>
      </c>
      <c r="T3" s="71">
        <f t="shared" si="0"/>
        <v>17</v>
      </c>
      <c r="U3" s="71">
        <f t="shared" si="0"/>
        <v>18</v>
      </c>
      <c r="V3" s="71">
        <f t="shared" si="0"/>
        <v>19</v>
      </c>
      <c r="W3" s="71">
        <f t="shared" si="0"/>
        <v>20</v>
      </c>
      <c r="X3" s="71">
        <f t="shared" si="0"/>
        <v>21</v>
      </c>
      <c r="Y3" s="71">
        <f t="shared" si="0"/>
        <v>22</v>
      </c>
      <c r="Z3" s="71">
        <f t="shared" si="0"/>
        <v>23</v>
      </c>
      <c r="AA3" s="71">
        <f t="shared" si="0"/>
        <v>24</v>
      </c>
      <c r="AB3" s="71">
        <f t="shared" si="0"/>
        <v>25</v>
      </c>
      <c r="AC3" s="71">
        <f t="shared" si="0"/>
        <v>26</v>
      </c>
      <c r="AD3" s="71">
        <f t="shared" si="0"/>
        <v>27</v>
      </c>
      <c r="AE3" s="71">
        <f t="shared" si="0"/>
        <v>28</v>
      </c>
      <c r="AF3" s="71">
        <f t="shared" si="0"/>
        <v>29</v>
      </c>
      <c r="AG3" s="71">
        <f t="shared" si="0"/>
        <v>30</v>
      </c>
    </row>
    <row r="4" spans="1:38">
      <c r="A4" s="73" t="s">
        <v>63</v>
      </c>
      <c r="B4" s="73"/>
      <c r="C4" s="74">
        <f>'MG Unit Model 2'!B105</f>
        <v>0</v>
      </c>
      <c r="D4" s="74">
        <f>-(D40+D42)/1000</f>
        <v>-4808.9482549002023</v>
      </c>
      <c r="E4" s="74">
        <f t="shared" ref="E4:H4" si="1">-(E40+E42)/1000</f>
        <v>-14636.902685901854</v>
      </c>
      <c r="F4" s="74">
        <f t="shared" si="1"/>
        <v>-22147.326330906362</v>
      </c>
      <c r="G4" s="74">
        <f t="shared" si="1"/>
        <v>-107329.92250361126</v>
      </c>
      <c r="H4" s="74">
        <f t="shared" si="1"/>
        <v>-226808.24704911638</v>
      </c>
    </row>
    <row r="5" spans="1:38">
      <c r="A5" s="162" t="s">
        <v>423</v>
      </c>
      <c r="B5" s="73"/>
      <c r="C5" s="163">
        <f>-10200*'ERR &amp; Sensitivity Analysis'!$G$10</f>
        <v>-10200</v>
      </c>
      <c r="D5" s="163"/>
      <c r="E5" s="163"/>
      <c r="F5" s="162"/>
      <c r="G5" s="162"/>
    </row>
    <row r="6" spans="1:38">
      <c r="A6" s="162" t="s">
        <v>264</v>
      </c>
      <c r="B6" s="73"/>
      <c r="C6" s="163">
        <f>-10200*'ERR &amp; Sensitivity Analysis'!$G$10</f>
        <v>-10200</v>
      </c>
      <c r="D6" s="163"/>
      <c r="E6" s="163"/>
      <c r="F6" s="162"/>
      <c r="G6" s="162"/>
    </row>
    <row r="7" spans="1:38">
      <c r="A7" s="162" t="s">
        <v>265</v>
      </c>
      <c r="B7" s="73"/>
      <c r="C7" s="163">
        <f>0.02*C4</f>
        <v>0</v>
      </c>
      <c r="D7" s="163">
        <f>0.02*D4</f>
        <v>-96.178965098004042</v>
      </c>
      <c r="E7" s="163">
        <f>0.02*E4</f>
        <v>-292.73805371803707</v>
      </c>
      <c r="F7" s="162"/>
      <c r="G7" s="162"/>
    </row>
    <row r="8" spans="1:38">
      <c r="A8" s="162" t="s">
        <v>266</v>
      </c>
      <c r="B8" s="73"/>
      <c r="C8" s="163">
        <f>-(238/1178)*(1000000/1000)*8.5/5*'ERR &amp; Sensitivity Analysis'!$G$10</f>
        <v>-343.46349745331065</v>
      </c>
      <c r="D8" s="163">
        <f>-(238/1178)*(1000000/1000)*8.5/5*'ERR &amp; Sensitivity Analysis'!$G$10</f>
        <v>-343.46349745331065</v>
      </c>
      <c r="E8" s="163">
        <f>-(238/1178)*(1000000/1000)*8.5/5*'ERR &amp; Sensitivity Analysis'!$G$10</f>
        <v>-343.46349745331065</v>
      </c>
      <c r="F8" s="163">
        <f>-(238/1178)*(1000000/1000)*8.5/5*'ERR &amp; Sensitivity Analysis'!$G$10</f>
        <v>-343.46349745331065</v>
      </c>
      <c r="G8" s="163">
        <f>-(238/1178)*(1000000/1000)*8.5/5*'ERR &amp; Sensitivity Analysis'!$G$10</f>
        <v>-343.46349745331065</v>
      </c>
    </row>
    <row r="10" spans="1:38">
      <c r="A10" s="71" t="s">
        <v>152</v>
      </c>
      <c r="D10" s="75">
        <f>'Value Chain'!F60+'Value Chain'!J60</f>
        <v>0</v>
      </c>
      <c r="E10" s="75">
        <f>'Value Chain'!F60+'Value Chain'!J60+'Value Chain'!K60+'Value Chain'!L60+'Value Chain'!O60</f>
        <v>48068.913497425616</v>
      </c>
      <c r="F10" s="75">
        <f>'Value Chain'!D60</f>
        <v>78778.531859671872</v>
      </c>
      <c r="G10" s="75">
        <f>F10</f>
        <v>78778.531859671872</v>
      </c>
      <c r="H10" s="75">
        <f t="shared" ref="H10:AG10" si="2">G10</f>
        <v>78778.531859671872</v>
      </c>
      <c r="I10" s="75">
        <f t="shared" si="2"/>
        <v>78778.531859671872</v>
      </c>
      <c r="J10" s="75">
        <f t="shared" si="2"/>
        <v>78778.531859671872</v>
      </c>
      <c r="K10" s="75">
        <f t="shared" si="2"/>
        <v>78778.531859671872</v>
      </c>
      <c r="L10" s="75">
        <f t="shared" si="2"/>
        <v>78778.531859671872</v>
      </c>
      <c r="M10" s="75">
        <f t="shared" si="2"/>
        <v>78778.531859671872</v>
      </c>
      <c r="N10" s="75">
        <f t="shared" si="2"/>
        <v>78778.531859671872</v>
      </c>
      <c r="O10" s="75">
        <f t="shared" si="2"/>
        <v>78778.531859671872</v>
      </c>
      <c r="P10" s="75">
        <f t="shared" si="2"/>
        <v>78778.531859671872</v>
      </c>
      <c r="Q10" s="75">
        <f t="shared" si="2"/>
        <v>78778.531859671872</v>
      </c>
      <c r="R10" s="75">
        <f t="shared" si="2"/>
        <v>78778.531859671872</v>
      </c>
      <c r="S10" s="75">
        <f t="shared" si="2"/>
        <v>78778.531859671872</v>
      </c>
      <c r="T10" s="75">
        <f t="shared" si="2"/>
        <v>78778.531859671872</v>
      </c>
      <c r="U10" s="75">
        <f t="shared" si="2"/>
        <v>78778.531859671872</v>
      </c>
      <c r="V10" s="75">
        <f t="shared" si="2"/>
        <v>78778.531859671872</v>
      </c>
      <c r="W10" s="75">
        <f t="shared" si="2"/>
        <v>78778.531859671872</v>
      </c>
      <c r="X10" s="75">
        <f t="shared" si="2"/>
        <v>78778.531859671872</v>
      </c>
      <c r="Y10" s="75">
        <f t="shared" si="2"/>
        <v>78778.531859671872</v>
      </c>
      <c r="Z10" s="75">
        <f t="shared" si="2"/>
        <v>78778.531859671872</v>
      </c>
      <c r="AA10" s="75">
        <f t="shared" si="2"/>
        <v>78778.531859671872</v>
      </c>
      <c r="AB10" s="75">
        <f t="shared" si="2"/>
        <v>78778.531859671872</v>
      </c>
      <c r="AC10" s="75">
        <f t="shared" si="2"/>
        <v>78778.531859671872</v>
      </c>
      <c r="AD10" s="75">
        <f t="shared" si="2"/>
        <v>78778.531859671872</v>
      </c>
      <c r="AE10" s="75">
        <f t="shared" si="2"/>
        <v>78778.531859671872</v>
      </c>
      <c r="AF10" s="75">
        <f t="shared" si="2"/>
        <v>78778.531859671872</v>
      </c>
      <c r="AG10" s="75">
        <f t="shared" si="2"/>
        <v>78778.531859671872</v>
      </c>
    </row>
    <row r="11" spans="1:38">
      <c r="D11" s="75"/>
      <c r="E11" s="75"/>
      <c r="F11" s="75"/>
      <c r="G11" s="75"/>
      <c r="H11" s="75"/>
      <c r="I11" s="75">
        <f>D10</f>
        <v>0</v>
      </c>
      <c r="J11" s="75">
        <f t="shared" ref="J11:W11" si="3">E10</f>
        <v>48068.913497425616</v>
      </c>
      <c r="K11" s="75">
        <f t="shared" si="3"/>
        <v>78778.531859671872</v>
      </c>
      <c r="L11" s="75">
        <f t="shared" si="3"/>
        <v>78778.531859671872</v>
      </c>
      <c r="M11" s="75">
        <f t="shared" si="3"/>
        <v>78778.531859671872</v>
      </c>
      <c r="N11" s="75">
        <f t="shared" si="3"/>
        <v>78778.531859671872</v>
      </c>
      <c r="O11" s="75">
        <f t="shared" si="3"/>
        <v>78778.531859671872</v>
      </c>
      <c r="P11" s="75">
        <f t="shared" si="3"/>
        <v>78778.531859671872</v>
      </c>
      <c r="Q11" s="75">
        <f t="shared" si="3"/>
        <v>78778.531859671872</v>
      </c>
      <c r="R11" s="75">
        <f t="shared" si="3"/>
        <v>78778.531859671872</v>
      </c>
      <c r="S11" s="75">
        <f t="shared" si="3"/>
        <v>78778.531859671872</v>
      </c>
      <c r="T11" s="75">
        <f t="shared" si="3"/>
        <v>78778.531859671872</v>
      </c>
      <c r="U11" s="75">
        <f t="shared" si="3"/>
        <v>78778.531859671872</v>
      </c>
      <c r="V11" s="75">
        <f t="shared" si="3"/>
        <v>78778.531859671872</v>
      </c>
      <c r="W11" s="75">
        <f t="shared" si="3"/>
        <v>78778.531859671872</v>
      </c>
      <c r="X11" s="75"/>
      <c r="Y11" s="75"/>
      <c r="Z11" s="75"/>
      <c r="AA11" s="75"/>
      <c r="AB11" s="75"/>
      <c r="AC11" s="75"/>
      <c r="AD11" s="75"/>
      <c r="AE11" s="75"/>
      <c r="AF11" s="75"/>
      <c r="AG11" s="75"/>
    </row>
    <row r="12" spans="1:38">
      <c r="A12" s="108" t="s">
        <v>255</v>
      </c>
      <c r="C12" s="122">
        <f>'MG Unit Model 2'!B98+SUM(C5:C8)</f>
        <v>-20743.463497453311</v>
      </c>
      <c r="D12" s="122">
        <f>'MG Unit Model 2'!C98+SUM(D5:D8)</f>
        <v>-5248.5907174515169</v>
      </c>
      <c r="E12" s="122">
        <f>'MG Unit Model 2'!D98+SUM(E5:E8)</f>
        <v>-12315.632038163738</v>
      </c>
      <c r="F12" s="122">
        <f>'MG Unit Model 2'!E98+SUM(F5:F8)</f>
        <v>-13954.220375428566</v>
      </c>
      <c r="G12" s="122">
        <f>'MG Unit Model 2'!F98+SUM(G5:G8)</f>
        <v>-99136.816548133473</v>
      </c>
      <c r="H12" s="122">
        <f>'MG Unit Model 2'!G98</f>
        <v>-218271.67759618527</v>
      </c>
      <c r="I12" s="122">
        <f>'MG Unit Model 2'!H98</f>
        <v>8536.5694529311077</v>
      </c>
      <c r="J12" s="122">
        <f>'MG Unit Model 2'!I98</f>
        <v>8536.5694529311077</v>
      </c>
      <c r="K12" s="122">
        <f>'MG Unit Model 2'!J98</f>
        <v>8536.5694529311077</v>
      </c>
      <c r="L12" s="122">
        <f>'MG Unit Model 2'!K98</f>
        <v>8536.5694529311077</v>
      </c>
      <c r="M12" s="122">
        <f>'MG Unit Model 2'!L98</f>
        <v>8536.5694529311077</v>
      </c>
      <c r="N12" s="122">
        <f>'MG Unit Model 2'!M98</f>
        <v>288.56945293110766</v>
      </c>
      <c r="O12" s="122">
        <f>'MG Unit Model 2'!N98</f>
        <v>288.56945293110766</v>
      </c>
      <c r="P12" s="122">
        <f>'MG Unit Model 2'!O98</f>
        <v>8536.5694529311077</v>
      </c>
      <c r="Q12" s="122">
        <f>'MG Unit Model 2'!P98</f>
        <v>8536.5694529311077</v>
      </c>
      <c r="R12" s="122">
        <f>'MG Unit Model 2'!Q98</f>
        <v>8536.5694529311077</v>
      </c>
      <c r="S12" s="122">
        <f>'MG Unit Model 2'!R98</f>
        <v>8536.5694529311077</v>
      </c>
      <c r="T12" s="122">
        <f>'MG Unit Model 2'!S98</f>
        <v>8536.5694529311077</v>
      </c>
      <c r="U12" s="122">
        <f>'MG Unit Model 2'!T98</f>
        <v>8536.5694529311077</v>
      </c>
      <c r="V12" s="122">
        <f>'MG Unit Model 2'!U98</f>
        <v>8536.5694529311077</v>
      </c>
      <c r="W12" s="122">
        <f>'MG Unit Model 2'!V98</f>
        <v>8536.5694529311077</v>
      </c>
      <c r="X12" s="122">
        <f>'MG Unit Model 2'!W98</f>
        <v>288.56945293110766</v>
      </c>
      <c r="Y12" s="122">
        <f>'MG Unit Model 2'!X98</f>
        <v>288.56945293110766</v>
      </c>
      <c r="Z12" s="122">
        <f>'MG Unit Model 2'!Y98</f>
        <v>8536.5694529311077</v>
      </c>
      <c r="AA12" s="122">
        <f>'MG Unit Model 2'!Z98</f>
        <v>8536.5694529311077</v>
      </c>
      <c r="AB12" s="122">
        <f>'MG Unit Model 2'!AA98</f>
        <v>8536.5694529311077</v>
      </c>
      <c r="AC12" s="122">
        <f>'MG Unit Model 2'!AB98</f>
        <v>8536.5694529311077</v>
      </c>
      <c r="AD12" s="122">
        <f>'MG Unit Model 2'!AC98</f>
        <v>8536.5694529311077</v>
      </c>
      <c r="AE12" s="122">
        <f>'MG Unit Model 2'!AD98</f>
        <v>8536.5694529311077</v>
      </c>
      <c r="AF12" s="122">
        <f>'MG Unit Model 2'!AE98</f>
        <v>8536.5694529311077</v>
      </c>
      <c r="AG12" s="122">
        <f>AF12</f>
        <v>8536.5694529311077</v>
      </c>
      <c r="AH12" s="630" t="s">
        <v>254</v>
      </c>
      <c r="AI12" s="631"/>
      <c r="AJ12" s="631"/>
      <c r="AK12" s="631"/>
      <c r="AL12" s="631"/>
    </row>
    <row r="13" spans="1:38" s="108" customFormat="1">
      <c r="A13" s="108" t="s">
        <v>181</v>
      </c>
      <c r="C13" s="123"/>
      <c r="D13" s="123">
        <f>SUM(D14:D15)</f>
        <v>70</v>
      </c>
      <c r="E13" s="123">
        <f t="shared" ref="E13:AG13" si="4">SUM(E14:E15)</f>
        <v>16830.49586121627</v>
      </c>
      <c r="F13" s="123">
        <f t="shared" si="4"/>
        <v>32041.703902857003</v>
      </c>
      <c r="G13" s="123">
        <f t="shared" si="4"/>
        <v>32041.703902857003</v>
      </c>
      <c r="H13" s="123">
        <f>SUM(H14:H15)</f>
        <v>32041.703902857003</v>
      </c>
      <c r="I13" s="123">
        <f t="shared" si="4"/>
        <v>32041.703902857003</v>
      </c>
      <c r="J13" s="123">
        <f t="shared" si="4"/>
        <v>32041.703902857003</v>
      </c>
      <c r="K13" s="123">
        <f t="shared" si="4"/>
        <v>32041.703902857003</v>
      </c>
      <c r="L13" s="123">
        <f t="shared" si="4"/>
        <v>32041.703902857003</v>
      </c>
      <c r="M13" s="123">
        <f t="shared" si="4"/>
        <v>32041.703902857003</v>
      </c>
      <c r="N13" s="123">
        <f t="shared" si="4"/>
        <v>32041.703902857003</v>
      </c>
      <c r="O13" s="123">
        <f t="shared" si="4"/>
        <v>32041.703902857003</v>
      </c>
      <c r="P13" s="123">
        <f t="shared" si="4"/>
        <v>32041.703902857003</v>
      </c>
      <c r="Q13" s="123">
        <f t="shared" si="4"/>
        <v>32041.703902857003</v>
      </c>
      <c r="R13" s="123">
        <f t="shared" si="4"/>
        <v>32041.703902857003</v>
      </c>
      <c r="S13" s="123">
        <f t="shared" si="4"/>
        <v>32041.703902857003</v>
      </c>
      <c r="T13" s="123">
        <f t="shared" si="4"/>
        <v>32041.703902857003</v>
      </c>
      <c r="U13" s="123">
        <f t="shared" si="4"/>
        <v>32041.703902857003</v>
      </c>
      <c r="V13" s="123">
        <f t="shared" si="4"/>
        <v>32041.703902857003</v>
      </c>
      <c r="W13" s="123">
        <f t="shared" si="4"/>
        <v>32041.703902857003</v>
      </c>
      <c r="X13" s="123">
        <f t="shared" si="4"/>
        <v>32041.703902857003</v>
      </c>
      <c r="Y13" s="123">
        <f t="shared" si="4"/>
        <v>32041.703902857003</v>
      </c>
      <c r="Z13" s="123">
        <f t="shared" si="4"/>
        <v>32041.703902857003</v>
      </c>
      <c r="AA13" s="123">
        <f t="shared" si="4"/>
        <v>32041.703902857003</v>
      </c>
      <c r="AB13" s="123">
        <f t="shared" si="4"/>
        <v>32041.703902857003</v>
      </c>
      <c r="AC13" s="123">
        <f t="shared" si="4"/>
        <v>32041.703902857003</v>
      </c>
      <c r="AD13" s="123">
        <f t="shared" si="4"/>
        <v>32041.703902857003</v>
      </c>
      <c r="AE13" s="123">
        <f t="shared" si="4"/>
        <v>32041.703902857003</v>
      </c>
      <c r="AF13" s="123">
        <f t="shared" si="4"/>
        <v>32041.703902857003</v>
      </c>
      <c r="AG13" s="123">
        <f t="shared" si="4"/>
        <v>32041.703902857003</v>
      </c>
      <c r="AH13" s="631"/>
      <c r="AI13" s="631"/>
      <c r="AJ13" s="631"/>
      <c r="AK13" s="631"/>
      <c r="AL13" s="631"/>
    </row>
    <row r="14" spans="1:38" s="121" customFormat="1" ht="11.25">
      <c r="A14" s="121" t="s">
        <v>179</v>
      </c>
      <c r="C14" s="124"/>
      <c r="D14" s="124">
        <f>'MG Unit Model 2'!C88+SUM('MG Unit Model 2'!C50:D50)</f>
        <v>70</v>
      </c>
      <c r="E14" s="124">
        <f>'MG Unit Model 2'!D88+SUM('MG Unit Model 2'!C50:G50)</f>
        <v>188.57275130952453</v>
      </c>
      <c r="F14" s="124">
        <f>'MG Unit Model 2'!E88+'MG Unit Model 2'!$K50</f>
        <v>2117.5197811138978</v>
      </c>
      <c r="G14" s="124">
        <f>'MG Unit Model 2'!F88+'MG Unit Model 2'!$K50</f>
        <v>2117.5197811138978</v>
      </c>
      <c r="H14" s="124">
        <f>'MG Unit Model 2'!G88+'MG Unit Model 2'!$K50</f>
        <v>2117.5197811138978</v>
      </c>
      <c r="I14" s="124">
        <f>'MG Unit Model 2'!H88+'MG Unit Model 2'!$K50</f>
        <v>2117.5197811138978</v>
      </c>
      <c r="J14" s="124">
        <f>'MG Unit Model 2'!I88+'MG Unit Model 2'!$K50</f>
        <v>2117.5197811138978</v>
      </c>
      <c r="K14" s="124">
        <f>'MG Unit Model 2'!J88+'MG Unit Model 2'!$K50</f>
        <v>2117.5197811138978</v>
      </c>
      <c r="L14" s="124">
        <f>'MG Unit Model 2'!K88+'MG Unit Model 2'!$K50</f>
        <v>2117.5197811138978</v>
      </c>
      <c r="M14" s="124">
        <f>'MG Unit Model 2'!L88+'MG Unit Model 2'!$K50</f>
        <v>2117.5197811138978</v>
      </c>
      <c r="N14" s="124">
        <f>'MG Unit Model 2'!M88+'MG Unit Model 2'!$K50</f>
        <v>2117.5197811138978</v>
      </c>
      <c r="O14" s="124">
        <f>'MG Unit Model 2'!N88+'MG Unit Model 2'!$K50</f>
        <v>2117.5197811138978</v>
      </c>
      <c r="P14" s="124">
        <f>'MG Unit Model 2'!O88+'MG Unit Model 2'!$K50</f>
        <v>2117.5197811138978</v>
      </c>
      <c r="Q14" s="124">
        <f>'MG Unit Model 2'!P88+'MG Unit Model 2'!$K50</f>
        <v>2117.5197811138978</v>
      </c>
      <c r="R14" s="124">
        <f>'MG Unit Model 2'!Q88+'MG Unit Model 2'!$K50</f>
        <v>2117.5197811138978</v>
      </c>
      <c r="S14" s="124">
        <f>'MG Unit Model 2'!R88+'MG Unit Model 2'!$K50</f>
        <v>2117.5197811138978</v>
      </c>
      <c r="T14" s="124">
        <f>'MG Unit Model 2'!S88+'MG Unit Model 2'!$K50</f>
        <v>2117.5197811138978</v>
      </c>
      <c r="U14" s="124">
        <f>'MG Unit Model 2'!T88+'MG Unit Model 2'!$K50</f>
        <v>2117.5197811138978</v>
      </c>
      <c r="V14" s="124">
        <f>'MG Unit Model 2'!U88+'MG Unit Model 2'!$K50</f>
        <v>2117.5197811138978</v>
      </c>
      <c r="W14" s="124">
        <f>'MG Unit Model 2'!V88+'MG Unit Model 2'!$K50</f>
        <v>2117.5197811138978</v>
      </c>
      <c r="X14" s="124">
        <f>'MG Unit Model 2'!W88+'MG Unit Model 2'!$K50</f>
        <v>2117.5197811138978</v>
      </c>
      <c r="Y14" s="124">
        <f>'MG Unit Model 2'!X88+'MG Unit Model 2'!$K50</f>
        <v>2117.5197811138978</v>
      </c>
      <c r="Z14" s="124">
        <f>'MG Unit Model 2'!Y88+'MG Unit Model 2'!$K50</f>
        <v>2117.5197811138978</v>
      </c>
      <c r="AA14" s="124">
        <f>'MG Unit Model 2'!Z88+'MG Unit Model 2'!$K50</f>
        <v>2117.5197811138978</v>
      </c>
      <c r="AB14" s="124">
        <f>'MG Unit Model 2'!AA88+'MG Unit Model 2'!$K50</f>
        <v>2117.5197811138978</v>
      </c>
      <c r="AC14" s="124">
        <f>'MG Unit Model 2'!AB88+'MG Unit Model 2'!$K50</f>
        <v>2117.5197811138978</v>
      </c>
      <c r="AD14" s="124">
        <f>'MG Unit Model 2'!AC88+'MG Unit Model 2'!$K50</f>
        <v>2117.5197811138978</v>
      </c>
      <c r="AE14" s="124">
        <f>'MG Unit Model 2'!AD88+'MG Unit Model 2'!$K50</f>
        <v>2117.5197811138978</v>
      </c>
      <c r="AF14" s="124">
        <f>'MG Unit Model 2'!AE88+'MG Unit Model 2'!$K50</f>
        <v>2117.5197811138978</v>
      </c>
      <c r="AG14" s="124">
        <f>'MG Unit Model 2'!AF88+'MG Unit Model 2'!$K50</f>
        <v>2117.5197811138978</v>
      </c>
    </row>
    <row r="15" spans="1:38" s="121" customFormat="1" ht="11.25">
      <c r="A15" s="121" t="s">
        <v>180</v>
      </c>
      <c r="C15" s="124"/>
      <c r="D15" s="124">
        <f>SUM('Value Chain'!F66:J66)</f>
        <v>0</v>
      </c>
      <c r="E15" s="124">
        <f>SUM('Value Chain'!F66:O66)</f>
        <v>16641.923109906744</v>
      </c>
      <c r="F15" s="124">
        <f>'Value Chain'!$D13+'Value Chain'!$D14+'Value Chain'!$D20+'Value Chain'!$D40+'Value Chain'!$D56</f>
        <v>29924.184121743107</v>
      </c>
      <c r="G15" s="124">
        <f>'Value Chain'!$D13+'Value Chain'!$D14+'Value Chain'!$D20+'Value Chain'!$D40+'Value Chain'!$D56</f>
        <v>29924.184121743107</v>
      </c>
      <c r="H15" s="124">
        <f>'Value Chain'!$D13+'Value Chain'!$D14+'Value Chain'!$D20+'Value Chain'!$D40+'Value Chain'!$D56</f>
        <v>29924.184121743107</v>
      </c>
      <c r="I15" s="124">
        <f>'Value Chain'!$D13+'Value Chain'!$D14+'Value Chain'!$D20+'Value Chain'!$D40+'Value Chain'!$D56</f>
        <v>29924.184121743107</v>
      </c>
      <c r="J15" s="124">
        <f>'Value Chain'!$D13+'Value Chain'!$D14+'Value Chain'!$D20+'Value Chain'!$D40+'Value Chain'!$D56</f>
        <v>29924.184121743107</v>
      </c>
      <c r="K15" s="124">
        <f>'Value Chain'!$D13+'Value Chain'!$D14+'Value Chain'!$D20+'Value Chain'!$D40+'Value Chain'!$D56</f>
        <v>29924.184121743107</v>
      </c>
      <c r="L15" s="124">
        <f>'Value Chain'!$D13+'Value Chain'!$D14+'Value Chain'!$D20+'Value Chain'!$D40+'Value Chain'!$D56</f>
        <v>29924.184121743107</v>
      </c>
      <c r="M15" s="124">
        <f>'Value Chain'!$D13+'Value Chain'!$D14+'Value Chain'!$D20+'Value Chain'!$D40+'Value Chain'!$D56</f>
        <v>29924.184121743107</v>
      </c>
      <c r="N15" s="124">
        <f>'Value Chain'!$D13+'Value Chain'!$D14+'Value Chain'!$D20+'Value Chain'!$D40+'Value Chain'!$D56</f>
        <v>29924.184121743107</v>
      </c>
      <c r="O15" s="124">
        <f>'Value Chain'!$D13+'Value Chain'!$D14+'Value Chain'!$D20+'Value Chain'!$D40+'Value Chain'!$D56</f>
        <v>29924.184121743107</v>
      </c>
      <c r="P15" s="124">
        <f>'Value Chain'!$D13+'Value Chain'!$D14+'Value Chain'!$D20+'Value Chain'!$D40+'Value Chain'!$D56</f>
        <v>29924.184121743107</v>
      </c>
      <c r="Q15" s="124">
        <f>'Value Chain'!$D13+'Value Chain'!$D14+'Value Chain'!$D20+'Value Chain'!$D40+'Value Chain'!$D56</f>
        <v>29924.184121743107</v>
      </c>
      <c r="R15" s="124">
        <f>'Value Chain'!$D13+'Value Chain'!$D14+'Value Chain'!$D20+'Value Chain'!$D40+'Value Chain'!$D56</f>
        <v>29924.184121743107</v>
      </c>
      <c r="S15" s="124">
        <f>'Value Chain'!$D13+'Value Chain'!$D14+'Value Chain'!$D20+'Value Chain'!$D40+'Value Chain'!$D56</f>
        <v>29924.184121743107</v>
      </c>
      <c r="T15" s="124">
        <f>'Value Chain'!$D13+'Value Chain'!$D14+'Value Chain'!$D20+'Value Chain'!$D40+'Value Chain'!$D56</f>
        <v>29924.184121743107</v>
      </c>
      <c r="U15" s="124">
        <f>'Value Chain'!$D13+'Value Chain'!$D14+'Value Chain'!$D20+'Value Chain'!$D40+'Value Chain'!$D56</f>
        <v>29924.184121743107</v>
      </c>
      <c r="V15" s="124">
        <f>'Value Chain'!$D13+'Value Chain'!$D14+'Value Chain'!$D20+'Value Chain'!$D40+'Value Chain'!$D56</f>
        <v>29924.184121743107</v>
      </c>
      <c r="W15" s="124">
        <f>'Value Chain'!$D13+'Value Chain'!$D14+'Value Chain'!$D20+'Value Chain'!$D40+'Value Chain'!$D56</f>
        <v>29924.184121743107</v>
      </c>
      <c r="X15" s="124">
        <f>'Value Chain'!$D13+'Value Chain'!$D14+'Value Chain'!$D20+'Value Chain'!$D40+'Value Chain'!$D56</f>
        <v>29924.184121743107</v>
      </c>
      <c r="Y15" s="124">
        <f>'Value Chain'!$D13+'Value Chain'!$D14+'Value Chain'!$D20+'Value Chain'!$D40+'Value Chain'!$D56</f>
        <v>29924.184121743107</v>
      </c>
      <c r="Z15" s="124">
        <f>'Value Chain'!$D13+'Value Chain'!$D14+'Value Chain'!$D20+'Value Chain'!$D40+'Value Chain'!$D56</f>
        <v>29924.184121743107</v>
      </c>
      <c r="AA15" s="124">
        <f>'Value Chain'!$D13+'Value Chain'!$D14+'Value Chain'!$D20+'Value Chain'!$D40+'Value Chain'!$D56</f>
        <v>29924.184121743107</v>
      </c>
      <c r="AB15" s="124">
        <f>'Value Chain'!$D13+'Value Chain'!$D14+'Value Chain'!$D20+'Value Chain'!$D40+'Value Chain'!$D56</f>
        <v>29924.184121743107</v>
      </c>
      <c r="AC15" s="124">
        <f>'Value Chain'!$D13+'Value Chain'!$D14+'Value Chain'!$D20+'Value Chain'!$D40+'Value Chain'!$D56</f>
        <v>29924.184121743107</v>
      </c>
      <c r="AD15" s="124">
        <f>'Value Chain'!$D13+'Value Chain'!$D14+'Value Chain'!$D20+'Value Chain'!$D40+'Value Chain'!$D56</f>
        <v>29924.184121743107</v>
      </c>
      <c r="AE15" s="124">
        <f>'Value Chain'!$D13+'Value Chain'!$D14+'Value Chain'!$D20+'Value Chain'!$D40+'Value Chain'!$D56</f>
        <v>29924.184121743107</v>
      </c>
      <c r="AF15" s="124">
        <f>'Value Chain'!$D13+'Value Chain'!$D14+'Value Chain'!$D20+'Value Chain'!$D40+'Value Chain'!$D56</f>
        <v>29924.184121743107</v>
      </c>
      <c r="AG15" s="124">
        <f>'Value Chain'!$D13+'Value Chain'!$D14+'Value Chain'!$D20+'Value Chain'!$D40+'Value Chain'!$D56</f>
        <v>29924.184121743107</v>
      </c>
    </row>
    <row r="16" spans="1:38" s="126" customFormat="1" ht="13.5" thickBot="1">
      <c r="A16" s="125" t="s">
        <v>204</v>
      </c>
      <c r="C16" s="127"/>
      <c r="D16" s="127">
        <f>'MG Unit Model 2'!C54+'MG Unit Model 2'!D54</f>
        <v>1215</v>
      </c>
      <c r="E16" s="127">
        <f>SUM('MG Unit Model 2'!C54:G54)</f>
        <v>2700</v>
      </c>
      <c r="F16" s="127">
        <f>'MG Unit Model 2'!$K54</f>
        <v>4590</v>
      </c>
      <c r="G16" s="127">
        <f>'MG Unit Model 2'!$K54</f>
        <v>4590</v>
      </c>
      <c r="H16" s="127">
        <f>'MG Unit Model 2'!$K54</f>
        <v>4590</v>
      </c>
      <c r="I16" s="127">
        <f>'MG Unit Model 2'!$K54</f>
        <v>4590</v>
      </c>
      <c r="J16" s="127">
        <f>'MG Unit Model 2'!$K54</f>
        <v>4590</v>
      </c>
      <c r="K16" s="127">
        <f>'MG Unit Model 2'!$K54</f>
        <v>4590</v>
      </c>
      <c r="L16" s="127">
        <f>'MG Unit Model 2'!$K54</f>
        <v>4590</v>
      </c>
      <c r="M16" s="127">
        <f>'MG Unit Model 2'!$K54</f>
        <v>4590</v>
      </c>
      <c r="N16" s="127">
        <f>'MG Unit Model 2'!$K54</f>
        <v>4590</v>
      </c>
      <c r="O16" s="127">
        <f>'MG Unit Model 2'!$K54</f>
        <v>4590</v>
      </c>
      <c r="P16" s="127">
        <f>'MG Unit Model 2'!$K54</f>
        <v>4590</v>
      </c>
      <c r="Q16" s="127">
        <f>'MG Unit Model 2'!$K54</f>
        <v>4590</v>
      </c>
      <c r="R16" s="127">
        <f>'MG Unit Model 2'!$K54</f>
        <v>4590</v>
      </c>
      <c r="S16" s="127">
        <f>'MG Unit Model 2'!$K54</f>
        <v>4590</v>
      </c>
      <c r="T16" s="127">
        <f>'MG Unit Model 2'!$K54</f>
        <v>4590</v>
      </c>
      <c r="U16" s="127">
        <f>'MG Unit Model 2'!$K54</f>
        <v>4590</v>
      </c>
      <c r="V16" s="127">
        <f>'MG Unit Model 2'!$K54</f>
        <v>4590</v>
      </c>
      <c r="W16" s="127">
        <f>'MG Unit Model 2'!$K54</f>
        <v>4590</v>
      </c>
      <c r="X16" s="127">
        <f>'MG Unit Model 2'!$K54</f>
        <v>4590</v>
      </c>
      <c r="Y16" s="127">
        <f>'MG Unit Model 2'!$K54</f>
        <v>4590</v>
      </c>
      <c r="Z16" s="127">
        <f>'MG Unit Model 2'!$K54</f>
        <v>4590</v>
      </c>
      <c r="AA16" s="127">
        <f>'MG Unit Model 2'!$K54</f>
        <v>4590</v>
      </c>
      <c r="AB16" s="127">
        <f>'MG Unit Model 2'!$K54</f>
        <v>4590</v>
      </c>
      <c r="AC16" s="127">
        <f>'MG Unit Model 2'!$K54</f>
        <v>4590</v>
      </c>
      <c r="AD16" s="127">
        <f>'MG Unit Model 2'!$K54</f>
        <v>4590</v>
      </c>
      <c r="AE16" s="127">
        <f>'MG Unit Model 2'!$K54</f>
        <v>4590</v>
      </c>
      <c r="AF16" s="127">
        <f>'MG Unit Model 2'!$K54</f>
        <v>4590</v>
      </c>
      <c r="AG16" s="127">
        <f>'MG Unit Model 2'!$K54</f>
        <v>4590</v>
      </c>
    </row>
    <row r="17" spans="1:33" s="129" customFormat="1" ht="27" thickTop="1" thickBot="1">
      <c r="A17" s="128" t="s">
        <v>169</v>
      </c>
      <c r="C17" s="130">
        <f>C12</f>
        <v>-20743.463497453311</v>
      </c>
      <c r="D17" s="130">
        <f>D11+D12+('Hypotheses - Assumptions'!$I81*SUM('ERR Summary'!D13))+('Hypotheses - Assumptions'!$I83*'ERR Summary'!D16)</f>
        <v>-5099.0907174515169</v>
      </c>
      <c r="E17" s="130">
        <f>E11+E12+('Hypotheses - Assumptions'!$I81*SUM('ERR Summary'!E13))+('Hypotheses - Assumptions'!$I83*'ERR Summary'!E16)</f>
        <v>-5313.4336936772297</v>
      </c>
      <c r="F17" s="130">
        <f>F11+F12+('Hypotheses - Assumptions'!$I81*SUM('ERR Summary'!F13))+('Hypotheses - Assumptions'!$I83*'ERR Summary'!F16)</f>
        <v>-678.53881428576278</v>
      </c>
      <c r="G17" s="130">
        <f>G11+G12+('Hypotheses - Assumptions'!$I81*SUM('ERR Summary'!G13))+('Hypotheses - Assumptions'!$I83*'ERR Summary'!G16)</f>
        <v>-85861.13498699067</v>
      </c>
      <c r="H17" s="130">
        <f>H11+H12+('Hypotheses - Assumptions'!$I81*SUM('ERR Summary'!H13))+('Hypotheses - Assumptions'!$I83*'ERR Summary'!H16)</f>
        <v>-204995.99603504245</v>
      </c>
      <c r="I17" s="130">
        <f>I11+I12+('Hypotheses - Assumptions'!$I81*SUM('ERR Summary'!I13))+('Hypotheses - Assumptions'!$I83*'ERR Summary'!I16)</f>
        <v>21812.25101407391</v>
      </c>
      <c r="J17" s="130">
        <f>J11+J12+('Hypotheses - Assumptions'!$I81*SUM('ERR Summary'!J13))+('Hypotheses - Assumptions'!$I83*'ERR Summary'!J16)</f>
        <v>69881.164511499519</v>
      </c>
      <c r="K17" s="130">
        <f>K11+K12+('Hypotheses - Assumptions'!$I81*SUM('ERR Summary'!K13))+('Hypotheses - Assumptions'!$I83*'ERR Summary'!K16)</f>
        <v>100590.78287374579</v>
      </c>
      <c r="L17" s="130">
        <f>L11+L12+('Hypotheses - Assumptions'!$I81*SUM('ERR Summary'!L13))+('Hypotheses - Assumptions'!$I83*'ERR Summary'!L16)</f>
        <v>100590.78287374579</v>
      </c>
      <c r="M17" s="130">
        <f>M11+M12+('Hypotheses - Assumptions'!$I81*SUM('ERR Summary'!M13))+('Hypotheses - Assumptions'!$I83*'ERR Summary'!M16)</f>
        <v>100590.78287374579</v>
      </c>
      <c r="N17" s="130">
        <f>N11+N12+('Hypotheses - Assumptions'!$I81*SUM('ERR Summary'!N13))+('Hypotheses - Assumptions'!$I83*'ERR Summary'!N16)</f>
        <v>92342.782873745789</v>
      </c>
      <c r="O17" s="130">
        <f>O11+O12+('Hypotheses - Assumptions'!$I81*SUM('ERR Summary'!O13))+('Hypotheses - Assumptions'!$I83*'ERR Summary'!O16)</f>
        <v>92342.782873745789</v>
      </c>
      <c r="P17" s="130">
        <f>P11+P12+('Hypotheses - Assumptions'!$I81*SUM('ERR Summary'!P13))+('Hypotheses - Assumptions'!$I83*'ERR Summary'!P16)</f>
        <v>100590.78287374579</v>
      </c>
      <c r="Q17" s="130">
        <f>Q11+Q12+('Hypotheses - Assumptions'!$I81*SUM('ERR Summary'!Q13))+('Hypotheses - Assumptions'!$I83*'ERR Summary'!Q16)</f>
        <v>100590.78287374579</v>
      </c>
      <c r="R17" s="130">
        <f>R11+R12+('Hypotheses - Assumptions'!$I81*SUM('ERR Summary'!R13))+('Hypotheses - Assumptions'!$I83*'ERR Summary'!R16)</f>
        <v>100590.78287374579</v>
      </c>
      <c r="S17" s="130">
        <f>S11+S12+('Hypotheses - Assumptions'!$I81*SUM('ERR Summary'!S13))+('Hypotheses - Assumptions'!$I83*'ERR Summary'!S16)</f>
        <v>100590.78287374579</v>
      </c>
      <c r="T17" s="130">
        <f>T11+T12+('Hypotheses - Assumptions'!$I81*SUM('ERR Summary'!T13))+('Hypotheses - Assumptions'!$I83*'ERR Summary'!T16)</f>
        <v>100590.78287374579</v>
      </c>
      <c r="U17" s="130">
        <f>U11+U12+('Hypotheses - Assumptions'!$I81*SUM('ERR Summary'!U13))+('Hypotheses - Assumptions'!$I83*'ERR Summary'!U16)</f>
        <v>100590.78287374579</v>
      </c>
      <c r="V17" s="130">
        <f>V11+V12+('Hypotheses - Assumptions'!$I81*SUM('ERR Summary'!V13))+('Hypotheses - Assumptions'!$I83*'ERR Summary'!V16)</f>
        <v>100590.78287374579</v>
      </c>
      <c r="W17" s="130">
        <f>W11+W12+('Hypotheses - Assumptions'!$I81*SUM('ERR Summary'!W13))+('Hypotheses - Assumptions'!$I83*'ERR Summary'!W16)</f>
        <v>100590.78287374579</v>
      </c>
      <c r="X17" s="130">
        <f>X10+X12+('Hypotheses - Assumptions'!$I81*SUM('ERR Summary'!X13))+('Hypotheses - Assumptions'!$I83*'ERR Summary'!X16)</f>
        <v>92342.782873745789</v>
      </c>
      <c r="Y17" s="130">
        <f>Y10+Y12+('Hypotheses - Assumptions'!$I81*SUM('ERR Summary'!Y13))+('Hypotheses - Assumptions'!$I83*'ERR Summary'!Y16)</f>
        <v>92342.782873745789</v>
      </c>
      <c r="Z17" s="130">
        <f>Z10+Z12+('Hypotheses - Assumptions'!$I81*SUM('ERR Summary'!Z13))+('Hypotheses - Assumptions'!$I83*'ERR Summary'!Z16)</f>
        <v>100590.78287374579</v>
      </c>
      <c r="AA17" s="130">
        <f>AA10+AA12+('Hypotheses - Assumptions'!$I81*SUM('ERR Summary'!AA13))+('Hypotheses - Assumptions'!$I83*'ERR Summary'!AA16)</f>
        <v>100590.78287374579</v>
      </c>
      <c r="AB17" s="130">
        <f>AB10+AB12+('Hypotheses - Assumptions'!$I81*SUM('ERR Summary'!AB13))+('Hypotheses - Assumptions'!$I83*'ERR Summary'!AB16)</f>
        <v>100590.78287374579</v>
      </c>
      <c r="AC17" s="130">
        <f>AC10+AC12+('Hypotheses - Assumptions'!$I81*SUM('ERR Summary'!AC13))+('Hypotheses - Assumptions'!$I83*'ERR Summary'!AC16)</f>
        <v>100590.78287374579</v>
      </c>
      <c r="AD17" s="130">
        <f>AD10+AD12+('Hypotheses - Assumptions'!$I81*SUM('ERR Summary'!AD13))+('Hypotheses - Assumptions'!$I83*'ERR Summary'!AD16)</f>
        <v>100590.78287374579</v>
      </c>
      <c r="AE17" s="130">
        <f>AE10+AE12+('Hypotheses - Assumptions'!$I81*SUM('ERR Summary'!AE13))+('Hypotheses - Assumptions'!$I83*'ERR Summary'!AE16)</f>
        <v>100590.78287374579</v>
      </c>
      <c r="AF17" s="130">
        <f>AF10+AF12+('Hypotheses - Assumptions'!$I81*SUM('ERR Summary'!AF13))+('Hypotheses - Assumptions'!$I83*'ERR Summary'!AF16)</f>
        <v>100590.78287374579</v>
      </c>
      <c r="AG17" s="130">
        <f>AG10+AG12+('Hypotheses - Assumptions'!$I81*SUM('ERR Summary'!AG13))+('Hypotheses - Assumptions'!$I83*'ERR Summary'!AG16)</f>
        <v>100590.78287374579</v>
      </c>
    </row>
    <row r="18" spans="1:33" ht="13.5" thickTop="1">
      <c r="D18" s="76"/>
    </row>
    <row r="19" spans="1:33">
      <c r="A19" s="71" t="s">
        <v>120</v>
      </c>
      <c r="D19" s="76">
        <v>0.28000000000000003</v>
      </c>
    </row>
    <row r="20" spans="1:33">
      <c r="A20" s="71" t="s">
        <v>122</v>
      </c>
      <c r="D20" s="76">
        <v>1.1000000000000001</v>
      </c>
    </row>
    <row r="21" spans="1:33" s="126" customFormat="1" ht="13.5" thickBot="1">
      <c r="A21" s="126" t="s">
        <v>121</v>
      </c>
      <c r="D21" s="131">
        <f>(Fundamentals!E57+Fundamentals!I57)*D20*D19</f>
        <v>797.94940602061899</v>
      </c>
      <c r="E21" s="131">
        <f>SUM(Fundamentals!E57,Fundamentals!I57,Fundamentals!J57,Fundamentals!K57,Fundamentals!N57)*$D20*$D19</f>
        <v>4225.5558880824747</v>
      </c>
      <c r="F21" s="131">
        <f>Fundamentals!C57*$D20*$D19</f>
        <v>7878.0903946391772</v>
      </c>
      <c r="G21" s="131">
        <f>F21</f>
        <v>7878.0903946391772</v>
      </c>
      <c r="H21" s="131">
        <f t="shared" ref="H21:AG21" si="5">G21</f>
        <v>7878.0903946391772</v>
      </c>
      <c r="I21" s="131">
        <f t="shared" si="5"/>
        <v>7878.0903946391772</v>
      </c>
      <c r="J21" s="131">
        <f t="shared" si="5"/>
        <v>7878.0903946391772</v>
      </c>
      <c r="K21" s="131">
        <f t="shared" si="5"/>
        <v>7878.0903946391772</v>
      </c>
      <c r="L21" s="131">
        <f t="shared" si="5"/>
        <v>7878.0903946391772</v>
      </c>
      <c r="M21" s="131">
        <f t="shared" si="5"/>
        <v>7878.0903946391772</v>
      </c>
      <c r="N21" s="131">
        <f t="shared" si="5"/>
        <v>7878.0903946391772</v>
      </c>
      <c r="O21" s="131">
        <f t="shared" si="5"/>
        <v>7878.0903946391772</v>
      </c>
      <c r="P21" s="131">
        <f t="shared" si="5"/>
        <v>7878.0903946391772</v>
      </c>
      <c r="Q21" s="131">
        <f t="shared" si="5"/>
        <v>7878.0903946391772</v>
      </c>
      <c r="R21" s="131">
        <f t="shared" si="5"/>
        <v>7878.0903946391772</v>
      </c>
      <c r="S21" s="131">
        <f t="shared" si="5"/>
        <v>7878.0903946391772</v>
      </c>
      <c r="T21" s="131">
        <f t="shared" si="5"/>
        <v>7878.0903946391772</v>
      </c>
      <c r="U21" s="131">
        <f t="shared" si="5"/>
        <v>7878.0903946391772</v>
      </c>
      <c r="V21" s="131">
        <f t="shared" si="5"/>
        <v>7878.0903946391772</v>
      </c>
      <c r="W21" s="131">
        <f t="shared" si="5"/>
        <v>7878.0903946391772</v>
      </c>
      <c r="X21" s="131">
        <f t="shared" si="5"/>
        <v>7878.0903946391772</v>
      </c>
      <c r="Y21" s="131">
        <f t="shared" si="5"/>
        <v>7878.0903946391772</v>
      </c>
      <c r="Z21" s="131">
        <f t="shared" si="5"/>
        <v>7878.0903946391772</v>
      </c>
      <c r="AA21" s="131">
        <f t="shared" si="5"/>
        <v>7878.0903946391772</v>
      </c>
      <c r="AB21" s="131">
        <f t="shared" si="5"/>
        <v>7878.0903946391772</v>
      </c>
      <c r="AC21" s="131">
        <f t="shared" si="5"/>
        <v>7878.0903946391772</v>
      </c>
      <c r="AD21" s="131">
        <f t="shared" si="5"/>
        <v>7878.0903946391772</v>
      </c>
      <c r="AE21" s="131">
        <f t="shared" si="5"/>
        <v>7878.0903946391772</v>
      </c>
      <c r="AF21" s="131">
        <f t="shared" si="5"/>
        <v>7878.0903946391772</v>
      </c>
      <c r="AG21" s="131">
        <f t="shared" si="5"/>
        <v>7878.0903946391772</v>
      </c>
    </row>
    <row r="22" spans="1:33" s="144" customFormat="1" ht="14.25" thickTop="1" thickBot="1">
      <c r="A22" s="143" t="s">
        <v>123</v>
      </c>
      <c r="C22" s="145">
        <f>C17-C21</f>
        <v>-20743.463497453311</v>
      </c>
      <c r="D22" s="145">
        <f>D17-D21</f>
        <v>-5897.0401234721357</v>
      </c>
      <c r="E22" s="145">
        <f>E17-E21</f>
        <v>-9538.9895817597044</v>
      </c>
      <c r="F22" s="145">
        <f t="shared" ref="F22:AG22" si="6">F17-F21</f>
        <v>-8556.62920892494</v>
      </c>
      <c r="G22" s="145">
        <f t="shared" si="6"/>
        <v>-93739.225381629847</v>
      </c>
      <c r="H22" s="145">
        <f>H17-H21</f>
        <v>-212874.08642968163</v>
      </c>
      <c r="I22" s="145">
        <f t="shared" si="6"/>
        <v>13934.160619434733</v>
      </c>
      <c r="J22" s="145">
        <f t="shared" si="6"/>
        <v>62003.074116860342</v>
      </c>
      <c r="K22" s="145">
        <f>K17-K21</f>
        <v>92712.692479106612</v>
      </c>
      <c r="L22" s="145">
        <f t="shared" si="6"/>
        <v>92712.692479106612</v>
      </c>
      <c r="M22" s="145">
        <f t="shared" si="6"/>
        <v>92712.692479106612</v>
      </c>
      <c r="N22" s="145">
        <f t="shared" si="6"/>
        <v>84464.692479106612</v>
      </c>
      <c r="O22" s="145">
        <f t="shared" si="6"/>
        <v>84464.692479106612</v>
      </c>
      <c r="P22" s="145">
        <f t="shared" si="6"/>
        <v>92712.692479106612</v>
      </c>
      <c r="Q22" s="145">
        <f t="shared" si="6"/>
        <v>92712.692479106612</v>
      </c>
      <c r="R22" s="145">
        <f t="shared" si="6"/>
        <v>92712.692479106612</v>
      </c>
      <c r="S22" s="145">
        <f t="shared" si="6"/>
        <v>92712.692479106612</v>
      </c>
      <c r="T22" s="145">
        <f t="shared" si="6"/>
        <v>92712.692479106612</v>
      </c>
      <c r="U22" s="145">
        <f t="shared" si="6"/>
        <v>92712.692479106612</v>
      </c>
      <c r="V22" s="145">
        <f t="shared" si="6"/>
        <v>92712.692479106612</v>
      </c>
      <c r="W22" s="145">
        <f t="shared" si="6"/>
        <v>92712.692479106612</v>
      </c>
      <c r="X22" s="145">
        <f t="shared" si="6"/>
        <v>84464.692479106612</v>
      </c>
      <c r="Y22" s="145">
        <f t="shared" si="6"/>
        <v>84464.692479106612</v>
      </c>
      <c r="Z22" s="145">
        <f t="shared" si="6"/>
        <v>92712.692479106612</v>
      </c>
      <c r="AA22" s="145">
        <f t="shared" si="6"/>
        <v>92712.692479106612</v>
      </c>
      <c r="AB22" s="145">
        <f t="shared" si="6"/>
        <v>92712.692479106612</v>
      </c>
      <c r="AC22" s="145">
        <f t="shared" si="6"/>
        <v>92712.692479106612</v>
      </c>
      <c r="AD22" s="145">
        <f t="shared" si="6"/>
        <v>92712.692479106612</v>
      </c>
      <c r="AE22" s="145">
        <f t="shared" si="6"/>
        <v>92712.692479106612</v>
      </c>
      <c r="AF22" s="145">
        <f t="shared" si="6"/>
        <v>92712.692479106612</v>
      </c>
      <c r="AG22" s="145">
        <f t="shared" si="6"/>
        <v>92712.692479106612</v>
      </c>
    </row>
    <row r="23" spans="1:33">
      <c r="I23" s="78"/>
    </row>
    <row r="24" spans="1:33" ht="13.5" thickBot="1">
      <c r="A24" s="140" t="s">
        <v>167</v>
      </c>
      <c r="B24" s="137">
        <v>5</v>
      </c>
      <c r="C24" s="138">
        <v>6</v>
      </c>
      <c r="D24" s="137">
        <v>7</v>
      </c>
      <c r="E24" s="137">
        <v>8</v>
      </c>
      <c r="F24" s="138">
        <v>9</v>
      </c>
      <c r="G24" s="137">
        <v>10</v>
      </c>
      <c r="H24" s="137">
        <v>11</v>
      </c>
      <c r="I24" s="138">
        <v>12</v>
      </c>
      <c r="J24" s="137">
        <v>13</v>
      </c>
      <c r="K24" s="137">
        <v>14</v>
      </c>
      <c r="L24" s="138">
        <v>15</v>
      </c>
      <c r="M24" s="137">
        <v>16</v>
      </c>
      <c r="N24" s="137">
        <v>17</v>
      </c>
      <c r="O24" s="138">
        <v>18</v>
      </c>
      <c r="P24" s="137">
        <v>19</v>
      </c>
      <c r="Q24" s="201">
        <v>20</v>
      </c>
      <c r="R24" s="138">
        <v>21</v>
      </c>
      <c r="S24" s="137">
        <v>22</v>
      </c>
      <c r="T24" s="137">
        <v>23</v>
      </c>
      <c r="U24" s="138">
        <v>24</v>
      </c>
      <c r="V24" s="137">
        <v>25</v>
      </c>
      <c r="W24" s="137">
        <v>26</v>
      </c>
      <c r="X24" s="138">
        <v>27</v>
      </c>
      <c r="Y24" s="137">
        <v>28</v>
      </c>
      <c r="Z24" s="137">
        <v>29</v>
      </c>
      <c r="AA24" s="138">
        <v>30</v>
      </c>
    </row>
    <row r="25" spans="1:33" ht="18.75" thickBot="1">
      <c r="A25" s="142" t="s">
        <v>256</v>
      </c>
      <c r="B25" s="139" t="e">
        <f>IRR($C22:H22)</f>
        <v>#NUM!</v>
      </c>
      <c r="C25" s="141" t="e">
        <f>IRR($C22:I22)</f>
        <v>#NUM!</v>
      </c>
      <c r="D25" s="141" t="e">
        <f>IRR($C22:J22)</f>
        <v>#NUM!</v>
      </c>
      <c r="E25" s="141">
        <f>IRR($C22:K22)</f>
        <v>-0.21053305338309358</v>
      </c>
      <c r="F25" s="141">
        <f>IRR($C22:L22)</f>
        <v>-7.6130942793532608E-2</v>
      </c>
      <c r="G25" s="141">
        <f>IRR($C22:M22)</f>
        <v>1.8025284966693977E-3</v>
      </c>
      <c r="H25" s="141">
        <f>IRR($C22:N22)</f>
        <v>4.7650993680151466E-2</v>
      </c>
      <c r="I25" s="141">
        <f>IRR($C22:O22)</f>
        <v>7.9332880666276973E-2</v>
      </c>
      <c r="J25" s="141">
        <f>IRR($C22:P22)</f>
        <v>0.10392382926389665</v>
      </c>
      <c r="K25" s="141">
        <f>IRR($C22:Q22)</f>
        <v>0.12166502333041862</v>
      </c>
      <c r="L25" s="141">
        <f>IRR($C22:R22)</f>
        <v>0.13480854484520766</v>
      </c>
      <c r="M25" s="141">
        <f>IRR($C22:S22)</f>
        <v>0.14474774244416744</v>
      </c>
      <c r="N25" s="141">
        <f>IRR($C22:T22)</f>
        <v>0.15238801986526251</v>
      </c>
      <c r="O25" s="141">
        <f>IRR($C22:U22)</f>
        <v>0.15834027797461125</v>
      </c>
      <c r="P25" s="200">
        <f>IRR($C22:V22)</f>
        <v>0.16302930400217863</v>
      </c>
      <c r="Q25" s="202">
        <f>IRR($C22:W22)</f>
        <v>0.16675787571012668</v>
      </c>
      <c r="R25" s="141">
        <f>IRR($C22:X22)</f>
        <v>0.16948784548001616</v>
      </c>
      <c r="S25" s="141">
        <f>IRR($C22:Y22)</f>
        <v>0.17170191173241989</v>
      </c>
      <c r="T25" s="141">
        <f>IRR($C22:Z22)</f>
        <v>0.17367892631908366</v>
      </c>
      <c r="U25" s="141">
        <f>IRR($C22:AA22)</f>
        <v>0.17529153623790528</v>
      </c>
      <c r="V25" s="141">
        <f>IRR($C22:AB22)</f>
        <v>0.17661277144400644</v>
      </c>
      <c r="W25" s="141">
        <f>IRR($C22:AC22)</f>
        <v>0.17769947324434532</v>
      </c>
      <c r="X25" s="141">
        <f>IRR($C22:AD22)</f>
        <v>0.17859629291897616</v>
      </c>
      <c r="Y25" s="141">
        <f>IRR($C22:AE22)</f>
        <v>0.17933859341501357</v>
      </c>
      <c r="Z25" s="141">
        <f>IRR($C22:AF22)</f>
        <v>0.17995458508868234</v>
      </c>
      <c r="AA25" s="141">
        <f>IRR($C22:AG22)</f>
        <v>0.1804669178476126</v>
      </c>
    </row>
    <row r="26" spans="1:33" s="77" customFormat="1">
      <c r="A26" s="108" t="s">
        <v>259</v>
      </c>
      <c r="B26" s="154">
        <f>NPV(0.08,C22:AG22)</f>
        <v>315814.27080814663</v>
      </c>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row>
    <row r="27" spans="1:33" s="77" customFormat="1">
      <c r="A27" s="108"/>
      <c r="B27" s="154"/>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row>
    <row r="28" spans="1:33">
      <c r="G28" s="109"/>
      <c r="I28" s="78"/>
    </row>
    <row r="29" spans="1:33">
      <c r="A29" s="108" t="s">
        <v>267</v>
      </c>
      <c r="B29" s="136"/>
      <c r="C29" s="136" t="str">
        <f>IF(ISERR(IRR($C12:I12,-0.2)),"Doesn't exist",IRR($C12:I12,-0.2))</f>
        <v>Doesn't exist</v>
      </c>
      <c r="D29" s="136" t="str">
        <f>IF(ISERR(IRR($C12:J12,-0.2)),"Doesn't exist",IRR($C12:J12,-0.2))</f>
        <v>Doesn't exist</v>
      </c>
      <c r="E29" s="136" t="str">
        <f>IF(ISERR(IRR($C12:K12,-0.2)),"Doesn't exist",IRR($C12:K12,-0.2))</f>
        <v>Doesn't exist</v>
      </c>
      <c r="F29" s="136" t="str">
        <f>IF(ISERR(IRR($C12:L12,-0.2)),"Doesn't exist",IRR($C12:L12,-0.2))</f>
        <v>Doesn't exist</v>
      </c>
      <c r="G29" s="136" t="str">
        <f>IF(ISERR(IRR($C12:M12,-0.2)),"Doesn't exist",IRR($C12:M12,-0.2))</f>
        <v>Doesn't exist</v>
      </c>
      <c r="H29" s="136" t="str">
        <f>IF(ISERR(IRR($C12:N12,-0.2)),"Doesn't exist",IRR($C12:N12,-0.2))</f>
        <v>Doesn't exist</v>
      </c>
      <c r="I29" s="136" t="str">
        <f>IF(ISERR(IRR($C12:O12,-0.2)),"Doesn't exist",IRR($C12:O12,-0.2))</f>
        <v>Doesn't exist</v>
      </c>
      <c r="J29" s="136" t="str">
        <f>IF(ISERR(IRR($C12:P12,-0.2)),"Doesn't exist",IRR($C12:P12,-0.2))</f>
        <v>Doesn't exist</v>
      </c>
      <c r="K29" s="136">
        <f>IF(ISERR(IRR($C12:Q12,-0.2)),"Doesn't exist",IRR($C12:Q12,-0.2))</f>
        <v>-0.24992068660613065</v>
      </c>
      <c r="L29" s="136">
        <f>IF(ISERR(IRR($C12:R12,-0.2)),"Doesn't exist",IRR($C12:R12,-0.2))</f>
        <v>-0.21251054773099598</v>
      </c>
      <c r="M29" s="136">
        <f>IF(ISERR(IRR($C12:S12,-0.2)),"Doesn't exist",IRR($C12:S12,-0.2))</f>
        <v>-0.18375921237708226</v>
      </c>
      <c r="N29" s="136">
        <f>IF(ISERR(IRR($C12:T12,-0.2)),"Doesn't exist",IRR($C12:T12,-0.2))</f>
        <v>-0.16067049835626779</v>
      </c>
      <c r="O29" s="136">
        <f>IF(ISERR(IRR($C12:U12,-0.2)),"Doesn't exist",IRR($C12:U12,-0.2))</f>
        <v>-0.14162413686828856</v>
      </c>
      <c r="P29" s="136">
        <f>IF(ISERR(IRR($C12:V12,-0.2)),"Doesn't exist",IRR($C12:V12,-0.2))</f>
        <v>-0.12561582966990059</v>
      </c>
      <c r="Q29" s="136">
        <f>IF(ISERR(IRR($C12:W12,-0.2)),"Doesn't exist",IRR($C12:W12,-0.2))</f>
        <v>-0.11196974553116856</v>
      </c>
      <c r="R29" s="136">
        <f>IF(ISERR(IRR($C12:X12,-0.2)),"Doesn't exist",IRR($C12:X12,-0.2))</f>
        <v>-0.11151843446920029</v>
      </c>
      <c r="S29" s="136">
        <f>IF(ISERR(IRR($C12:Y12,-0.2)),"Doesn't exist",IRR($C12:Y12,-0.2))</f>
        <v>-0.11101611494384811</v>
      </c>
      <c r="T29" s="136">
        <f>IF(ISERR(IRR($C12:Z12,-0.2)),"Doesn't exist",IRR($C12:Z12,-0.2))</f>
        <v>-9.7204758922875834E-2</v>
      </c>
      <c r="U29" s="136">
        <f>IF(ISERR(IRR($C12:AA12,-0.2)),"Doesn't exist",IRR($C12:AA12,-0.2))</f>
        <v>-8.6103171813705082E-2</v>
      </c>
      <c r="V29" s="136">
        <f>IF(ISERR(IRR($C12:AB12,-0.2)),"Doesn't exist",IRR($C12:AB12,-0.2))</f>
        <v>-7.6832554951004606E-2</v>
      </c>
      <c r="W29" s="136">
        <f>IF(ISERR(IRR($C12:AC12,-0.2)),"Doesn't exist",IRR($C12:AC12,-0.2))</f>
        <v>-6.8905457958361338E-2</v>
      </c>
      <c r="X29" s="136">
        <f>IF(ISERR(IRR($C12:AD12,-0.2)),"Doesn't exist",IRR($C12:AD12,-0.2))</f>
        <v>-6.2016091000404505E-2</v>
      </c>
      <c r="Y29" s="136">
        <f>IF(ISERR(IRR($C12:AE12,-0.2)),"Doesn't exist",IRR($C12:AE12,-0.2))</f>
        <v>-5.5956550496211954E-2</v>
      </c>
      <c r="Z29" s="136">
        <f>IF(ISERR(IRR($C12:AF12,-0.2)),"Doesn't exist",IRR($C12:AF12,-0.2))</f>
        <v>-5.0577303335512358E-2</v>
      </c>
      <c r="AA29" s="136">
        <f>IF(ISERR(IRR($C12:AG12,-0.2)),"Doesn't exist",IRR($C12:AG12,-0.2))</f>
        <v>-4.5766278967670271E-2</v>
      </c>
    </row>
    <row r="30" spans="1:33">
      <c r="A30" s="108" t="s">
        <v>260</v>
      </c>
      <c r="B30" s="687">
        <f>NPV(0.08,C12:AG12)</f>
        <v>-200564.32979861918</v>
      </c>
      <c r="I30" s="78"/>
    </row>
    <row r="32" spans="1:33">
      <c r="I32" s="78"/>
    </row>
    <row r="33" spans="1:23">
      <c r="A33" s="203"/>
      <c r="B33" s="203"/>
      <c r="C33" s="334"/>
      <c r="D33" s="334"/>
      <c r="E33" s="334"/>
      <c r="F33" s="334"/>
      <c r="G33" s="334"/>
      <c r="H33" s="334"/>
      <c r="I33" s="334"/>
      <c r="J33" s="334"/>
      <c r="K33" s="334"/>
      <c r="L33" s="334"/>
      <c r="M33" s="334"/>
      <c r="N33" s="334"/>
      <c r="O33" s="334"/>
      <c r="P33" s="334"/>
      <c r="Q33" s="334"/>
      <c r="R33" s="334"/>
      <c r="S33" s="334"/>
      <c r="T33" s="334"/>
      <c r="U33" s="334"/>
      <c r="V33" s="334"/>
      <c r="W33" s="334"/>
    </row>
    <row r="34" spans="1:23">
      <c r="A34" s="162"/>
      <c r="B34" s="136"/>
      <c r="I34" s="78"/>
    </row>
    <row r="35" spans="1:23">
      <c r="D35" s="136"/>
    </row>
    <row r="36" spans="1:23">
      <c r="C36" s="136"/>
      <c r="I36" s="78"/>
    </row>
    <row r="37" spans="1:23">
      <c r="B37" s="529" t="s">
        <v>167</v>
      </c>
      <c r="C37" s="530" t="s">
        <v>1217</v>
      </c>
      <c r="D37" s="530">
        <v>1</v>
      </c>
      <c r="E37" s="530">
        <v>2</v>
      </c>
      <c r="F37" s="530">
        <v>3</v>
      </c>
      <c r="G37" s="530">
        <v>4</v>
      </c>
      <c r="H37" s="530">
        <v>5</v>
      </c>
    </row>
    <row r="38" spans="1:23">
      <c r="B38" s="531" t="s">
        <v>1218</v>
      </c>
      <c r="C38"/>
      <c r="D38" s="532">
        <v>8.0571000000000002</v>
      </c>
      <c r="E38" s="532">
        <v>8.4171570833333291</v>
      </c>
      <c r="F38" s="532">
        <v>8.0898672145930792</v>
      </c>
      <c r="G38" s="532">
        <v>8.6284413726551197</v>
      </c>
      <c r="H38" s="532">
        <v>8.3000000000000007</v>
      </c>
      <c r="I38" s="78"/>
    </row>
    <row r="39" spans="1:23">
      <c r="B39" s="162" t="s">
        <v>1219</v>
      </c>
      <c r="D39" s="75">
        <f>'ooc2 DFP'!C149</f>
        <v>277937.29341041902</v>
      </c>
      <c r="E39" s="75">
        <f>'ooc2 DFP'!D149</f>
        <v>833550.31</v>
      </c>
      <c r="F39" s="75">
        <f>'ooc2 DFP'!E149</f>
        <v>1501440.25</v>
      </c>
      <c r="G39" s="75">
        <f>'ooc2 DFP'!F149</f>
        <v>11366728.16</v>
      </c>
      <c r="H39" s="75">
        <f>'ooc2 DFP'!G149</f>
        <v>25794753.117293809</v>
      </c>
    </row>
    <row r="40" spans="1:23">
      <c r="B40" s="162" t="s">
        <v>1220</v>
      </c>
      <c r="D40" s="533">
        <f>D39*D38</f>
        <v>2239368.566737087</v>
      </c>
      <c r="E40" s="533">
        <f t="shared" ref="E40:H40" si="7">E39*E38</f>
        <v>7016123.8961311923</v>
      </c>
      <c r="F40" s="533">
        <f t="shared" si="7"/>
        <v>12146452.253145436</v>
      </c>
      <c r="G40" s="533">
        <f t="shared" si="7"/>
        <v>98077147.527468011</v>
      </c>
      <c r="H40" s="533">
        <f t="shared" si="7"/>
        <v>214096450.87353864</v>
      </c>
    </row>
    <row r="41" spans="1:23">
      <c r="B41" s="162" t="s">
        <v>1221</v>
      </c>
      <c r="C41" s="71">
        <f>'ooc2 DFP'!AF149</f>
        <v>6.8552445585855146E-2</v>
      </c>
      <c r="D41" s="335">
        <f>$C$41*'ooc2 DFP'!C554</f>
        <v>318921.16123209539</v>
      </c>
      <c r="E41" s="335">
        <f>$C$41*'ooc2 DFP'!D554</f>
        <v>905386.30969124206</v>
      </c>
      <c r="F41" s="335">
        <f>$C$41*'ooc2 DFP'!E554</f>
        <v>1236222.2781259792</v>
      </c>
      <c r="G41" s="335">
        <f>$C$41*'ooc2 DFP'!F554</f>
        <v>1072357.6340759234</v>
      </c>
      <c r="H41" s="335">
        <f>$C$41*'ooc2 DFP'!G554</f>
        <v>1531541.7079009321</v>
      </c>
    </row>
    <row r="42" spans="1:23">
      <c r="B42" s="162" t="s">
        <v>1222</v>
      </c>
      <c r="D42" s="71">
        <f>D41*D38</f>
        <v>2569579.6881631156</v>
      </c>
      <c r="E42" s="71">
        <f t="shared" ref="E42:H42" si="8">E41*E38</f>
        <v>7620778.7897706609</v>
      </c>
      <c r="F42" s="71">
        <f t="shared" si="8"/>
        <v>10000874.077760927</v>
      </c>
      <c r="G42" s="71">
        <f t="shared" si="8"/>
        <v>9252774.9761432558</v>
      </c>
      <c r="H42" s="71">
        <f t="shared" si="8"/>
        <v>12711796.175577737</v>
      </c>
    </row>
    <row r="44" spans="1:23">
      <c r="A44" s="71" t="s">
        <v>1234</v>
      </c>
      <c r="B44" s="75">
        <f>SUM(D39:H39,D41:H41)</f>
        <v>44838838.221730404</v>
      </c>
    </row>
  </sheetData>
  <mergeCells count="3">
    <mergeCell ref="A1:L1"/>
    <mergeCell ref="AH12:AL13"/>
    <mergeCell ref="A2:I2"/>
  </mergeCells>
  <phoneticPr fontId="6" type="noConversion"/>
  <conditionalFormatting sqref="A2">
    <cfRule type="cellIs" dxfId="13" priority="1" stopIfTrue="1" operator="equal">
      <formula>0</formula>
    </cfRule>
    <cfRule type="cellIs" dxfId="12" priority="2" stopIfTrue="1" operator="notEqual">
      <formula>0</formula>
    </cfRule>
  </conditionalFormatting>
  <pageMargins left="0.75" right="0.75" top="1" bottom="1" header="0.5" footer="0.5"/>
  <pageSetup scale="56" fitToWidth="2" orientation="landscape" r:id="rId1"/>
  <headerFooter alignWithMargins="0"/>
  <colBreaks count="1" manualBreakCount="1">
    <brk id="13" max="1048575" man="1"/>
  </colBreaks>
  <ignoredErrors>
    <ignoredError sqref="G12" emptyCellReference="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556"/>
  <sheetViews>
    <sheetView workbookViewId="0">
      <pane xSplit="2" ySplit="2" topLeftCell="U435" activePane="bottomRight" state="frozenSplit"/>
      <selection pane="topRight" activeCell="E1" sqref="E1"/>
      <selection pane="bottomLeft" activeCell="A12" sqref="A12"/>
      <selection pane="bottomRight" activeCell="AA149" sqref="AA149"/>
    </sheetView>
  </sheetViews>
  <sheetFormatPr defaultColWidth="9.140625" defaultRowHeight="15"/>
  <cols>
    <col min="1" max="1" width="40.140625" style="344" customWidth="1"/>
    <col min="2" max="7" width="18.28515625" style="344" customWidth="1"/>
    <col min="8" max="25" width="15.7109375" style="344" customWidth="1"/>
    <col min="26" max="26" width="18.28515625" style="344" customWidth="1"/>
    <col min="27" max="27" width="17.7109375" style="344" customWidth="1"/>
    <col min="28" max="28" width="15.7109375" style="344" customWidth="1"/>
    <col min="29" max="29" width="19.85546875" style="344" customWidth="1"/>
    <col min="30" max="31" width="15.7109375" style="344" customWidth="1"/>
    <col min="32" max="16384" width="9.140625" style="344"/>
  </cols>
  <sheetData>
    <row r="1" spans="1:32" ht="38.25">
      <c r="A1" s="336"/>
      <c r="B1" s="337" t="s">
        <v>439</v>
      </c>
      <c r="C1" s="337" t="s">
        <v>440</v>
      </c>
      <c r="D1" s="337" t="s">
        <v>441</v>
      </c>
      <c r="E1" s="337" t="s">
        <v>442</v>
      </c>
      <c r="F1" s="337" t="s">
        <v>443</v>
      </c>
      <c r="G1" s="337" t="s">
        <v>444</v>
      </c>
      <c r="H1" s="338" t="s">
        <v>445</v>
      </c>
      <c r="I1" s="338" t="s">
        <v>446</v>
      </c>
      <c r="J1" s="338" t="s">
        <v>447</v>
      </c>
      <c r="K1" s="339" t="s">
        <v>448</v>
      </c>
      <c r="L1" s="338" t="s">
        <v>449</v>
      </c>
      <c r="M1" s="338" t="s">
        <v>450</v>
      </c>
      <c r="N1" s="338" t="s">
        <v>451</v>
      </c>
      <c r="O1" s="338" t="s">
        <v>452</v>
      </c>
      <c r="P1" s="338" t="s">
        <v>453</v>
      </c>
      <c r="Q1" s="338" t="s">
        <v>454</v>
      </c>
      <c r="R1" s="338" t="s">
        <v>455</v>
      </c>
      <c r="S1" s="338" t="s">
        <v>456</v>
      </c>
      <c r="T1" s="338" t="s">
        <v>457</v>
      </c>
      <c r="U1" s="338" t="s">
        <v>458</v>
      </c>
      <c r="V1" s="338" t="s">
        <v>459</v>
      </c>
      <c r="W1" s="338" t="s">
        <v>460</v>
      </c>
      <c r="X1" s="338" t="s">
        <v>461</v>
      </c>
      <c r="Y1" s="338" t="s">
        <v>462</v>
      </c>
      <c r="Z1" s="340" t="s">
        <v>463</v>
      </c>
      <c r="AA1" s="341" t="s">
        <v>464</v>
      </c>
      <c r="AB1" s="342" t="s">
        <v>465</v>
      </c>
      <c r="AC1" s="343" t="s">
        <v>466</v>
      </c>
      <c r="AD1" s="632" t="s">
        <v>467</v>
      </c>
      <c r="AE1" s="632" t="s">
        <v>468</v>
      </c>
    </row>
    <row r="2" spans="1:32" ht="25.5">
      <c r="A2" s="345" t="s">
        <v>469</v>
      </c>
      <c r="B2" s="346"/>
      <c r="C2" s="346"/>
      <c r="D2" s="346"/>
      <c r="E2" s="346"/>
      <c r="F2" s="346"/>
      <c r="G2" s="346"/>
      <c r="H2" s="338" t="s">
        <v>470</v>
      </c>
      <c r="I2" s="338" t="s">
        <v>471</v>
      </c>
      <c r="J2" s="338" t="s">
        <v>472</v>
      </c>
      <c r="K2" s="338" t="s">
        <v>473</v>
      </c>
      <c r="L2" s="338" t="s">
        <v>474</v>
      </c>
      <c r="M2" s="338" t="s">
        <v>475</v>
      </c>
      <c r="N2" s="338" t="s">
        <v>476</v>
      </c>
      <c r="O2" s="338" t="s">
        <v>477</v>
      </c>
      <c r="P2" s="338" t="s">
        <v>478</v>
      </c>
      <c r="Q2" s="338" t="s">
        <v>479</v>
      </c>
      <c r="R2" s="338" t="s">
        <v>480</v>
      </c>
      <c r="S2" s="338" t="s">
        <v>481</v>
      </c>
      <c r="T2" s="338" t="s">
        <v>482</v>
      </c>
      <c r="U2" s="338" t="s">
        <v>483</v>
      </c>
      <c r="V2" s="338" t="s">
        <v>484</v>
      </c>
      <c r="W2" s="338" t="s">
        <v>485</v>
      </c>
      <c r="X2" s="338" t="s">
        <v>486</v>
      </c>
      <c r="Y2" s="338" t="s">
        <v>487</v>
      </c>
      <c r="Z2" s="340" t="s">
        <v>488</v>
      </c>
      <c r="AA2" s="341" t="s">
        <v>489</v>
      </c>
      <c r="AB2" s="347"/>
      <c r="AC2" s="343"/>
      <c r="AD2" s="632"/>
      <c r="AE2" s="632"/>
      <c r="AF2" s="344" t="s">
        <v>490</v>
      </c>
    </row>
    <row r="3" spans="1:32">
      <c r="A3" s="348"/>
      <c r="B3" s="349"/>
      <c r="C3" s="349"/>
      <c r="D3" s="349"/>
      <c r="E3" s="349"/>
      <c r="F3" s="349"/>
      <c r="G3" s="349"/>
      <c r="H3" s="350" t="s">
        <v>491</v>
      </c>
      <c r="I3" s="350" t="s">
        <v>492</v>
      </c>
      <c r="J3" s="350" t="s">
        <v>493</v>
      </c>
      <c r="K3" s="350" t="s">
        <v>494</v>
      </c>
      <c r="L3" s="350" t="s">
        <v>495</v>
      </c>
      <c r="M3" s="350" t="s">
        <v>496</v>
      </c>
      <c r="N3" s="350" t="s">
        <v>497</v>
      </c>
      <c r="O3" s="350" t="s">
        <v>498</v>
      </c>
      <c r="P3" s="350" t="s">
        <v>499</v>
      </c>
      <c r="Q3" s="351" t="s">
        <v>500</v>
      </c>
      <c r="R3" s="352" t="s">
        <v>501</v>
      </c>
      <c r="S3" s="352" t="s">
        <v>502</v>
      </c>
      <c r="T3" s="352" t="s">
        <v>503</v>
      </c>
      <c r="U3" s="352" t="s">
        <v>504</v>
      </c>
      <c r="V3" s="352" t="s">
        <v>505</v>
      </c>
      <c r="W3" s="352" t="s">
        <v>506</v>
      </c>
      <c r="X3" s="352" t="s">
        <v>507</v>
      </c>
      <c r="Y3" s="352" t="s">
        <v>508</v>
      </c>
      <c r="Z3" s="352" t="s">
        <v>509</v>
      </c>
      <c r="AA3" s="352" t="s">
        <v>510</v>
      </c>
      <c r="AB3" s="353" t="s">
        <v>511</v>
      </c>
      <c r="AC3" s="354" t="s">
        <v>512</v>
      </c>
      <c r="AD3" s="352" t="s">
        <v>513</v>
      </c>
      <c r="AE3" s="353" t="s">
        <v>514</v>
      </c>
    </row>
    <row r="4" spans="1:32">
      <c r="A4" s="355" t="s">
        <v>515</v>
      </c>
      <c r="B4" s="356"/>
      <c r="C4" s="356"/>
      <c r="D4" s="356"/>
      <c r="E4" s="356"/>
      <c r="F4" s="356"/>
      <c r="G4" s="356"/>
      <c r="H4" s="357"/>
      <c r="I4" s="357"/>
      <c r="J4" s="357"/>
      <c r="K4" s="357"/>
      <c r="L4" s="357"/>
      <c r="M4" s="357"/>
      <c r="N4" s="357"/>
      <c r="O4" s="357"/>
      <c r="P4" s="357"/>
      <c r="Q4" s="358"/>
      <c r="R4" s="357"/>
      <c r="S4" s="357"/>
      <c r="T4" s="357"/>
      <c r="U4" s="357"/>
      <c r="V4" s="357"/>
      <c r="W4" s="357"/>
      <c r="X4" s="357"/>
      <c r="Y4" s="357"/>
      <c r="Z4" s="357"/>
      <c r="AA4" s="357"/>
      <c r="AB4" s="357"/>
      <c r="AC4" s="359"/>
      <c r="AD4" s="357"/>
      <c r="AE4" s="357"/>
    </row>
    <row r="5" spans="1:32" ht="25.5">
      <c r="A5" s="360" t="s">
        <v>516</v>
      </c>
      <c r="B5" s="361" t="s">
        <v>517</v>
      </c>
      <c r="C5" s="361">
        <f>SUM(H5:K5)</f>
        <v>3301309.41</v>
      </c>
      <c r="D5" s="361">
        <f>SUM(L5:O5)</f>
        <v>12945749.330000002</v>
      </c>
      <c r="E5" s="361">
        <f>SUM(P5:S5)</f>
        <v>44675073.080000006</v>
      </c>
      <c r="F5" s="361">
        <f>SUM(T5:W5)</f>
        <v>32640377.189999998</v>
      </c>
      <c r="G5" s="361">
        <f>SUM(X5:AA5)</f>
        <v>34452514.02866666</v>
      </c>
      <c r="H5" s="362">
        <v>0</v>
      </c>
      <c r="I5" s="362">
        <v>0</v>
      </c>
      <c r="J5" s="362">
        <v>432759</v>
      </c>
      <c r="K5" s="362">
        <v>2868550.41</v>
      </c>
      <c r="L5" s="362">
        <v>2369913.27</v>
      </c>
      <c r="M5" s="362">
        <v>1671462</v>
      </c>
      <c r="N5" s="362">
        <v>5502134.7700000005</v>
      </c>
      <c r="O5" s="362">
        <v>3402239.29</v>
      </c>
      <c r="P5" s="362">
        <v>5390410.3700000001</v>
      </c>
      <c r="Q5" s="363">
        <v>15185863.4</v>
      </c>
      <c r="R5" s="362">
        <v>18523494.960000001</v>
      </c>
      <c r="S5" s="362">
        <v>5575304.3499999996</v>
      </c>
      <c r="T5" s="362">
        <v>6948547.5999999996</v>
      </c>
      <c r="U5" s="362">
        <v>9954954.8399999999</v>
      </c>
      <c r="V5" s="362">
        <v>9112561.7300000004</v>
      </c>
      <c r="W5" s="362">
        <v>6624313.0199999996</v>
      </c>
      <c r="X5" s="362">
        <v>4428387.63</v>
      </c>
      <c r="Y5" s="362">
        <v>7345725.2300000004</v>
      </c>
      <c r="Z5" s="362">
        <v>9285930.6499999985</v>
      </c>
      <c r="AA5" s="362">
        <v>13392470.518666666</v>
      </c>
      <c r="AB5" s="362">
        <v>9160193.1177586988</v>
      </c>
      <c r="AC5" s="364">
        <v>128015023.03866668</v>
      </c>
      <c r="AD5" s="362">
        <v>137641006.81</v>
      </c>
      <c r="AE5" s="364">
        <v>9625983.7699999996</v>
      </c>
      <c r="AF5" s="344">
        <f t="shared" ref="AF5:AF68" si="0">AC5/$AC$556</f>
        <v>0.22063792004915395</v>
      </c>
    </row>
    <row r="6" spans="1:32" ht="25.5">
      <c r="A6" s="365" t="s">
        <v>518</v>
      </c>
      <c r="B6" s="366" t="s">
        <v>519</v>
      </c>
      <c r="C6" s="361">
        <f t="shared" ref="C6:C69" si="1">SUM(H6:K6)</f>
        <v>2751421.79</v>
      </c>
      <c r="D6" s="361">
        <f t="shared" ref="D6:D69" si="2">SUM(L6:O6)</f>
        <v>3449166.5599999996</v>
      </c>
      <c r="E6" s="361">
        <f t="shared" ref="E6:E69" si="3">SUM(P6:S6)</f>
        <v>2871050.32</v>
      </c>
      <c r="F6" s="361">
        <f t="shared" ref="F6:F69" si="4">SUM(T6:W6)</f>
        <v>3766155.75</v>
      </c>
      <c r="G6" s="361">
        <f t="shared" ref="G6:G69" si="5">SUM(X6:AA6)</f>
        <v>4169982.5000000005</v>
      </c>
      <c r="H6" s="367">
        <v>0</v>
      </c>
      <c r="I6" s="367">
        <v>0</v>
      </c>
      <c r="J6" s="367">
        <v>432759</v>
      </c>
      <c r="K6" s="367">
        <v>2318662.79</v>
      </c>
      <c r="L6" s="367">
        <v>842486.53</v>
      </c>
      <c r="M6" s="367">
        <v>844201</v>
      </c>
      <c r="N6" s="367">
        <v>564469.73</v>
      </c>
      <c r="O6" s="367">
        <v>1198009.3</v>
      </c>
      <c r="P6" s="367">
        <v>554269.65999999992</v>
      </c>
      <c r="Q6" s="367">
        <v>890159.27</v>
      </c>
      <c r="R6" s="367">
        <v>855473.76</v>
      </c>
      <c r="S6" s="367">
        <v>571147.63</v>
      </c>
      <c r="T6" s="367">
        <v>1149771.23</v>
      </c>
      <c r="U6" s="367">
        <v>577835.09000000008</v>
      </c>
      <c r="V6" s="367">
        <v>576244.14</v>
      </c>
      <c r="W6" s="367">
        <v>1462305.29</v>
      </c>
      <c r="X6" s="367">
        <v>582132.6</v>
      </c>
      <c r="Y6" s="367">
        <v>589113.59000000008</v>
      </c>
      <c r="Z6" s="368">
        <v>1461323.1800000002</v>
      </c>
      <c r="AA6" s="367">
        <v>1537413.1300000004</v>
      </c>
      <c r="AB6" s="367">
        <v>0.29000000096857548</v>
      </c>
      <c r="AC6" s="369">
        <v>17007776.919999998</v>
      </c>
      <c r="AD6" s="369">
        <v>16932714.850000001</v>
      </c>
      <c r="AE6" s="369">
        <v>-75062.070000000007</v>
      </c>
      <c r="AF6" s="344">
        <f t="shared" si="0"/>
        <v>2.9313438651300733E-2</v>
      </c>
    </row>
    <row r="7" spans="1:32" ht="25.5">
      <c r="A7" s="370" t="s">
        <v>520</v>
      </c>
      <c r="B7" s="366" t="s">
        <v>521</v>
      </c>
      <c r="C7" s="361">
        <f t="shared" si="1"/>
        <v>0</v>
      </c>
      <c r="D7" s="361">
        <f t="shared" si="2"/>
        <v>0</v>
      </c>
      <c r="E7" s="361">
        <f t="shared" si="3"/>
        <v>56852.75</v>
      </c>
      <c r="F7" s="361">
        <f t="shared" si="4"/>
        <v>77314.62</v>
      </c>
      <c r="G7" s="361">
        <f t="shared" si="5"/>
        <v>88223.59</v>
      </c>
      <c r="H7" s="371">
        <v>0</v>
      </c>
      <c r="I7" s="371">
        <v>0</v>
      </c>
      <c r="J7" s="371">
        <v>0</v>
      </c>
      <c r="K7" s="371">
        <v>0</v>
      </c>
      <c r="L7" s="371">
        <v>0</v>
      </c>
      <c r="M7" s="371">
        <v>0</v>
      </c>
      <c r="N7" s="371">
        <v>0</v>
      </c>
      <c r="O7" s="371">
        <v>0</v>
      </c>
      <c r="P7" s="371">
        <v>21413.06</v>
      </c>
      <c r="Q7" s="371">
        <v>23986.1</v>
      </c>
      <c r="R7" s="371">
        <v>0</v>
      </c>
      <c r="S7" s="371">
        <v>11453.59</v>
      </c>
      <c r="T7" s="371">
        <v>0</v>
      </c>
      <c r="U7" s="371">
        <v>33415.46</v>
      </c>
      <c r="V7" s="371">
        <v>43899.16</v>
      </c>
      <c r="W7" s="371">
        <v>0</v>
      </c>
      <c r="X7" s="371">
        <v>0</v>
      </c>
      <c r="Y7" s="371">
        <v>22971.11</v>
      </c>
      <c r="Z7" s="372">
        <v>22529.64</v>
      </c>
      <c r="AA7" s="367">
        <v>42722.84</v>
      </c>
      <c r="AB7" s="371">
        <v>-0.27000000000407454</v>
      </c>
      <c r="AC7" s="373">
        <v>222390.96</v>
      </c>
      <c r="AD7" s="373">
        <v>222390.69</v>
      </c>
      <c r="AE7" s="369">
        <v>-0.27</v>
      </c>
      <c r="AF7" s="344">
        <f t="shared" si="0"/>
        <v>3.8329781682977737E-4</v>
      </c>
    </row>
    <row r="8" spans="1:32" ht="25.5">
      <c r="A8" s="365" t="s">
        <v>522</v>
      </c>
      <c r="B8" s="366" t="s">
        <v>523</v>
      </c>
      <c r="C8" s="361">
        <f t="shared" si="1"/>
        <v>0</v>
      </c>
      <c r="D8" s="361">
        <f t="shared" si="2"/>
        <v>0</v>
      </c>
      <c r="E8" s="361">
        <f t="shared" si="3"/>
        <v>1356147.4500000002</v>
      </c>
      <c r="F8" s="361">
        <f t="shared" si="4"/>
        <v>2276772.75</v>
      </c>
      <c r="G8" s="361">
        <f t="shared" si="5"/>
        <v>2211143.5999999996</v>
      </c>
      <c r="H8" s="374">
        <v>0</v>
      </c>
      <c r="I8" s="374">
        <v>0</v>
      </c>
      <c r="J8" s="374">
        <v>0</v>
      </c>
      <c r="K8" s="374">
        <v>0</v>
      </c>
      <c r="L8" s="374">
        <v>0</v>
      </c>
      <c r="M8" s="374">
        <v>0</v>
      </c>
      <c r="N8" s="374">
        <v>0</v>
      </c>
      <c r="O8" s="374">
        <v>0</v>
      </c>
      <c r="P8" s="374">
        <v>348723.54000000004</v>
      </c>
      <c r="Q8" s="374">
        <v>0</v>
      </c>
      <c r="R8" s="374">
        <v>813688.54</v>
      </c>
      <c r="S8" s="374">
        <v>193735.37</v>
      </c>
      <c r="T8" s="374">
        <v>735314.65000000014</v>
      </c>
      <c r="U8" s="374">
        <v>410350.67</v>
      </c>
      <c r="V8" s="374">
        <v>460276.37</v>
      </c>
      <c r="W8" s="374">
        <v>670831.06000000006</v>
      </c>
      <c r="X8" s="374">
        <v>324084.28000000003</v>
      </c>
      <c r="Y8" s="374">
        <v>468317.18</v>
      </c>
      <c r="Z8" s="374">
        <v>519679.39999999997</v>
      </c>
      <c r="AA8" s="367">
        <v>899062.74</v>
      </c>
      <c r="AB8" s="374">
        <v>0.87999999965541065</v>
      </c>
      <c r="AC8" s="373">
        <v>5844063.8000000007</v>
      </c>
      <c r="AD8" s="373">
        <v>5844064.6799999997</v>
      </c>
      <c r="AE8" s="369">
        <v>0.88</v>
      </c>
      <c r="AF8" s="344">
        <f t="shared" si="0"/>
        <v>1.0072427835888352E-2</v>
      </c>
    </row>
    <row r="9" spans="1:32">
      <c r="A9" s="370" t="s">
        <v>524</v>
      </c>
      <c r="B9" s="366" t="s">
        <v>525</v>
      </c>
      <c r="C9" s="361">
        <f t="shared" si="1"/>
        <v>549887.62</v>
      </c>
      <c r="D9" s="361">
        <f t="shared" si="2"/>
        <v>9496582.7699999996</v>
      </c>
      <c r="E9" s="361">
        <f t="shared" si="3"/>
        <v>38665016.670000002</v>
      </c>
      <c r="F9" s="361">
        <f t="shared" si="4"/>
        <v>23628679.609999999</v>
      </c>
      <c r="G9" s="361">
        <f t="shared" si="5"/>
        <v>24992407.098666668</v>
      </c>
      <c r="H9" s="374">
        <v>0</v>
      </c>
      <c r="I9" s="374">
        <v>0</v>
      </c>
      <c r="J9" s="374">
        <v>0</v>
      </c>
      <c r="K9" s="374">
        <v>549887.62</v>
      </c>
      <c r="L9" s="374">
        <v>1527426.74</v>
      </c>
      <c r="M9" s="374">
        <v>827261</v>
      </c>
      <c r="N9" s="374">
        <v>4937665.04</v>
      </c>
      <c r="O9" s="374">
        <v>2204229.9900000002</v>
      </c>
      <c r="P9" s="374">
        <v>4022174.1100000003</v>
      </c>
      <c r="Q9" s="375">
        <v>14271718.030000001</v>
      </c>
      <c r="R9" s="374">
        <v>15818729.060000001</v>
      </c>
      <c r="S9" s="374">
        <v>4552395.4700000007</v>
      </c>
      <c r="T9" s="374">
        <v>4133863.02</v>
      </c>
      <c r="U9" s="374">
        <v>8411089.129999999</v>
      </c>
      <c r="V9" s="374">
        <v>7446335.7700000005</v>
      </c>
      <c r="W9" s="374">
        <v>3637391.69</v>
      </c>
      <c r="X9" s="374">
        <v>3109699.8600000003</v>
      </c>
      <c r="Y9" s="374">
        <v>5669283.2999999998</v>
      </c>
      <c r="Z9" s="374">
        <v>6620988.2899999991</v>
      </c>
      <c r="AA9" s="367">
        <v>9592435.6486666668</v>
      </c>
      <c r="AB9" s="374">
        <v>7568903.771333335</v>
      </c>
      <c r="AC9" s="373">
        <v>97332573.76866667</v>
      </c>
      <c r="AD9" s="373">
        <v>106337889.8</v>
      </c>
      <c r="AE9" s="369">
        <v>9005316.0299999993</v>
      </c>
      <c r="AF9" s="344">
        <f t="shared" si="0"/>
        <v>0.16775575334515933</v>
      </c>
    </row>
    <row r="10" spans="1:32" ht="25.5">
      <c r="A10" s="376" t="s">
        <v>524</v>
      </c>
      <c r="B10" s="377" t="s">
        <v>526</v>
      </c>
      <c r="C10" s="361">
        <f t="shared" si="1"/>
        <v>549887.62</v>
      </c>
      <c r="D10" s="361">
        <f t="shared" si="2"/>
        <v>3740553.31</v>
      </c>
      <c r="E10" s="361">
        <f t="shared" si="3"/>
        <v>1752572.7100000002</v>
      </c>
      <c r="F10" s="361">
        <f t="shared" si="4"/>
        <v>763964.1100000001</v>
      </c>
      <c r="G10" s="361">
        <f t="shared" si="5"/>
        <v>0</v>
      </c>
      <c r="H10" s="375">
        <v>0</v>
      </c>
      <c r="I10" s="375">
        <v>0</v>
      </c>
      <c r="J10" s="375">
        <v>0</v>
      </c>
      <c r="K10" s="375">
        <v>549887.62</v>
      </c>
      <c r="L10" s="375">
        <v>1527426.74</v>
      </c>
      <c r="M10" s="375">
        <v>827261</v>
      </c>
      <c r="N10" s="375">
        <v>796621.86</v>
      </c>
      <c r="O10" s="375">
        <v>589243.71</v>
      </c>
      <c r="P10" s="375">
        <v>624972.56000000006</v>
      </c>
      <c r="Q10" s="375">
        <v>402234.22</v>
      </c>
      <c r="R10" s="375">
        <v>514669.42000000004</v>
      </c>
      <c r="S10" s="375">
        <v>210696.50999999998</v>
      </c>
      <c r="T10" s="375">
        <v>279003.97000000003</v>
      </c>
      <c r="U10" s="375">
        <v>172714.23999999999</v>
      </c>
      <c r="V10" s="375">
        <v>0</v>
      </c>
      <c r="W10" s="375">
        <v>312245.90000000002</v>
      </c>
      <c r="X10" s="375">
        <v>0</v>
      </c>
      <c r="Y10" s="375">
        <v>0</v>
      </c>
      <c r="Z10" s="375">
        <v>0</v>
      </c>
      <c r="AA10" s="367">
        <v>0</v>
      </c>
      <c r="AB10" s="375">
        <v>0</v>
      </c>
      <c r="AC10" s="378">
        <v>6806977.75</v>
      </c>
      <c r="AD10" s="378">
        <v>6806977.75</v>
      </c>
      <c r="AE10" s="379">
        <v>0</v>
      </c>
      <c r="AF10" s="344">
        <f t="shared" si="0"/>
        <v>1.1732040325667331E-2</v>
      </c>
    </row>
    <row r="11" spans="1:32" ht="25.5">
      <c r="A11" s="376" t="s">
        <v>524</v>
      </c>
      <c r="B11" s="380" t="s">
        <v>527</v>
      </c>
      <c r="C11" s="361">
        <f t="shared" si="1"/>
        <v>0</v>
      </c>
      <c r="D11" s="361">
        <f t="shared" si="2"/>
        <v>5238859.370000001</v>
      </c>
      <c r="E11" s="361">
        <f t="shared" si="3"/>
        <v>12061818.59</v>
      </c>
      <c r="F11" s="361">
        <f t="shared" si="4"/>
        <v>7265848.6099999994</v>
      </c>
      <c r="G11" s="361">
        <f t="shared" si="5"/>
        <v>6580869.3420000002</v>
      </c>
      <c r="H11" s="375">
        <v>0</v>
      </c>
      <c r="I11" s="375">
        <v>0</v>
      </c>
      <c r="J11" s="375">
        <v>0</v>
      </c>
      <c r="K11" s="375">
        <v>0</v>
      </c>
      <c r="L11" s="375">
        <v>0</v>
      </c>
      <c r="M11" s="375">
        <v>0</v>
      </c>
      <c r="N11" s="375">
        <v>4141043.1800000006</v>
      </c>
      <c r="O11" s="375">
        <v>1097816.19</v>
      </c>
      <c r="P11" s="375">
        <v>2404130.44</v>
      </c>
      <c r="Q11" s="375">
        <v>3633801.95</v>
      </c>
      <c r="R11" s="375">
        <v>4782711.5299999993</v>
      </c>
      <c r="S11" s="375">
        <v>1241174.67</v>
      </c>
      <c r="T11" s="375">
        <v>1544760.77</v>
      </c>
      <c r="U11" s="375">
        <v>2531578.7399999998</v>
      </c>
      <c r="V11" s="375">
        <v>2436306.1</v>
      </c>
      <c r="W11" s="375">
        <v>753203</v>
      </c>
      <c r="X11" s="375">
        <v>1151807.1500000001</v>
      </c>
      <c r="Y11" s="375">
        <v>673560.87000000011</v>
      </c>
      <c r="Z11" s="381">
        <v>2802273.62</v>
      </c>
      <c r="AA11" s="367">
        <v>1953227.702</v>
      </c>
      <c r="AB11" s="375">
        <v>1279524.5779999979</v>
      </c>
      <c r="AC11" s="378">
        <v>31147395.912</v>
      </c>
      <c r="AD11" s="378">
        <v>32597462</v>
      </c>
      <c r="AE11" s="379">
        <v>1450066.09</v>
      </c>
      <c r="AF11" s="344">
        <f t="shared" si="0"/>
        <v>5.3683516870480411E-2</v>
      </c>
    </row>
    <row r="12" spans="1:32" ht="25.5">
      <c r="A12" s="376" t="s">
        <v>524</v>
      </c>
      <c r="B12" s="380" t="s">
        <v>528</v>
      </c>
      <c r="C12" s="361">
        <f t="shared" si="1"/>
        <v>0</v>
      </c>
      <c r="D12" s="361">
        <f t="shared" si="2"/>
        <v>125818</v>
      </c>
      <c r="E12" s="361">
        <f t="shared" si="3"/>
        <v>4406144.1500000004</v>
      </c>
      <c r="F12" s="361">
        <f t="shared" si="4"/>
        <v>2132269.37</v>
      </c>
      <c r="G12" s="361">
        <f t="shared" si="5"/>
        <v>1857513.1900000002</v>
      </c>
      <c r="H12" s="375">
        <v>0</v>
      </c>
      <c r="I12" s="375">
        <v>0</v>
      </c>
      <c r="J12" s="375">
        <v>0</v>
      </c>
      <c r="K12" s="375">
        <v>0</v>
      </c>
      <c r="L12" s="375">
        <v>0</v>
      </c>
      <c r="M12" s="375">
        <v>0</v>
      </c>
      <c r="N12" s="375">
        <v>0</v>
      </c>
      <c r="O12" s="375">
        <v>125818</v>
      </c>
      <c r="P12" s="375">
        <v>94444.87</v>
      </c>
      <c r="Q12" s="375">
        <v>2398567.73</v>
      </c>
      <c r="R12" s="375">
        <v>1429673.23</v>
      </c>
      <c r="S12" s="375">
        <v>483458.32</v>
      </c>
      <c r="T12" s="375">
        <v>486355.56</v>
      </c>
      <c r="U12" s="375">
        <v>700468.37</v>
      </c>
      <c r="V12" s="375">
        <v>608266.25</v>
      </c>
      <c r="W12" s="375">
        <v>337179.19</v>
      </c>
      <c r="X12" s="375">
        <v>294707.89</v>
      </c>
      <c r="Y12" s="375">
        <v>468691.35999999993</v>
      </c>
      <c r="Z12" s="381">
        <v>764570.14</v>
      </c>
      <c r="AA12" s="367">
        <v>329543.8</v>
      </c>
      <c r="AB12" s="375">
        <v>382521.0000000014</v>
      </c>
      <c r="AC12" s="378">
        <v>8521744.709999999</v>
      </c>
      <c r="AD12" s="378">
        <v>8932102.1600000001</v>
      </c>
      <c r="AE12" s="379">
        <v>410357.45</v>
      </c>
      <c r="AF12" s="344">
        <f t="shared" si="0"/>
        <v>1.4687495134351252E-2</v>
      </c>
    </row>
    <row r="13" spans="1:32" ht="25.5">
      <c r="A13" s="376" t="s">
        <v>524</v>
      </c>
      <c r="B13" s="380" t="s">
        <v>529</v>
      </c>
      <c r="C13" s="361">
        <f t="shared" si="1"/>
        <v>0</v>
      </c>
      <c r="D13" s="361">
        <f t="shared" si="2"/>
        <v>117204.26</v>
      </c>
      <c r="E13" s="361">
        <f t="shared" si="3"/>
        <v>2124498.3600000003</v>
      </c>
      <c r="F13" s="361">
        <f t="shared" si="4"/>
        <v>1260600.23</v>
      </c>
      <c r="G13" s="361">
        <f t="shared" si="5"/>
        <v>1317910.74</v>
      </c>
      <c r="H13" s="375">
        <v>0</v>
      </c>
      <c r="I13" s="375">
        <v>0</v>
      </c>
      <c r="J13" s="375">
        <v>0</v>
      </c>
      <c r="K13" s="375">
        <v>0</v>
      </c>
      <c r="L13" s="375">
        <v>0</v>
      </c>
      <c r="M13" s="375">
        <v>0</v>
      </c>
      <c r="N13" s="375">
        <v>0</v>
      </c>
      <c r="O13" s="375">
        <v>117204.26</v>
      </c>
      <c r="P13" s="375">
        <v>546611.89</v>
      </c>
      <c r="Q13" s="375">
        <v>1577886.4700000002</v>
      </c>
      <c r="R13" s="375">
        <v>0</v>
      </c>
      <c r="S13" s="375">
        <v>0</v>
      </c>
      <c r="T13" s="375">
        <v>0</v>
      </c>
      <c r="U13" s="375">
        <v>524893.66999999993</v>
      </c>
      <c r="V13" s="375">
        <v>510001.53</v>
      </c>
      <c r="W13" s="375">
        <v>225705.03</v>
      </c>
      <c r="X13" s="375">
        <v>213787.26</v>
      </c>
      <c r="Y13" s="375">
        <v>367685.16000000003</v>
      </c>
      <c r="Z13" s="381">
        <v>224372.27</v>
      </c>
      <c r="AA13" s="367">
        <v>512066.05</v>
      </c>
      <c r="AB13" s="375">
        <v>105294.08999999973</v>
      </c>
      <c r="AC13" s="378">
        <v>4820213.59</v>
      </c>
      <c r="AD13" s="378">
        <v>4944414.5600000005</v>
      </c>
      <c r="AE13" s="379">
        <v>124200.97</v>
      </c>
      <c r="AF13" s="344">
        <f t="shared" si="0"/>
        <v>8.3077897847116788E-3</v>
      </c>
    </row>
    <row r="14" spans="1:32" ht="25.5">
      <c r="A14" s="376" t="s">
        <v>524</v>
      </c>
      <c r="B14" s="377" t="s">
        <v>530</v>
      </c>
      <c r="C14" s="361">
        <f t="shared" si="1"/>
        <v>0</v>
      </c>
      <c r="D14" s="361">
        <f t="shared" si="2"/>
        <v>274147.83</v>
      </c>
      <c r="E14" s="361">
        <f t="shared" si="3"/>
        <v>9128225.25</v>
      </c>
      <c r="F14" s="361">
        <f t="shared" si="4"/>
        <v>6853659.96</v>
      </c>
      <c r="G14" s="361">
        <f t="shared" si="5"/>
        <v>10763992.426666666</v>
      </c>
      <c r="H14" s="375">
        <v>0</v>
      </c>
      <c r="I14" s="375">
        <v>0</v>
      </c>
      <c r="J14" s="375">
        <v>0</v>
      </c>
      <c r="K14" s="375">
        <v>0</v>
      </c>
      <c r="L14" s="375">
        <v>0</v>
      </c>
      <c r="M14" s="375">
        <v>0</v>
      </c>
      <c r="N14" s="375">
        <v>0</v>
      </c>
      <c r="O14" s="375">
        <v>274147.83</v>
      </c>
      <c r="P14" s="375">
        <v>203560.4</v>
      </c>
      <c r="Q14" s="375">
        <v>3369235.01</v>
      </c>
      <c r="R14" s="375">
        <v>3757484.68</v>
      </c>
      <c r="S14" s="375">
        <v>1797945.1600000001</v>
      </c>
      <c r="T14" s="375">
        <v>615915.57999999996</v>
      </c>
      <c r="U14" s="375">
        <v>2891796.35</v>
      </c>
      <c r="V14" s="375">
        <v>2008258.24</v>
      </c>
      <c r="W14" s="375">
        <v>1337689.79</v>
      </c>
      <c r="X14" s="375">
        <v>468347.23</v>
      </c>
      <c r="Y14" s="375">
        <v>2875322.79</v>
      </c>
      <c r="Z14" s="381">
        <v>2022422.77</v>
      </c>
      <c r="AA14" s="367">
        <v>5397899.6366666667</v>
      </c>
      <c r="AB14" s="375">
        <v>1010642.5633333353</v>
      </c>
      <c r="AC14" s="378">
        <v>27020025.466666665</v>
      </c>
      <c r="AD14" s="378">
        <v>29183101.850000001</v>
      </c>
      <c r="AE14" s="379">
        <v>2163076.38</v>
      </c>
      <c r="AF14" s="344">
        <f t="shared" si="0"/>
        <v>4.6569864045095714E-2</v>
      </c>
    </row>
    <row r="15" spans="1:32" ht="25.5">
      <c r="A15" s="376" t="s">
        <v>524</v>
      </c>
      <c r="B15" s="377" t="s">
        <v>531</v>
      </c>
      <c r="C15" s="361">
        <f t="shared" si="1"/>
        <v>0</v>
      </c>
      <c r="D15" s="361">
        <f t="shared" si="2"/>
        <v>0</v>
      </c>
      <c r="E15" s="361">
        <f t="shared" si="3"/>
        <v>8245004.3399999999</v>
      </c>
      <c r="F15" s="361">
        <f t="shared" si="4"/>
        <v>5022087.12</v>
      </c>
      <c r="G15" s="361">
        <f t="shared" si="5"/>
        <v>3882804.9000000004</v>
      </c>
      <c r="H15" s="375">
        <v>0</v>
      </c>
      <c r="I15" s="375">
        <v>0</v>
      </c>
      <c r="J15" s="375">
        <v>0</v>
      </c>
      <c r="K15" s="375">
        <v>0</v>
      </c>
      <c r="L15" s="375">
        <v>0</v>
      </c>
      <c r="M15" s="375">
        <v>0</v>
      </c>
      <c r="N15" s="375">
        <v>0</v>
      </c>
      <c r="O15" s="375">
        <v>0</v>
      </c>
      <c r="P15" s="375">
        <v>148453.95000000001</v>
      </c>
      <c r="Q15" s="375">
        <v>1943239.38</v>
      </c>
      <c r="R15" s="375">
        <v>5334190.1999999993</v>
      </c>
      <c r="S15" s="375">
        <v>819120.81</v>
      </c>
      <c r="T15" s="375">
        <v>1207827.0899999999</v>
      </c>
      <c r="U15" s="375">
        <v>1589637.76</v>
      </c>
      <c r="V15" s="375">
        <v>1553253.4899999998</v>
      </c>
      <c r="W15" s="375">
        <v>671368.78</v>
      </c>
      <c r="X15" s="375">
        <v>738628.83</v>
      </c>
      <c r="Y15" s="375">
        <v>1284023.1200000001</v>
      </c>
      <c r="Z15" s="381">
        <v>641459.17000000004</v>
      </c>
      <c r="AA15" s="367">
        <v>1218693.78</v>
      </c>
      <c r="AB15" s="375">
        <v>4790921.8199999994</v>
      </c>
      <c r="AC15" s="378">
        <v>17149896.359999999</v>
      </c>
      <c r="AD15" s="378">
        <v>22004743.619999997</v>
      </c>
      <c r="AE15" s="379">
        <v>4854847.26</v>
      </c>
      <c r="AF15" s="344">
        <f t="shared" si="0"/>
        <v>2.9558385977761621E-2</v>
      </c>
    </row>
    <row r="16" spans="1:32" ht="25.5">
      <c r="A16" s="376" t="s">
        <v>524</v>
      </c>
      <c r="B16" s="377" t="s">
        <v>532</v>
      </c>
      <c r="C16" s="361">
        <f t="shared" si="1"/>
        <v>0</v>
      </c>
      <c r="D16" s="361">
        <f t="shared" si="2"/>
        <v>0</v>
      </c>
      <c r="E16" s="361">
        <f t="shared" si="3"/>
        <v>946753.27</v>
      </c>
      <c r="F16" s="361">
        <f t="shared" si="4"/>
        <v>330250.20999999996</v>
      </c>
      <c r="G16" s="361">
        <f t="shared" si="5"/>
        <v>589316.5</v>
      </c>
      <c r="H16" s="375">
        <v>0</v>
      </c>
      <c r="I16" s="375">
        <v>0</v>
      </c>
      <c r="J16" s="375">
        <v>0</v>
      </c>
      <c r="K16" s="375">
        <v>0</v>
      </c>
      <c r="L16" s="375">
        <v>0</v>
      </c>
      <c r="M16" s="375">
        <v>0</v>
      </c>
      <c r="N16" s="375">
        <v>0</v>
      </c>
      <c r="O16" s="375">
        <v>0</v>
      </c>
      <c r="P16" s="375">
        <v>0</v>
      </c>
      <c r="Q16" s="375">
        <v>946753.27</v>
      </c>
      <c r="R16" s="375">
        <v>0</v>
      </c>
      <c r="S16" s="375">
        <v>0</v>
      </c>
      <c r="T16" s="375">
        <v>5.0000000002910383E-2</v>
      </c>
      <c r="U16" s="375">
        <v>0</v>
      </c>
      <c r="V16" s="375">
        <v>330250.15999999997</v>
      </c>
      <c r="W16" s="375">
        <v>0</v>
      </c>
      <c r="X16" s="375">
        <v>242421.5</v>
      </c>
      <c r="Y16" s="375">
        <v>0</v>
      </c>
      <c r="Z16" s="381">
        <v>165890.32</v>
      </c>
      <c r="AA16" s="367">
        <v>181004.68</v>
      </c>
      <c r="AB16" s="375">
        <v>-0.27999999979510903</v>
      </c>
      <c r="AC16" s="378">
        <v>1866319.98</v>
      </c>
      <c r="AD16" s="378">
        <v>1869087.86</v>
      </c>
      <c r="AE16" s="379">
        <v>2767.88</v>
      </c>
      <c r="AF16" s="344">
        <f t="shared" si="0"/>
        <v>3.2166612070913037E-3</v>
      </c>
    </row>
    <row r="17" spans="1:32" ht="25.5">
      <c r="A17" s="376" t="s">
        <v>524</v>
      </c>
      <c r="B17" s="377" t="s">
        <v>533</v>
      </c>
      <c r="C17" s="361">
        <f t="shared" si="1"/>
        <v>0</v>
      </c>
      <c r="D17" s="361">
        <f t="shared" si="2"/>
        <v>0</v>
      </c>
      <c r="E17" s="361">
        <f t="shared" si="3"/>
        <v>0</v>
      </c>
      <c r="F17" s="361">
        <f t="shared" si="4"/>
        <v>0</v>
      </c>
      <c r="G17" s="361">
        <f t="shared" si="5"/>
        <v>0</v>
      </c>
      <c r="H17" s="375">
        <v>0</v>
      </c>
      <c r="I17" s="375">
        <v>0</v>
      </c>
      <c r="J17" s="375">
        <v>0</v>
      </c>
      <c r="K17" s="375">
        <v>0</v>
      </c>
      <c r="L17" s="375">
        <v>0</v>
      </c>
      <c r="M17" s="375">
        <v>0</v>
      </c>
      <c r="N17" s="375">
        <v>0</v>
      </c>
      <c r="O17" s="375">
        <v>0</v>
      </c>
      <c r="P17" s="375">
        <v>0</v>
      </c>
      <c r="Q17" s="375">
        <v>0</v>
      </c>
      <c r="R17" s="375">
        <v>0</v>
      </c>
      <c r="S17" s="375">
        <v>0</v>
      </c>
      <c r="T17" s="375">
        <v>0</v>
      </c>
      <c r="U17" s="375">
        <v>0</v>
      </c>
      <c r="V17" s="375">
        <v>0</v>
      </c>
      <c r="W17" s="375">
        <v>0</v>
      </c>
      <c r="X17" s="375">
        <v>0</v>
      </c>
      <c r="Y17" s="375">
        <v>0</v>
      </c>
      <c r="Z17" s="381">
        <v>0</v>
      </c>
      <c r="AA17" s="367">
        <v>0</v>
      </c>
      <c r="AB17" s="375">
        <v>0</v>
      </c>
      <c r="AC17" s="378">
        <v>0</v>
      </c>
      <c r="AD17" s="378">
        <v>0</v>
      </c>
      <c r="AE17" s="379">
        <v>0</v>
      </c>
      <c r="AF17" s="344">
        <f t="shared" si="0"/>
        <v>0</v>
      </c>
    </row>
    <row r="18" spans="1:32" ht="25.5">
      <c r="A18" s="365" t="s">
        <v>534</v>
      </c>
      <c r="B18" s="382" t="s">
        <v>523</v>
      </c>
      <c r="C18" s="361">
        <f t="shared" si="1"/>
        <v>0</v>
      </c>
      <c r="D18" s="361">
        <f t="shared" si="2"/>
        <v>0</v>
      </c>
      <c r="E18" s="361">
        <f t="shared" si="3"/>
        <v>1726005.8900000001</v>
      </c>
      <c r="F18" s="361">
        <f t="shared" si="4"/>
        <v>2891454.46</v>
      </c>
      <c r="G18" s="361">
        <f t="shared" si="5"/>
        <v>2695323.59</v>
      </c>
      <c r="H18" s="374">
        <v>0</v>
      </c>
      <c r="I18" s="374">
        <v>0</v>
      </c>
      <c r="J18" s="374">
        <v>0</v>
      </c>
      <c r="K18" s="374">
        <v>0</v>
      </c>
      <c r="L18" s="374">
        <v>0</v>
      </c>
      <c r="M18" s="374">
        <v>0</v>
      </c>
      <c r="N18" s="374">
        <v>0</v>
      </c>
      <c r="O18" s="374">
        <v>0</v>
      </c>
      <c r="P18" s="374">
        <v>443830</v>
      </c>
      <c r="Q18" s="374">
        <v>0</v>
      </c>
      <c r="R18" s="374">
        <v>1035603.6000000001</v>
      </c>
      <c r="S18" s="374">
        <v>246572.29</v>
      </c>
      <c r="T18" s="374">
        <v>929598.7</v>
      </c>
      <c r="U18" s="374">
        <v>522264.49</v>
      </c>
      <c r="V18" s="374">
        <v>585806.29</v>
      </c>
      <c r="W18" s="374">
        <v>853784.98</v>
      </c>
      <c r="X18" s="374">
        <v>412470.89</v>
      </c>
      <c r="Y18" s="374">
        <v>596040.05000000005</v>
      </c>
      <c r="Z18" s="383">
        <v>661410.14</v>
      </c>
      <c r="AA18" s="367">
        <v>1025402.51</v>
      </c>
      <c r="AB18" s="374">
        <v>-2.0000000018626451E-2</v>
      </c>
      <c r="AC18" s="373">
        <v>7312783.9399999995</v>
      </c>
      <c r="AD18" s="373">
        <v>7312783.9199999999</v>
      </c>
      <c r="AE18" s="369">
        <v>-0.02</v>
      </c>
      <c r="AF18" s="344">
        <f t="shared" si="0"/>
        <v>1.2603813208728708E-2</v>
      </c>
    </row>
    <row r="19" spans="1:32">
      <c r="A19" s="384" t="s">
        <v>535</v>
      </c>
      <c r="B19" s="385">
        <v>0</v>
      </c>
      <c r="C19" s="361">
        <f t="shared" si="1"/>
        <v>0</v>
      </c>
      <c r="D19" s="361">
        <f t="shared" si="2"/>
        <v>0</v>
      </c>
      <c r="E19" s="361">
        <f t="shared" si="3"/>
        <v>0</v>
      </c>
      <c r="F19" s="361">
        <f t="shared" si="4"/>
        <v>0</v>
      </c>
      <c r="G19" s="361">
        <f t="shared" si="5"/>
        <v>0</v>
      </c>
      <c r="H19" s="386">
        <v>0</v>
      </c>
      <c r="I19" s="386">
        <v>0</v>
      </c>
      <c r="J19" s="386">
        <v>0</v>
      </c>
      <c r="K19" s="386">
        <v>0</v>
      </c>
      <c r="L19" s="386">
        <v>0</v>
      </c>
      <c r="M19" s="386">
        <v>0</v>
      </c>
      <c r="N19" s="386">
        <v>0</v>
      </c>
      <c r="O19" s="386">
        <v>0</v>
      </c>
      <c r="P19" s="386">
        <v>0</v>
      </c>
      <c r="Q19" s="386">
        <v>0</v>
      </c>
      <c r="R19" s="386">
        <v>0</v>
      </c>
      <c r="S19" s="386">
        <v>0</v>
      </c>
      <c r="T19" s="386">
        <v>0</v>
      </c>
      <c r="U19" s="386">
        <v>0</v>
      </c>
      <c r="V19" s="386">
        <v>0</v>
      </c>
      <c r="W19" s="386">
        <v>0</v>
      </c>
      <c r="X19" s="386">
        <v>0</v>
      </c>
      <c r="Y19" s="386">
        <v>0</v>
      </c>
      <c r="Z19" s="386">
        <v>0</v>
      </c>
      <c r="AA19" s="387">
        <v>0</v>
      </c>
      <c r="AB19" s="386"/>
      <c r="AC19" s="373">
        <v>-2.3283064365386963E-10</v>
      </c>
      <c r="AD19" s="373">
        <v>0</v>
      </c>
      <c r="AE19" s="369">
        <v>0</v>
      </c>
      <c r="AF19" s="344">
        <f t="shared" si="0"/>
        <v>-4.0129094007957918E-19</v>
      </c>
    </row>
    <row r="20" spans="1:32" ht="25.5">
      <c r="A20" s="384" t="s">
        <v>536</v>
      </c>
      <c r="B20" s="385">
        <v>0</v>
      </c>
      <c r="C20" s="361">
        <f t="shared" si="1"/>
        <v>0</v>
      </c>
      <c r="D20" s="361">
        <f t="shared" si="2"/>
        <v>0</v>
      </c>
      <c r="E20" s="361">
        <f t="shared" si="3"/>
        <v>0</v>
      </c>
      <c r="F20" s="361">
        <f t="shared" si="4"/>
        <v>0</v>
      </c>
      <c r="G20" s="361">
        <f t="shared" si="5"/>
        <v>0</v>
      </c>
      <c r="H20" s="386">
        <v>0</v>
      </c>
      <c r="I20" s="386">
        <v>0</v>
      </c>
      <c r="J20" s="386">
        <v>0</v>
      </c>
      <c r="K20" s="386">
        <v>0</v>
      </c>
      <c r="L20" s="386">
        <v>0</v>
      </c>
      <c r="M20" s="386">
        <v>0</v>
      </c>
      <c r="N20" s="386">
        <v>0</v>
      </c>
      <c r="O20" s="386">
        <v>0</v>
      </c>
      <c r="P20" s="386">
        <v>0</v>
      </c>
      <c r="Q20" s="386">
        <v>0</v>
      </c>
      <c r="R20" s="386">
        <v>0</v>
      </c>
      <c r="S20" s="386">
        <v>0</v>
      </c>
      <c r="T20" s="386">
        <v>0</v>
      </c>
      <c r="U20" s="386">
        <v>0</v>
      </c>
      <c r="V20" s="386">
        <v>0</v>
      </c>
      <c r="W20" s="386">
        <v>0</v>
      </c>
      <c r="X20" s="386">
        <v>0</v>
      </c>
      <c r="Y20" s="386">
        <v>0</v>
      </c>
      <c r="Z20" s="386">
        <v>0</v>
      </c>
      <c r="AA20" s="387">
        <v>0</v>
      </c>
      <c r="AB20" s="386">
        <v>1591288.4664253623</v>
      </c>
      <c r="AC20" s="373">
        <v>0</v>
      </c>
      <c r="AD20" s="373">
        <v>0</v>
      </c>
      <c r="AE20" s="369">
        <v>0</v>
      </c>
      <c r="AF20" s="344">
        <f t="shared" si="0"/>
        <v>0</v>
      </c>
    </row>
    <row r="21" spans="1:32">
      <c r="A21" s="384" t="s">
        <v>537</v>
      </c>
      <c r="B21" s="385"/>
      <c r="C21" s="361">
        <f t="shared" si="1"/>
        <v>0</v>
      </c>
      <c r="D21" s="361">
        <f t="shared" si="2"/>
        <v>0</v>
      </c>
      <c r="E21" s="361">
        <f t="shared" si="3"/>
        <v>0</v>
      </c>
      <c r="F21" s="361">
        <f t="shared" si="4"/>
        <v>0</v>
      </c>
      <c r="G21" s="361">
        <f t="shared" si="5"/>
        <v>295433.65000000002</v>
      </c>
      <c r="H21" s="386">
        <v>0</v>
      </c>
      <c r="I21" s="386">
        <v>0</v>
      </c>
      <c r="J21" s="386">
        <v>0</v>
      </c>
      <c r="K21" s="386">
        <v>0</v>
      </c>
      <c r="L21" s="386">
        <v>0</v>
      </c>
      <c r="M21" s="386">
        <v>0</v>
      </c>
      <c r="N21" s="386">
        <v>0</v>
      </c>
      <c r="O21" s="386">
        <v>0</v>
      </c>
      <c r="P21" s="386">
        <v>0</v>
      </c>
      <c r="Q21" s="386">
        <v>0</v>
      </c>
      <c r="R21" s="386">
        <v>0</v>
      </c>
      <c r="S21" s="386">
        <v>0</v>
      </c>
      <c r="T21" s="386">
        <v>0</v>
      </c>
      <c r="U21" s="386">
        <v>0</v>
      </c>
      <c r="V21" s="386">
        <v>0</v>
      </c>
      <c r="W21" s="386">
        <v>0</v>
      </c>
      <c r="X21" s="386">
        <v>0</v>
      </c>
      <c r="Y21" s="386">
        <v>0</v>
      </c>
      <c r="Z21" s="386">
        <v>0</v>
      </c>
      <c r="AA21" s="387">
        <v>295433.65000000002</v>
      </c>
      <c r="AB21" s="386"/>
      <c r="AC21" s="373">
        <v>295433.65000000002</v>
      </c>
      <c r="AD21" s="373">
        <v>991162.87</v>
      </c>
      <c r="AE21" s="369">
        <v>695729.22</v>
      </c>
      <c r="AF21" s="344">
        <f t="shared" si="0"/>
        <v>5.0918919124703888E-4</v>
      </c>
    </row>
    <row r="22" spans="1:32">
      <c r="A22" s="360" t="s">
        <v>538</v>
      </c>
      <c r="B22" s="361" t="s">
        <v>539</v>
      </c>
      <c r="C22" s="361">
        <f t="shared" si="1"/>
        <v>961520.76</v>
      </c>
      <c r="D22" s="361">
        <f t="shared" si="2"/>
        <v>6356484.6299999999</v>
      </c>
      <c r="E22" s="361">
        <f t="shared" si="3"/>
        <v>14047221.9</v>
      </c>
      <c r="F22" s="361">
        <f t="shared" si="4"/>
        <v>29631642.319999997</v>
      </c>
      <c r="G22" s="361">
        <f t="shared" si="5"/>
        <v>18056749.010000002</v>
      </c>
      <c r="H22" s="388">
        <v>0</v>
      </c>
      <c r="I22" s="388">
        <v>0</v>
      </c>
      <c r="J22" s="388">
        <v>638037</v>
      </c>
      <c r="K22" s="388">
        <v>323483.76</v>
      </c>
      <c r="L22" s="388">
        <v>930692.60000000009</v>
      </c>
      <c r="M22" s="388">
        <v>3327627.55</v>
      </c>
      <c r="N22" s="388">
        <v>509390.76</v>
      </c>
      <c r="O22" s="388">
        <v>1588773.72</v>
      </c>
      <c r="P22" s="388">
        <v>1731028.8199999998</v>
      </c>
      <c r="Q22" s="389">
        <v>2169163.69</v>
      </c>
      <c r="R22" s="388">
        <v>4959411.38</v>
      </c>
      <c r="S22" s="388">
        <v>5187618.01</v>
      </c>
      <c r="T22" s="388">
        <v>6376948.9699999997</v>
      </c>
      <c r="U22" s="388">
        <v>9674315.3900000006</v>
      </c>
      <c r="V22" s="388">
        <v>7622493.629999999</v>
      </c>
      <c r="W22" s="388">
        <v>5957884.3299999991</v>
      </c>
      <c r="X22" s="388">
        <v>3932889.94</v>
      </c>
      <c r="Y22" s="388">
        <v>4885805.54</v>
      </c>
      <c r="Z22" s="388">
        <v>9238053.5300000012</v>
      </c>
      <c r="AA22" s="362"/>
      <c r="AB22" s="388">
        <v>2274098.2744679237</v>
      </c>
      <c r="AC22" s="364"/>
      <c r="AD22" s="388">
        <v>88832889.039999992</v>
      </c>
      <c r="AE22" s="364"/>
      <c r="AF22" s="344">
        <f t="shared" si="0"/>
        <v>0</v>
      </c>
    </row>
    <row r="23" spans="1:32" ht="25.5">
      <c r="A23" s="390" t="s">
        <v>540</v>
      </c>
      <c r="B23" s="391" t="s">
        <v>541</v>
      </c>
      <c r="C23" s="361">
        <f t="shared" si="1"/>
        <v>961520.76</v>
      </c>
      <c r="D23" s="361">
        <f t="shared" si="2"/>
        <v>5210747.71</v>
      </c>
      <c r="E23" s="361">
        <f t="shared" si="3"/>
        <v>1189138.1800000002</v>
      </c>
      <c r="F23" s="361">
        <f t="shared" si="4"/>
        <v>1572858.75</v>
      </c>
      <c r="G23" s="361">
        <f t="shared" si="5"/>
        <v>3627083.3716502585</v>
      </c>
      <c r="H23" s="392">
        <v>0</v>
      </c>
      <c r="I23" s="392">
        <v>0</v>
      </c>
      <c r="J23" s="392">
        <v>638037</v>
      </c>
      <c r="K23" s="392">
        <v>323483.76</v>
      </c>
      <c r="L23" s="392">
        <v>930692.60000000009</v>
      </c>
      <c r="M23" s="392">
        <v>2817040.53</v>
      </c>
      <c r="N23" s="392">
        <v>509390.76</v>
      </c>
      <c r="O23" s="392">
        <v>953623.82</v>
      </c>
      <c r="P23" s="392">
        <v>788987.36</v>
      </c>
      <c r="Q23" s="392">
        <v>4593.8</v>
      </c>
      <c r="R23" s="392">
        <v>395557.02</v>
      </c>
      <c r="S23" s="392">
        <v>0</v>
      </c>
      <c r="T23" s="392">
        <v>238889.42</v>
      </c>
      <c r="U23" s="392">
        <v>636672</v>
      </c>
      <c r="V23" s="392">
        <v>0</v>
      </c>
      <c r="W23" s="392">
        <v>697297.33000000007</v>
      </c>
      <c r="X23" s="392">
        <v>102.96</v>
      </c>
      <c r="Y23" s="392">
        <v>101124.79</v>
      </c>
      <c r="Z23" s="392">
        <v>583197.48</v>
      </c>
      <c r="AA23" s="392">
        <v>2942658.1416502586</v>
      </c>
      <c r="AB23" s="392">
        <v>160447.40834974078</v>
      </c>
      <c r="AC23" s="369">
        <v>12561348.771650258</v>
      </c>
      <c r="AD23" s="369">
        <v>12368412.039999999</v>
      </c>
      <c r="AE23" s="369">
        <v>-192936.73</v>
      </c>
      <c r="AF23" s="344">
        <f t="shared" si="0"/>
        <v>2.164987983599221E-2</v>
      </c>
    </row>
    <row r="24" spans="1:32" ht="25.5">
      <c r="A24" s="393" t="s">
        <v>542</v>
      </c>
      <c r="B24" s="391" t="s">
        <v>543</v>
      </c>
      <c r="C24" s="361">
        <f t="shared" si="1"/>
        <v>0</v>
      </c>
      <c r="D24" s="361">
        <f t="shared" si="2"/>
        <v>1145736.92</v>
      </c>
      <c r="E24" s="361">
        <f t="shared" si="3"/>
        <v>12858083.720000001</v>
      </c>
      <c r="F24" s="361">
        <f t="shared" si="4"/>
        <v>28058783.57</v>
      </c>
      <c r="G24" s="361">
        <f t="shared" si="5"/>
        <v>33037664.07388182</v>
      </c>
      <c r="H24" s="394">
        <v>0</v>
      </c>
      <c r="I24" s="394">
        <v>0</v>
      </c>
      <c r="J24" s="394">
        <v>0</v>
      </c>
      <c r="K24" s="394">
        <v>0</v>
      </c>
      <c r="L24" s="394">
        <v>0</v>
      </c>
      <c r="M24" s="394">
        <v>510587.02</v>
      </c>
      <c r="N24" s="394">
        <v>0</v>
      </c>
      <c r="O24" s="394">
        <v>635149.9</v>
      </c>
      <c r="P24" s="394">
        <v>942041.46</v>
      </c>
      <c r="Q24" s="395">
        <v>2164569.89</v>
      </c>
      <c r="R24" s="394">
        <v>4563854.3600000003</v>
      </c>
      <c r="S24" s="394">
        <v>5187618.01</v>
      </c>
      <c r="T24" s="394">
        <v>6138059.5499999998</v>
      </c>
      <c r="U24" s="394">
        <v>9037643.3900000006</v>
      </c>
      <c r="V24" s="394">
        <v>7622493.629999999</v>
      </c>
      <c r="W24" s="394">
        <v>5260586.9999999991</v>
      </c>
      <c r="X24" s="394">
        <v>3932786.98</v>
      </c>
      <c r="Y24" s="394">
        <v>4784680.75</v>
      </c>
      <c r="Z24" s="394">
        <v>8654856.0500000007</v>
      </c>
      <c r="AA24" s="392">
        <v>15665340.293881817</v>
      </c>
      <c r="AB24" s="394">
        <v>2113650.8661181829</v>
      </c>
      <c r="AC24" s="373">
        <v>75100268.283881813</v>
      </c>
      <c r="AD24" s="373">
        <v>75518306.909999996</v>
      </c>
      <c r="AE24" s="373">
        <v>418038.63</v>
      </c>
      <c r="AF24" s="344">
        <f t="shared" si="0"/>
        <v>0.12943767532881045</v>
      </c>
    </row>
    <row r="25" spans="1:32">
      <c r="A25" s="365" t="s">
        <v>544</v>
      </c>
      <c r="B25" s="366" t="s">
        <v>545</v>
      </c>
      <c r="C25" s="361">
        <f t="shared" si="1"/>
        <v>0</v>
      </c>
      <c r="D25" s="361">
        <f t="shared" si="2"/>
        <v>1145736.92</v>
      </c>
      <c r="E25" s="361">
        <f t="shared" si="3"/>
        <v>12241653.030000001</v>
      </c>
      <c r="F25" s="361">
        <f t="shared" si="4"/>
        <v>27023802.799999997</v>
      </c>
      <c r="G25" s="361">
        <f t="shared" si="5"/>
        <v>32031001.533881821</v>
      </c>
      <c r="H25" s="374">
        <v>0</v>
      </c>
      <c r="I25" s="374">
        <v>0</v>
      </c>
      <c r="J25" s="374">
        <v>0</v>
      </c>
      <c r="K25" s="374">
        <v>0</v>
      </c>
      <c r="L25" s="374">
        <v>0</v>
      </c>
      <c r="M25" s="374">
        <v>510587.02</v>
      </c>
      <c r="N25" s="374">
        <v>0</v>
      </c>
      <c r="O25" s="374">
        <v>635149.9</v>
      </c>
      <c r="P25" s="374">
        <v>783530.72</v>
      </c>
      <c r="Q25" s="375">
        <v>2164569.89</v>
      </c>
      <c r="R25" s="374">
        <v>4193995.94</v>
      </c>
      <c r="S25" s="374">
        <v>5099556.4799999995</v>
      </c>
      <c r="T25" s="374">
        <v>5803741.5500000007</v>
      </c>
      <c r="U25" s="374">
        <v>8851120.3599999994</v>
      </c>
      <c r="V25" s="374">
        <v>7413277.0999999996</v>
      </c>
      <c r="W25" s="374">
        <v>4955663.7899999991</v>
      </c>
      <c r="X25" s="374">
        <v>3785475.9400000004</v>
      </c>
      <c r="Y25" s="374">
        <v>4571809.3000000007</v>
      </c>
      <c r="Z25" s="374">
        <v>8418638.1400000006</v>
      </c>
      <c r="AA25" s="367">
        <v>15255078.153881818</v>
      </c>
      <c r="AB25" s="374">
        <v>2113651.1561181829</v>
      </c>
      <c r="AC25" s="373">
        <v>72442194.283881813</v>
      </c>
      <c r="AD25" s="373">
        <v>72860233.200000003</v>
      </c>
      <c r="AE25" s="373">
        <v>418038.92</v>
      </c>
      <c r="AF25" s="344">
        <f t="shared" si="0"/>
        <v>0.12485640115664089</v>
      </c>
    </row>
    <row r="26" spans="1:32">
      <c r="A26" s="396" t="s">
        <v>546</v>
      </c>
      <c r="B26" s="397" t="s">
        <v>547</v>
      </c>
      <c r="C26" s="361">
        <f t="shared" si="1"/>
        <v>0</v>
      </c>
      <c r="D26" s="361">
        <f t="shared" si="2"/>
        <v>1145736.92</v>
      </c>
      <c r="E26" s="361">
        <f t="shared" si="3"/>
        <v>4998646.76</v>
      </c>
      <c r="F26" s="361">
        <f t="shared" si="4"/>
        <v>4321497.7399999993</v>
      </c>
      <c r="G26" s="361">
        <f t="shared" si="5"/>
        <v>1373646.0836363635</v>
      </c>
      <c r="H26" s="375">
        <v>0</v>
      </c>
      <c r="I26" s="375">
        <v>0</v>
      </c>
      <c r="J26" s="375">
        <v>0</v>
      </c>
      <c r="K26" s="375">
        <v>0</v>
      </c>
      <c r="L26" s="375">
        <v>0</v>
      </c>
      <c r="M26" s="375">
        <v>510587.02</v>
      </c>
      <c r="N26" s="375">
        <v>0</v>
      </c>
      <c r="O26" s="375">
        <v>635149.9</v>
      </c>
      <c r="P26" s="375">
        <v>783530.72</v>
      </c>
      <c r="Q26" s="375">
        <v>1045448.98</v>
      </c>
      <c r="R26" s="375">
        <v>2225466.29</v>
      </c>
      <c r="S26" s="375">
        <v>944200.77</v>
      </c>
      <c r="T26" s="375">
        <v>695188.19</v>
      </c>
      <c r="U26" s="375">
        <v>2667812.6199999996</v>
      </c>
      <c r="V26" s="375">
        <v>958496.92999999993</v>
      </c>
      <c r="W26" s="375">
        <v>0</v>
      </c>
      <c r="X26" s="375">
        <v>0</v>
      </c>
      <c r="Y26" s="375">
        <v>0</v>
      </c>
      <c r="Z26" s="375">
        <v>0</v>
      </c>
      <c r="AA26" s="367">
        <v>1373646.0836363635</v>
      </c>
      <c r="AB26" s="375">
        <v>456680.86636363575</v>
      </c>
      <c r="AC26" s="398">
        <v>11839527.503636364</v>
      </c>
      <c r="AD26" s="398">
        <v>12210960.120000001</v>
      </c>
      <c r="AE26" s="398">
        <v>371432.62</v>
      </c>
      <c r="AF26" s="344">
        <f t="shared" si="0"/>
        <v>2.0405798169313729E-2</v>
      </c>
    </row>
    <row r="27" spans="1:32">
      <c r="A27" s="396" t="s">
        <v>548</v>
      </c>
      <c r="B27" s="399" t="s">
        <v>549</v>
      </c>
      <c r="C27" s="361">
        <f t="shared" si="1"/>
        <v>0</v>
      </c>
      <c r="D27" s="361">
        <f t="shared" si="2"/>
        <v>0</v>
      </c>
      <c r="E27" s="361">
        <f t="shared" si="3"/>
        <v>7021915.3300000001</v>
      </c>
      <c r="F27" s="361">
        <f t="shared" si="4"/>
        <v>17825916.920000002</v>
      </c>
      <c r="G27" s="361">
        <f t="shared" si="5"/>
        <v>14306969.734848484</v>
      </c>
      <c r="H27" s="375">
        <v>0</v>
      </c>
      <c r="I27" s="375">
        <v>0</v>
      </c>
      <c r="J27" s="375">
        <v>0</v>
      </c>
      <c r="K27" s="375">
        <v>0</v>
      </c>
      <c r="L27" s="375">
        <v>0</v>
      </c>
      <c r="M27" s="375">
        <v>0</v>
      </c>
      <c r="N27" s="375">
        <v>0</v>
      </c>
      <c r="O27" s="375">
        <v>0</v>
      </c>
      <c r="P27" s="375">
        <v>0</v>
      </c>
      <c r="Q27" s="375">
        <v>1119120.9099999999</v>
      </c>
      <c r="R27" s="375">
        <v>1968529.65</v>
      </c>
      <c r="S27" s="375">
        <v>3934264.7700000005</v>
      </c>
      <c r="T27" s="375">
        <v>4843904.3600000003</v>
      </c>
      <c r="U27" s="375">
        <v>5466409.5</v>
      </c>
      <c r="V27" s="375">
        <v>4605328.71</v>
      </c>
      <c r="W27" s="375">
        <v>2910274.35</v>
      </c>
      <c r="X27" s="375">
        <v>1524786.49</v>
      </c>
      <c r="Y27" s="375">
        <v>1399391.31</v>
      </c>
      <c r="Z27" s="375">
        <v>4982839.6999999993</v>
      </c>
      <c r="AA27" s="367">
        <v>6399952.2348484853</v>
      </c>
      <c r="AB27" s="375">
        <v>1231091.5751515161</v>
      </c>
      <c r="AC27" s="398">
        <v>39154801.984848484</v>
      </c>
      <c r="AD27" s="398">
        <v>37484168.359999999</v>
      </c>
      <c r="AE27" s="398">
        <v>-1670633.62</v>
      </c>
      <c r="AF27" s="344">
        <f t="shared" si="0"/>
        <v>6.7484533180641237E-2</v>
      </c>
    </row>
    <row r="28" spans="1:32">
      <c r="A28" s="396" t="s">
        <v>550</v>
      </c>
      <c r="B28" s="399" t="s">
        <v>551</v>
      </c>
      <c r="C28" s="361">
        <f t="shared" si="1"/>
        <v>0</v>
      </c>
      <c r="D28" s="361">
        <f t="shared" si="2"/>
        <v>0</v>
      </c>
      <c r="E28" s="361">
        <f t="shared" si="3"/>
        <v>221090.94</v>
      </c>
      <c r="F28" s="361">
        <f t="shared" si="4"/>
        <v>3425750.92</v>
      </c>
      <c r="G28" s="361">
        <f t="shared" si="5"/>
        <v>7082213.5453969687</v>
      </c>
      <c r="H28" s="375">
        <v>0</v>
      </c>
      <c r="I28" s="375">
        <v>0</v>
      </c>
      <c r="J28" s="375">
        <v>0</v>
      </c>
      <c r="K28" s="375">
        <v>0</v>
      </c>
      <c r="L28" s="375">
        <v>0</v>
      </c>
      <c r="M28" s="375">
        <v>0</v>
      </c>
      <c r="N28" s="375">
        <v>0</v>
      </c>
      <c r="O28" s="375">
        <v>0</v>
      </c>
      <c r="P28" s="375">
        <v>0</v>
      </c>
      <c r="Q28" s="375">
        <v>0</v>
      </c>
      <c r="R28" s="375">
        <v>0</v>
      </c>
      <c r="S28" s="375">
        <v>221090.94</v>
      </c>
      <c r="T28" s="375">
        <v>264648.99999999994</v>
      </c>
      <c r="U28" s="375">
        <v>716898.24</v>
      </c>
      <c r="V28" s="375">
        <v>1590888.65</v>
      </c>
      <c r="W28" s="375">
        <v>853315.03</v>
      </c>
      <c r="X28" s="375">
        <v>1006854.3099999999</v>
      </c>
      <c r="Y28" s="375">
        <v>1109911.22</v>
      </c>
      <c r="Z28" s="375">
        <v>2370493.7400000002</v>
      </c>
      <c r="AA28" s="367">
        <v>2594954.2753969696</v>
      </c>
      <c r="AB28" s="375">
        <v>240855.27460303064</v>
      </c>
      <c r="AC28" s="398">
        <v>10729055.40539697</v>
      </c>
      <c r="AD28" s="398">
        <v>11184228.07</v>
      </c>
      <c r="AE28" s="398">
        <v>455172.66</v>
      </c>
      <c r="AF28" s="344">
        <f t="shared" si="0"/>
        <v>1.8491864568300712E-2</v>
      </c>
    </row>
    <row r="29" spans="1:32" ht="25.5">
      <c r="A29" s="400" t="s">
        <v>552</v>
      </c>
      <c r="B29" s="401" t="s">
        <v>553</v>
      </c>
      <c r="C29" s="361">
        <f t="shared" si="1"/>
        <v>0</v>
      </c>
      <c r="D29" s="361">
        <f t="shared" si="2"/>
        <v>0</v>
      </c>
      <c r="E29" s="361">
        <f t="shared" si="3"/>
        <v>0</v>
      </c>
      <c r="F29" s="361">
        <f t="shared" si="4"/>
        <v>0</v>
      </c>
      <c r="G29" s="361">
        <f t="shared" si="5"/>
        <v>0</v>
      </c>
      <c r="H29" s="375">
        <v>0</v>
      </c>
      <c r="I29" s="375">
        <v>0</v>
      </c>
      <c r="J29" s="375">
        <v>0</v>
      </c>
      <c r="K29" s="375">
        <v>0</v>
      </c>
      <c r="L29" s="375">
        <v>0</v>
      </c>
      <c r="M29" s="375">
        <v>0</v>
      </c>
      <c r="N29" s="375">
        <v>0</v>
      </c>
      <c r="O29" s="375">
        <v>0</v>
      </c>
      <c r="P29" s="375">
        <v>0</v>
      </c>
      <c r="Q29" s="375">
        <v>0</v>
      </c>
      <c r="R29" s="375">
        <v>0</v>
      </c>
      <c r="S29" s="375">
        <v>0</v>
      </c>
      <c r="T29" s="375">
        <v>0</v>
      </c>
      <c r="U29" s="375">
        <v>0</v>
      </c>
      <c r="V29" s="375">
        <v>0</v>
      </c>
      <c r="W29" s="375">
        <v>0</v>
      </c>
      <c r="X29" s="375">
        <v>0</v>
      </c>
      <c r="Y29" s="375">
        <v>0</v>
      </c>
      <c r="Z29" s="375">
        <v>0</v>
      </c>
      <c r="AA29" s="367">
        <v>0</v>
      </c>
      <c r="AB29" s="375">
        <v>0</v>
      </c>
      <c r="AC29" s="398">
        <v>0</v>
      </c>
      <c r="AD29" s="398">
        <v>0</v>
      </c>
      <c r="AE29" s="398">
        <v>0</v>
      </c>
      <c r="AF29" s="344">
        <f t="shared" si="0"/>
        <v>0</v>
      </c>
    </row>
    <row r="30" spans="1:32" ht="25.5">
      <c r="A30" s="396" t="s">
        <v>554</v>
      </c>
      <c r="B30" s="399" t="s">
        <v>555</v>
      </c>
      <c r="C30" s="361">
        <f t="shared" si="1"/>
        <v>0</v>
      </c>
      <c r="D30" s="361">
        <f t="shared" si="2"/>
        <v>0</v>
      </c>
      <c r="E30" s="361">
        <f t="shared" si="3"/>
        <v>0</v>
      </c>
      <c r="F30" s="361">
        <f t="shared" si="4"/>
        <v>1450637.22</v>
      </c>
      <c r="G30" s="361">
        <f t="shared" si="5"/>
        <v>9268172.1700000018</v>
      </c>
      <c r="H30" s="375"/>
      <c r="I30" s="375"/>
      <c r="J30" s="375"/>
      <c r="K30" s="375"/>
      <c r="L30" s="375"/>
      <c r="M30" s="375"/>
      <c r="N30" s="375"/>
      <c r="O30" s="375"/>
      <c r="P30" s="375"/>
      <c r="Q30" s="375"/>
      <c r="R30" s="375">
        <v>0</v>
      </c>
      <c r="S30" s="375">
        <v>0</v>
      </c>
      <c r="T30" s="375">
        <v>0</v>
      </c>
      <c r="U30" s="375">
        <v>0</v>
      </c>
      <c r="V30" s="375">
        <v>258562.81</v>
      </c>
      <c r="W30" s="375">
        <v>1192074.4099999999</v>
      </c>
      <c r="X30" s="375">
        <v>1253835.1399999999</v>
      </c>
      <c r="Y30" s="375">
        <v>2062506.77</v>
      </c>
      <c r="Z30" s="375">
        <v>1065304.7</v>
      </c>
      <c r="AA30" s="367">
        <v>4886525.5600000005</v>
      </c>
      <c r="AB30" s="375">
        <v>185023.44000000041</v>
      </c>
      <c r="AC30" s="398">
        <v>10718809.390000001</v>
      </c>
      <c r="AD30" s="398">
        <v>11980876.649999999</v>
      </c>
      <c r="AE30" s="398">
        <v>1262067.26</v>
      </c>
      <c r="AF30" s="344">
        <f t="shared" si="0"/>
        <v>1.8474205238385222E-2</v>
      </c>
    </row>
    <row r="31" spans="1:32">
      <c r="A31" s="365" t="s">
        <v>556</v>
      </c>
      <c r="B31" s="382" t="s">
        <v>523</v>
      </c>
      <c r="C31" s="361">
        <f t="shared" si="1"/>
        <v>0</v>
      </c>
      <c r="D31" s="361">
        <f t="shared" si="2"/>
        <v>0</v>
      </c>
      <c r="E31" s="361">
        <f t="shared" si="3"/>
        <v>616430.69000000006</v>
      </c>
      <c r="F31" s="361">
        <f t="shared" si="4"/>
        <v>1034980.77</v>
      </c>
      <c r="G31" s="361">
        <f t="shared" si="5"/>
        <v>1006662.5399999999</v>
      </c>
      <c r="H31" s="374">
        <v>0</v>
      </c>
      <c r="I31" s="374">
        <v>0</v>
      </c>
      <c r="J31" s="374">
        <v>0</v>
      </c>
      <c r="K31" s="374">
        <v>0</v>
      </c>
      <c r="L31" s="374">
        <v>0</v>
      </c>
      <c r="M31" s="374">
        <v>0</v>
      </c>
      <c r="N31" s="374">
        <v>0</v>
      </c>
      <c r="O31" s="374">
        <v>0</v>
      </c>
      <c r="P31" s="374">
        <v>158510.74</v>
      </c>
      <c r="Q31" s="374">
        <v>0</v>
      </c>
      <c r="R31" s="374">
        <v>369858.42000000004</v>
      </c>
      <c r="S31" s="374">
        <v>88061.53</v>
      </c>
      <c r="T31" s="374">
        <v>334318</v>
      </c>
      <c r="U31" s="374">
        <v>186523.03</v>
      </c>
      <c r="V31" s="374">
        <v>209216.53</v>
      </c>
      <c r="W31" s="374">
        <v>304923.21000000002</v>
      </c>
      <c r="X31" s="374">
        <v>147311.03999999998</v>
      </c>
      <c r="Y31" s="374">
        <v>212871.45</v>
      </c>
      <c r="Z31" s="374">
        <v>236217.91000000003</v>
      </c>
      <c r="AA31" s="367">
        <v>410262.1399999999</v>
      </c>
      <c r="AB31" s="374">
        <v>-0.28999999992083758</v>
      </c>
      <c r="AC31" s="373">
        <v>2658074</v>
      </c>
      <c r="AD31" s="373">
        <v>11980876.649999999</v>
      </c>
      <c r="AE31" s="373">
        <v>9322802.6500000004</v>
      </c>
      <c r="AF31" s="344">
        <f t="shared" si="0"/>
        <v>4.5812741721695596E-3</v>
      </c>
    </row>
    <row r="32" spans="1:32">
      <c r="A32" s="384" t="s">
        <v>535</v>
      </c>
      <c r="B32" s="385">
        <v>0</v>
      </c>
      <c r="C32" s="361">
        <f t="shared" si="1"/>
        <v>0</v>
      </c>
      <c r="D32" s="361">
        <f t="shared" si="2"/>
        <v>0</v>
      </c>
      <c r="E32" s="361">
        <f t="shared" si="3"/>
        <v>0</v>
      </c>
      <c r="F32" s="361">
        <f t="shared" si="4"/>
        <v>0</v>
      </c>
      <c r="G32" s="361">
        <f t="shared" si="5"/>
        <v>0</v>
      </c>
      <c r="H32" s="386">
        <v>0</v>
      </c>
      <c r="I32" s="386">
        <v>0</v>
      </c>
      <c r="J32" s="386">
        <v>0</v>
      </c>
      <c r="K32" s="386">
        <v>0</v>
      </c>
      <c r="L32" s="386">
        <v>0</v>
      </c>
      <c r="M32" s="386">
        <v>0</v>
      </c>
      <c r="N32" s="386">
        <v>0</v>
      </c>
      <c r="O32" s="386">
        <v>0</v>
      </c>
      <c r="P32" s="386">
        <v>0</v>
      </c>
      <c r="Q32" s="386">
        <v>0</v>
      </c>
      <c r="R32" s="386">
        <v>0</v>
      </c>
      <c r="S32" s="386">
        <v>0</v>
      </c>
      <c r="T32" s="386">
        <v>0</v>
      </c>
      <c r="U32" s="386">
        <v>0</v>
      </c>
      <c r="V32" s="386">
        <v>0</v>
      </c>
      <c r="W32" s="386">
        <v>0</v>
      </c>
      <c r="X32" s="386">
        <v>0</v>
      </c>
      <c r="Y32" s="386">
        <v>0</v>
      </c>
      <c r="Z32" s="386">
        <v>0</v>
      </c>
      <c r="AA32" s="387">
        <v>0</v>
      </c>
      <c r="AB32" s="386"/>
      <c r="AC32" s="373">
        <v>-1.1641532182693481E-10</v>
      </c>
      <c r="AD32" s="373">
        <v>0</v>
      </c>
      <c r="AE32" s="369">
        <v>0</v>
      </c>
      <c r="AF32" s="344">
        <f t="shared" si="0"/>
        <v>-2.0064547003978959E-19</v>
      </c>
    </row>
    <row r="33" spans="1:32" ht="25.5">
      <c r="A33" s="384" t="s">
        <v>536</v>
      </c>
      <c r="B33" s="385">
        <v>0</v>
      </c>
      <c r="C33" s="361">
        <f t="shared" si="1"/>
        <v>0</v>
      </c>
      <c r="D33" s="361">
        <f t="shared" si="2"/>
        <v>0</v>
      </c>
      <c r="E33" s="361">
        <f t="shared" si="3"/>
        <v>0</v>
      </c>
      <c r="F33" s="361">
        <f t="shared" si="4"/>
        <v>0</v>
      </c>
      <c r="G33" s="361">
        <f t="shared" si="5"/>
        <v>0</v>
      </c>
      <c r="H33" s="386">
        <v>0</v>
      </c>
      <c r="I33" s="386">
        <v>0</v>
      </c>
      <c r="J33" s="386">
        <v>0</v>
      </c>
      <c r="K33" s="386">
        <v>0</v>
      </c>
      <c r="L33" s="386">
        <v>0</v>
      </c>
      <c r="M33" s="386">
        <v>0</v>
      </c>
      <c r="N33" s="386">
        <v>0</v>
      </c>
      <c r="O33" s="386">
        <v>0</v>
      </c>
      <c r="P33" s="386">
        <v>0</v>
      </c>
      <c r="Q33" s="386">
        <v>0</v>
      </c>
      <c r="R33" s="386">
        <v>0</v>
      </c>
      <c r="S33" s="386">
        <v>0</v>
      </c>
      <c r="T33" s="386">
        <v>0</v>
      </c>
      <c r="U33" s="386">
        <v>0</v>
      </c>
      <c r="V33" s="386">
        <v>0</v>
      </c>
      <c r="W33" s="386">
        <v>0</v>
      </c>
      <c r="X33" s="386">
        <v>0</v>
      </c>
      <c r="Y33" s="386">
        <v>0</v>
      </c>
      <c r="Z33" s="386">
        <v>0</v>
      </c>
      <c r="AA33" s="387">
        <v>0</v>
      </c>
      <c r="AB33" s="386">
        <v>0</v>
      </c>
      <c r="AC33" s="373">
        <v>0</v>
      </c>
      <c r="AD33" s="373">
        <v>0</v>
      </c>
      <c r="AE33" s="369">
        <v>0</v>
      </c>
      <c r="AF33" s="344">
        <f t="shared" si="0"/>
        <v>0</v>
      </c>
    </row>
    <row r="34" spans="1:32">
      <c r="A34" s="384" t="s">
        <v>537</v>
      </c>
      <c r="B34" s="385"/>
      <c r="C34" s="361">
        <f t="shared" si="1"/>
        <v>0</v>
      </c>
      <c r="D34" s="361">
        <f t="shared" si="2"/>
        <v>0</v>
      </c>
      <c r="E34" s="361">
        <f t="shared" si="3"/>
        <v>0</v>
      </c>
      <c r="F34" s="361">
        <f t="shared" si="4"/>
        <v>0</v>
      </c>
      <c r="G34" s="361">
        <f t="shared" si="5"/>
        <v>0</v>
      </c>
      <c r="H34" s="386">
        <v>0</v>
      </c>
      <c r="I34" s="386">
        <v>0</v>
      </c>
      <c r="J34" s="386">
        <v>0</v>
      </c>
      <c r="K34" s="386">
        <v>0</v>
      </c>
      <c r="L34" s="386">
        <v>0</v>
      </c>
      <c r="M34" s="386">
        <v>0</v>
      </c>
      <c r="N34" s="386">
        <v>0</v>
      </c>
      <c r="O34" s="386">
        <v>0</v>
      </c>
      <c r="P34" s="386">
        <v>0</v>
      </c>
      <c r="Q34" s="386">
        <v>0</v>
      </c>
      <c r="R34" s="386">
        <v>0</v>
      </c>
      <c r="S34" s="386">
        <v>0</v>
      </c>
      <c r="T34" s="386">
        <v>0</v>
      </c>
      <c r="U34" s="386">
        <v>0</v>
      </c>
      <c r="V34" s="386">
        <v>0</v>
      </c>
      <c r="W34" s="386">
        <v>0</v>
      </c>
      <c r="X34" s="386">
        <v>0</v>
      </c>
      <c r="Y34" s="386">
        <v>0</v>
      </c>
      <c r="Z34" s="386">
        <v>0</v>
      </c>
      <c r="AA34" s="387"/>
      <c r="AB34" s="386"/>
      <c r="AC34" s="373"/>
      <c r="AD34" s="373">
        <v>946170.09</v>
      </c>
      <c r="AE34" s="369"/>
      <c r="AF34" s="344">
        <f t="shared" si="0"/>
        <v>0</v>
      </c>
    </row>
    <row r="35" spans="1:32" ht="25.5">
      <c r="A35" s="402" t="s">
        <v>557</v>
      </c>
      <c r="B35" s="361" t="s">
        <v>558</v>
      </c>
      <c r="C35" s="361">
        <f t="shared" si="1"/>
        <v>0</v>
      </c>
      <c r="D35" s="361">
        <f t="shared" si="2"/>
        <v>2639003.04</v>
      </c>
      <c r="E35" s="361">
        <f t="shared" si="3"/>
        <v>19780428.23</v>
      </c>
      <c r="F35" s="361">
        <f t="shared" si="4"/>
        <v>18380939.18</v>
      </c>
      <c r="G35" s="361">
        <f t="shared" si="5"/>
        <v>9314542.3499999996</v>
      </c>
      <c r="H35" s="388">
        <v>0</v>
      </c>
      <c r="I35" s="388">
        <v>0</v>
      </c>
      <c r="J35" s="388">
        <v>0</v>
      </c>
      <c r="K35" s="388">
        <v>0</v>
      </c>
      <c r="L35" s="388">
        <v>0</v>
      </c>
      <c r="M35" s="388">
        <v>1098078.46</v>
      </c>
      <c r="N35" s="388">
        <v>103441.94</v>
      </c>
      <c r="O35" s="388">
        <v>1437482.64</v>
      </c>
      <c r="P35" s="388">
        <v>4214244.33</v>
      </c>
      <c r="Q35" s="389">
        <v>4323493.7699999996</v>
      </c>
      <c r="R35" s="388">
        <v>7440453.370000001</v>
      </c>
      <c r="S35" s="388">
        <v>3802236.7600000002</v>
      </c>
      <c r="T35" s="388">
        <v>4680356.8100000005</v>
      </c>
      <c r="U35" s="388">
        <v>5184710.01</v>
      </c>
      <c r="V35" s="388">
        <v>5178859.55</v>
      </c>
      <c r="W35" s="388">
        <v>3337012.8100000005</v>
      </c>
      <c r="X35" s="388">
        <v>2648930.17</v>
      </c>
      <c r="Y35" s="388">
        <v>3029356.8499999996</v>
      </c>
      <c r="Z35" s="388">
        <v>3636255.33</v>
      </c>
      <c r="AA35" s="362"/>
      <c r="AB35" s="388">
        <v>1954056.9242493613</v>
      </c>
      <c r="AC35" s="364"/>
      <c r="AD35" s="388">
        <v>65828883.579999991</v>
      </c>
      <c r="AE35" s="364"/>
      <c r="AF35" s="344">
        <f t="shared" si="0"/>
        <v>0</v>
      </c>
    </row>
    <row r="36" spans="1:32" ht="25.5">
      <c r="A36" s="390" t="s">
        <v>540</v>
      </c>
      <c r="B36" s="391" t="s">
        <v>541</v>
      </c>
      <c r="C36" s="361">
        <f t="shared" si="1"/>
        <v>0</v>
      </c>
      <c r="D36" s="361">
        <f t="shared" si="2"/>
        <v>1136534.4099999999</v>
      </c>
      <c r="E36" s="361">
        <f t="shared" si="3"/>
        <v>1288233.07</v>
      </c>
      <c r="F36" s="361">
        <f t="shared" si="4"/>
        <v>1703930.29</v>
      </c>
      <c r="G36" s="361">
        <f t="shared" si="5"/>
        <v>4044629.3383497405</v>
      </c>
      <c r="H36" s="392">
        <v>0</v>
      </c>
      <c r="I36" s="392">
        <v>0</v>
      </c>
      <c r="J36" s="392">
        <v>0</v>
      </c>
      <c r="K36" s="392">
        <v>0</v>
      </c>
      <c r="L36" s="392">
        <v>0</v>
      </c>
      <c r="M36" s="392">
        <v>0</v>
      </c>
      <c r="N36" s="392">
        <v>103441.94</v>
      </c>
      <c r="O36" s="392">
        <v>1033092.47</v>
      </c>
      <c r="P36" s="392">
        <v>854736.3</v>
      </c>
      <c r="Q36" s="392">
        <v>4976.68</v>
      </c>
      <c r="R36" s="392">
        <v>428520.08999999997</v>
      </c>
      <c r="S36" s="392">
        <v>0</v>
      </c>
      <c r="T36" s="392">
        <v>258796.86</v>
      </c>
      <c r="U36" s="392">
        <v>689728</v>
      </c>
      <c r="V36" s="392">
        <v>0</v>
      </c>
      <c r="W36" s="392">
        <v>755405.42999999993</v>
      </c>
      <c r="X36" s="392">
        <v>111.55</v>
      </c>
      <c r="Y36" s="392">
        <v>109551.86</v>
      </c>
      <c r="Z36" s="392">
        <v>631797.26</v>
      </c>
      <c r="AA36" s="392">
        <v>3303168.6683497406</v>
      </c>
      <c r="AB36" s="392">
        <v>183885.65165025927</v>
      </c>
      <c r="AC36" s="369">
        <v>8173327.1083497405</v>
      </c>
      <c r="AD36" s="369">
        <v>7565288.5499999998</v>
      </c>
      <c r="AE36" s="369">
        <v>-608038.56000000006</v>
      </c>
      <c r="AF36" s="344">
        <f t="shared" si="0"/>
        <v>1.4086986435357322E-2</v>
      </c>
    </row>
    <row r="37" spans="1:32" ht="25.5">
      <c r="A37" s="393" t="s">
        <v>559</v>
      </c>
      <c r="B37" s="391" t="s">
        <v>560</v>
      </c>
      <c r="C37" s="361">
        <f t="shared" si="1"/>
        <v>0</v>
      </c>
      <c r="D37" s="361">
        <f t="shared" si="2"/>
        <v>1502468.63</v>
      </c>
      <c r="E37" s="361">
        <f t="shared" si="3"/>
        <v>18492195.16</v>
      </c>
      <c r="F37" s="361">
        <f t="shared" si="4"/>
        <v>16677008.889999999</v>
      </c>
      <c r="G37" s="361">
        <f t="shared" si="5"/>
        <v>18097427.784296967</v>
      </c>
      <c r="H37" s="394">
        <v>0</v>
      </c>
      <c r="I37" s="394">
        <v>0</v>
      </c>
      <c r="J37" s="394">
        <v>0</v>
      </c>
      <c r="K37" s="394">
        <v>0</v>
      </c>
      <c r="L37" s="394">
        <v>0</v>
      </c>
      <c r="M37" s="394">
        <v>1098078.46</v>
      </c>
      <c r="N37" s="394">
        <v>0</v>
      </c>
      <c r="O37" s="394">
        <v>404390.17000000004</v>
      </c>
      <c r="P37" s="394">
        <v>3359508.03</v>
      </c>
      <c r="Q37" s="395">
        <v>4318517.09</v>
      </c>
      <c r="R37" s="394">
        <v>7011933.2800000012</v>
      </c>
      <c r="S37" s="394">
        <v>3802236.7600000002</v>
      </c>
      <c r="T37" s="394">
        <v>4421559.9499999993</v>
      </c>
      <c r="U37" s="394">
        <v>4494982.01</v>
      </c>
      <c r="V37" s="394">
        <v>5178859.55</v>
      </c>
      <c r="W37" s="394">
        <v>2581607.3800000004</v>
      </c>
      <c r="X37" s="394">
        <v>2648818.6199999996</v>
      </c>
      <c r="Y37" s="394">
        <v>2919804.9899999998</v>
      </c>
      <c r="Z37" s="394">
        <v>3004458.0700000003</v>
      </c>
      <c r="AA37" s="392">
        <v>9524346.1042969692</v>
      </c>
      <c r="AB37" s="394">
        <v>290584.42570303089</v>
      </c>
      <c r="AC37" s="373">
        <v>54769100.464296967</v>
      </c>
      <c r="AD37" s="373">
        <v>57505998.329999991</v>
      </c>
      <c r="AE37" s="373">
        <v>2736897.87</v>
      </c>
      <c r="AF37" s="344">
        <f t="shared" si="0"/>
        <v>9.4396267895492589E-2</v>
      </c>
    </row>
    <row r="38" spans="1:32">
      <c r="A38" s="370" t="s">
        <v>561</v>
      </c>
      <c r="B38" s="382" t="s">
        <v>545</v>
      </c>
      <c r="C38" s="361">
        <f t="shared" si="1"/>
        <v>0</v>
      </c>
      <c r="D38" s="361">
        <f t="shared" si="2"/>
        <v>1502468.63</v>
      </c>
      <c r="E38" s="361">
        <f t="shared" si="3"/>
        <v>14055792.989999998</v>
      </c>
      <c r="F38" s="361">
        <f t="shared" si="4"/>
        <v>11095591.869999999</v>
      </c>
      <c r="G38" s="361">
        <f t="shared" si="5"/>
        <v>9822049.9942969698</v>
      </c>
      <c r="H38" s="371">
        <v>0</v>
      </c>
      <c r="I38" s="371">
        <v>0</v>
      </c>
      <c r="J38" s="371">
        <v>0</v>
      </c>
      <c r="K38" s="371">
        <v>0</v>
      </c>
      <c r="L38" s="371">
        <v>0</v>
      </c>
      <c r="M38" s="371">
        <v>1098078.46</v>
      </c>
      <c r="N38" s="371">
        <v>0</v>
      </c>
      <c r="O38" s="371">
        <v>404390.17000000004</v>
      </c>
      <c r="P38" s="371">
        <v>2434054.5599999996</v>
      </c>
      <c r="Q38" s="403">
        <v>3134433.6</v>
      </c>
      <c r="R38" s="371">
        <v>5529557.7199999997</v>
      </c>
      <c r="S38" s="371">
        <v>2957747.11</v>
      </c>
      <c r="T38" s="371">
        <v>3715525.7299999995</v>
      </c>
      <c r="U38" s="371">
        <v>2283726.11</v>
      </c>
      <c r="V38" s="371">
        <v>4036662.5200000005</v>
      </c>
      <c r="W38" s="371">
        <v>1059677.51</v>
      </c>
      <c r="X38" s="371">
        <v>1866512.6599999997</v>
      </c>
      <c r="Y38" s="371">
        <v>968045.48</v>
      </c>
      <c r="Z38" s="371">
        <v>1981632.7999999998</v>
      </c>
      <c r="AA38" s="367">
        <v>5005859.0542969704</v>
      </c>
      <c r="AB38" s="371">
        <v>338497.70570303063</v>
      </c>
      <c r="AC38" s="373">
        <v>36475903.48429697</v>
      </c>
      <c r="AD38" s="373">
        <v>39374326.479999997</v>
      </c>
      <c r="AE38" s="373">
        <v>2898423</v>
      </c>
      <c r="AF38" s="344">
        <f t="shared" si="0"/>
        <v>6.2867367326552751E-2</v>
      </c>
    </row>
    <row r="39" spans="1:32">
      <c r="A39" s="396" t="s">
        <v>562</v>
      </c>
      <c r="B39" s="397" t="s">
        <v>547</v>
      </c>
      <c r="C39" s="361">
        <f t="shared" si="1"/>
        <v>0</v>
      </c>
      <c r="D39" s="361">
        <f t="shared" si="2"/>
        <v>1502468.63</v>
      </c>
      <c r="E39" s="361">
        <f t="shared" si="3"/>
        <v>13524345.020000001</v>
      </c>
      <c r="F39" s="361">
        <f t="shared" si="4"/>
        <v>6077263.79</v>
      </c>
      <c r="G39" s="361">
        <f t="shared" si="5"/>
        <v>3192677.88</v>
      </c>
      <c r="H39" s="403">
        <v>0</v>
      </c>
      <c r="I39" s="403">
        <v>0</v>
      </c>
      <c r="J39" s="403">
        <v>0</v>
      </c>
      <c r="K39" s="403">
        <v>0</v>
      </c>
      <c r="L39" s="403">
        <v>0</v>
      </c>
      <c r="M39" s="403">
        <v>1098078.46</v>
      </c>
      <c r="N39" s="403">
        <v>0</v>
      </c>
      <c r="O39" s="403">
        <v>404390.17000000004</v>
      </c>
      <c r="P39" s="403">
        <v>2434054.5599999996</v>
      </c>
      <c r="Q39" s="403">
        <v>3096718.96</v>
      </c>
      <c r="R39" s="403">
        <v>5458501.6900000004</v>
      </c>
      <c r="S39" s="403">
        <v>2535069.81</v>
      </c>
      <c r="T39" s="403">
        <v>2679932.4699999997</v>
      </c>
      <c r="U39" s="403">
        <v>907904.71</v>
      </c>
      <c r="V39" s="403">
        <v>2489426.6100000003</v>
      </c>
      <c r="W39" s="403">
        <v>0</v>
      </c>
      <c r="X39" s="403">
        <v>1129818.3799999999</v>
      </c>
      <c r="Y39" s="403">
        <v>414333.24</v>
      </c>
      <c r="Z39" s="403">
        <v>685250.6399999999</v>
      </c>
      <c r="AA39" s="367">
        <v>963275.62</v>
      </c>
      <c r="AB39" s="403">
        <v>170662.95000000112</v>
      </c>
      <c r="AC39" s="398">
        <v>24296755.32</v>
      </c>
      <c r="AD39" s="398">
        <v>24494873.169999998</v>
      </c>
      <c r="AE39" s="398">
        <v>198117.85</v>
      </c>
      <c r="AF39" s="344">
        <f t="shared" si="0"/>
        <v>4.1876222262826147E-2</v>
      </c>
    </row>
    <row r="40" spans="1:32">
      <c r="A40" s="396" t="s">
        <v>563</v>
      </c>
      <c r="B40" s="399" t="s">
        <v>549</v>
      </c>
      <c r="C40" s="361">
        <f t="shared" si="1"/>
        <v>0</v>
      </c>
      <c r="D40" s="361">
        <f t="shared" si="2"/>
        <v>0</v>
      </c>
      <c r="E40" s="361">
        <f t="shared" si="3"/>
        <v>248945.33999999997</v>
      </c>
      <c r="F40" s="361">
        <f t="shared" si="4"/>
        <v>575636.27</v>
      </c>
      <c r="G40" s="361">
        <f t="shared" si="5"/>
        <v>373917.87</v>
      </c>
      <c r="H40" s="403">
        <v>0</v>
      </c>
      <c r="I40" s="403">
        <v>0</v>
      </c>
      <c r="J40" s="403">
        <v>0</v>
      </c>
      <c r="K40" s="403">
        <v>0</v>
      </c>
      <c r="L40" s="403">
        <v>0</v>
      </c>
      <c r="M40" s="403">
        <v>0</v>
      </c>
      <c r="N40" s="403">
        <v>0</v>
      </c>
      <c r="O40" s="403">
        <v>0</v>
      </c>
      <c r="P40" s="403">
        <v>0</v>
      </c>
      <c r="Q40" s="403">
        <v>37714.639999999999</v>
      </c>
      <c r="R40" s="403">
        <v>71056.03</v>
      </c>
      <c r="S40" s="403">
        <v>140174.66999999998</v>
      </c>
      <c r="T40" s="403">
        <v>162885.20000000001</v>
      </c>
      <c r="U40" s="403">
        <v>187582.36</v>
      </c>
      <c r="V40" s="403">
        <v>154022.95000000001</v>
      </c>
      <c r="W40" s="403">
        <v>71145.759999999995</v>
      </c>
      <c r="X40" s="403">
        <v>25937.080000000005</v>
      </c>
      <c r="Y40" s="403">
        <v>46523.47</v>
      </c>
      <c r="Z40" s="403">
        <v>140157.12</v>
      </c>
      <c r="AA40" s="367">
        <v>161300.20000000001</v>
      </c>
      <c r="AB40" s="403">
        <v>115295.23999999993</v>
      </c>
      <c r="AC40" s="398">
        <v>1198499.48</v>
      </c>
      <c r="AD40" s="398">
        <v>4258629.91</v>
      </c>
      <c r="AE40" s="398">
        <v>3060130.43</v>
      </c>
      <c r="AF40" s="344">
        <f t="shared" si="0"/>
        <v>2.0656515631553704E-3</v>
      </c>
    </row>
    <row r="41" spans="1:32">
      <c r="A41" s="396" t="s">
        <v>564</v>
      </c>
      <c r="B41" s="399" t="s">
        <v>551</v>
      </c>
      <c r="C41" s="361">
        <f t="shared" si="1"/>
        <v>0</v>
      </c>
      <c r="D41" s="361">
        <f t="shared" si="2"/>
        <v>0</v>
      </c>
      <c r="E41" s="361">
        <f t="shared" si="3"/>
        <v>44792.29</v>
      </c>
      <c r="F41" s="361">
        <f t="shared" si="4"/>
        <v>664505.34</v>
      </c>
      <c r="G41" s="361">
        <f t="shared" si="5"/>
        <v>1488219.2239969699</v>
      </c>
      <c r="H41" s="403"/>
      <c r="I41" s="403"/>
      <c r="J41" s="403"/>
      <c r="K41" s="403"/>
      <c r="L41" s="403"/>
      <c r="M41" s="403"/>
      <c r="N41" s="403"/>
      <c r="O41" s="403">
        <v>0</v>
      </c>
      <c r="P41" s="403">
        <v>0</v>
      </c>
      <c r="Q41" s="403">
        <v>0</v>
      </c>
      <c r="R41" s="403">
        <v>0</v>
      </c>
      <c r="S41" s="403">
        <v>44792.29</v>
      </c>
      <c r="T41" s="403">
        <v>54204.72</v>
      </c>
      <c r="U41" s="403">
        <v>146834.57999999999</v>
      </c>
      <c r="V41" s="403">
        <v>325844.64</v>
      </c>
      <c r="W41" s="403">
        <v>137621.4</v>
      </c>
      <c r="X41" s="403">
        <v>243868.55</v>
      </c>
      <c r="Y41" s="403">
        <v>227331.20000000001</v>
      </c>
      <c r="Z41" s="403">
        <v>485522.82</v>
      </c>
      <c r="AA41" s="367">
        <v>531496.65399696981</v>
      </c>
      <c r="AB41" s="403">
        <v>52539.336003030301</v>
      </c>
      <c r="AC41" s="398">
        <v>2197516.8539969698</v>
      </c>
      <c r="AD41" s="398">
        <v>2569683.37</v>
      </c>
      <c r="AE41" s="398">
        <v>372166.52</v>
      </c>
      <c r="AF41" s="344">
        <f t="shared" si="0"/>
        <v>3.7874894401448657E-3</v>
      </c>
    </row>
    <row r="42" spans="1:32" ht="25.5">
      <c r="A42" s="396" t="s">
        <v>565</v>
      </c>
      <c r="B42" s="399" t="s">
        <v>553</v>
      </c>
      <c r="C42" s="361">
        <f t="shared" si="1"/>
        <v>0</v>
      </c>
      <c r="D42" s="361">
        <f t="shared" si="2"/>
        <v>0</v>
      </c>
      <c r="E42" s="361">
        <f t="shared" si="3"/>
        <v>237710.34</v>
      </c>
      <c r="F42" s="361">
        <f t="shared" si="4"/>
        <v>3778186.47</v>
      </c>
      <c r="G42" s="361">
        <f t="shared" si="5"/>
        <v>4767235.020299999</v>
      </c>
      <c r="H42" s="403"/>
      <c r="I42" s="403"/>
      <c r="J42" s="403"/>
      <c r="K42" s="403"/>
      <c r="L42" s="403"/>
      <c r="M42" s="403"/>
      <c r="N42" s="403"/>
      <c r="O42" s="403"/>
      <c r="P42" s="403">
        <v>0</v>
      </c>
      <c r="Q42" s="403">
        <v>0</v>
      </c>
      <c r="R42" s="403">
        <v>0</v>
      </c>
      <c r="S42" s="403">
        <v>237710.34</v>
      </c>
      <c r="T42" s="403">
        <v>818503.34000000008</v>
      </c>
      <c r="U42" s="403">
        <v>1041404.46</v>
      </c>
      <c r="V42" s="403">
        <v>1067368.3199999998</v>
      </c>
      <c r="W42" s="403">
        <v>850910.35</v>
      </c>
      <c r="X42" s="403">
        <v>466888.65</v>
      </c>
      <c r="Y42" s="403">
        <v>279857.57</v>
      </c>
      <c r="Z42" s="403">
        <v>670702.22</v>
      </c>
      <c r="AA42" s="367">
        <v>3349786.5802999996</v>
      </c>
      <c r="AB42" s="403">
        <v>0.17969999928027391</v>
      </c>
      <c r="AC42" s="398">
        <v>8783131.8302999996</v>
      </c>
      <c r="AD42" s="398">
        <v>8051140.0300000003</v>
      </c>
      <c r="AE42" s="398">
        <v>-731991.8</v>
      </c>
      <c r="AF42" s="344">
        <f t="shared" si="0"/>
        <v>1.5138004060426362E-2</v>
      </c>
    </row>
    <row r="43" spans="1:32" ht="25.5">
      <c r="A43" s="396" t="s">
        <v>554</v>
      </c>
      <c r="B43" s="399" t="s">
        <v>555</v>
      </c>
      <c r="C43" s="361">
        <f t="shared" si="1"/>
        <v>0</v>
      </c>
      <c r="D43" s="361">
        <f t="shared" si="2"/>
        <v>0</v>
      </c>
      <c r="E43" s="361">
        <f t="shared" si="3"/>
        <v>0</v>
      </c>
      <c r="F43" s="361">
        <f t="shared" si="4"/>
        <v>0</v>
      </c>
      <c r="G43" s="361">
        <f t="shared" si="5"/>
        <v>0</v>
      </c>
      <c r="H43" s="403"/>
      <c r="I43" s="403"/>
      <c r="J43" s="403"/>
      <c r="K43" s="403"/>
      <c r="L43" s="403"/>
      <c r="M43" s="403"/>
      <c r="N43" s="403"/>
      <c r="O43" s="403"/>
      <c r="P43" s="403"/>
      <c r="Q43" s="403"/>
      <c r="R43" s="403">
        <v>0</v>
      </c>
      <c r="S43" s="403">
        <v>0</v>
      </c>
      <c r="T43" s="403">
        <v>0</v>
      </c>
      <c r="U43" s="403">
        <v>0</v>
      </c>
      <c r="V43" s="403">
        <v>0</v>
      </c>
      <c r="W43" s="403">
        <v>0</v>
      </c>
      <c r="X43" s="403">
        <v>0</v>
      </c>
      <c r="Y43" s="403">
        <v>0</v>
      </c>
      <c r="Z43" s="403">
        <v>0</v>
      </c>
      <c r="AA43" s="367">
        <v>0</v>
      </c>
      <c r="AB43" s="403">
        <v>0</v>
      </c>
      <c r="AC43" s="398">
        <v>0</v>
      </c>
      <c r="AD43" s="398">
        <v>0</v>
      </c>
      <c r="AE43" s="398">
        <v>0</v>
      </c>
      <c r="AF43" s="344">
        <f t="shared" si="0"/>
        <v>0</v>
      </c>
    </row>
    <row r="44" spans="1:32">
      <c r="A44" s="404" t="s">
        <v>566</v>
      </c>
      <c r="B44" s="405" t="s">
        <v>567</v>
      </c>
      <c r="C44" s="361">
        <f t="shared" si="1"/>
        <v>0</v>
      </c>
      <c r="D44" s="361">
        <f t="shared" si="2"/>
        <v>0</v>
      </c>
      <c r="E44" s="361">
        <f t="shared" si="3"/>
        <v>2326790.73</v>
      </c>
      <c r="F44" s="361">
        <f t="shared" si="4"/>
        <v>3102664.28</v>
      </c>
      <c r="G44" s="361">
        <f t="shared" si="5"/>
        <v>5677768.7000000002</v>
      </c>
      <c r="H44" s="371">
        <v>0</v>
      </c>
      <c r="I44" s="371">
        <v>0</v>
      </c>
      <c r="J44" s="371">
        <v>0</v>
      </c>
      <c r="K44" s="371">
        <v>0</v>
      </c>
      <c r="L44" s="371">
        <v>0</v>
      </c>
      <c r="M44" s="371">
        <v>0</v>
      </c>
      <c r="N44" s="371">
        <v>0</v>
      </c>
      <c r="O44" s="371">
        <v>0</v>
      </c>
      <c r="P44" s="371">
        <v>447961.93</v>
      </c>
      <c r="Q44" s="403">
        <v>1184083.49</v>
      </c>
      <c r="R44" s="371">
        <v>312200.30000000005</v>
      </c>
      <c r="S44" s="371">
        <v>382545.01</v>
      </c>
      <c r="T44" s="371">
        <v>-0.24999999999818101</v>
      </c>
      <c r="U44" s="371">
        <v>1668280.9</v>
      </c>
      <c r="V44" s="371">
        <v>572897.02</v>
      </c>
      <c r="W44" s="371">
        <v>861486.61</v>
      </c>
      <c r="X44" s="371">
        <v>293881.42</v>
      </c>
      <c r="Y44" s="371">
        <v>1389587.14</v>
      </c>
      <c r="Z44" s="371">
        <v>510466.28</v>
      </c>
      <c r="AA44" s="367">
        <v>3483833.8600000003</v>
      </c>
      <c r="AB44" s="371">
        <v>0.76000000050407834</v>
      </c>
      <c r="AC44" s="373">
        <v>11107223.710000001</v>
      </c>
      <c r="AD44" s="373">
        <v>11150388.669999998</v>
      </c>
      <c r="AE44" s="373">
        <v>43164.959999999999</v>
      </c>
      <c r="AF44" s="344">
        <f t="shared" si="0"/>
        <v>1.9143649539904592E-2</v>
      </c>
    </row>
    <row r="45" spans="1:32">
      <c r="A45" s="406" t="s">
        <v>568</v>
      </c>
      <c r="B45" s="380" t="s">
        <v>569</v>
      </c>
      <c r="C45" s="361">
        <f t="shared" si="1"/>
        <v>0</v>
      </c>
      <c r="D45" s="361">
        <f t="shared" si="2"/>
        <v>0</v>
      </c>
      <c r="E45" s="361">
        <f t="shared" si="3"/>
        <v>1901883.5899999999</v>
      </c>
      <c r="F45" s="361">
        <f t="shared" si="4"/>
        <v>1302867.25</v>
      </c>
      <c r="G45" s="361">
        <f t="shared" si="5"/>
        <v>4589529.68</v>
      </c>
      <c r="H45" s="403">
        <v>0</v>
      </c>
      <c r="I45" s="403">
        <v>0</v>
      </c>
      <c r="J45" s="403">
        <v>0</v>
      </c>
      <c r="K45" s="403">
        <v>0</v>
      </c>
      <c r="L45" s="403">
        <v>0</v>
      </c>
      <c r="M45" s="403">
        <v>0</v>
      </c>
      <c r="N45" s="403">
        <v>0</v>
      </c>
      <c r="O45" s="403">
        <v>0</v>
      </c>
      <c r="P45" s="403">
        <v>447961.93</v>
      </c>
      <c r="Q45" s="403">
        <v>1139351.26</v>
      </c>
      <c r="R45" s="403">
        <v>33429.9</v>
      </c>
      <c r="S45" s="403">
        <v>281140.5</v>
      </c>
      <c r="T45" s="403">
        <v>0</v>
      </c>
      <c r="U45" s="403">
        <v>941947.54</v>
      </c>
      <c r="V45" s="403">
        <v>116889.89</v>
      </c>
      <c r="W45" s="403">
        <v>244029.81999999998</v>
      </c>
      <c r="X45" s="403">
        <v>245103.18</v>
      </c>
      <c r="Y45" s="403">
        <v>914422.61</v>
      </c>
      <c r="Z45" s="403">
        <v>231599.18</v>
      </c>
      <c r="AA45" s="367">
        <v>3198404.71</v>
      </c>
      <c r="AB45" s="403">
        <v>0.51000000024214387</v>
      </c>
      <c r="AC45" s="398">
        <v>7794280.5199999996</v>
      </c>
      <c r="AD45" s="398">
        <v>7839170.3300000001</v>
      </c>
      <c r="AE45" s="398">
        <v>44889.81</v>
      </c>
      <c r="AF45" s="344">
        <f t="shared" si="0"/>
        <v>1.3433687714081823E-2</v>
      </c>
    </row>
    <row r="46" spans="1:32">
      <c r="A46" s="406" t="s">
        <v>570</v>
      </c>
      <c r="B46" s="380" t="s">
        <v>571</v>
      </c>
      <c r="C46" s="361">
        <f t="shared" si="1"/>
        <v>0</v>
      </c>
      <c r="D46" s="361">
        <f t="shared" si="2"/>
        <v>0</v>
      </c>
      <c r="E46" s="361">
        <f t="shared" si="3"/>
        <v>424907.14</v>
      </c>
      <c r="F46" s="361">
        <f t="shared" si="4"/>
        <v>351075.58</v>
      </c>
      <c r="G46" s="361">
        <f t="shared" si="5"/>
        <v>255865.87</v>
      </c>
      <c r="H46" s="403">
        <v>0</v>
      </c>
      <c r="I46" s="403">
        <v>0</v>
      </c>
      <c r="J46" s="403">
        <v>0</v>
      </c>
      <c r="K46" s="403">
        <v>0</v>
      </c>
      <c r="L46" s="403">
        <v>0</v>
      </c>
      <c r="M46" s="403">
        <v>0</v>
      </c>
      <c r="N46" s="403">
        <v>0</v>
      </c>
      <c r="O46" s="403">
        <v>0</v>
      </c>
      <c r="P46" s="403">
        <v>0</v>
      </c>
      <c r="Q46" s="403">
        <v>44732.23</v>
      </c>
      <c r="R46" s="403">
        <v>278770.40000000002</v>
      </c>
      <c r="S46" s="403">
        <v>101404.51000000001</v>
      </c>
      <c r="T46" s="403">
        <v>-0.3999999999996362</v>
      </c>
      <c r="U46" s="403">
        <v>142090.9</v>
      </c>
      <c r="V46" s="403">
        <v>76892.320000000007</v>
      </c>
      <c r="W46" s="403">
        <v>132092.76</v>
      </c>
      <c r="X46" s="403">
        <v>0</v>
      </c>
      <c r="Y46" s="403">
        <v>75740.58</v>
      </c>
      <c r="Z46" s="403">
        <v>129256.42</v>
      </c>
      <c r="AA46" s="367">
        <v>50868.87</v>
      </c>
      <c r="AB46" s="403">
        <v>0.39999999993597157</v>
      </c>
      <c r="AC46" s="398">
        <v>1031848.5900000001</v>
      </c>
      <c r="AD46" s="398">
        <v>1025611.96</v>
      </c>
      <c r="AE46" s="398">
        <v>-6236.63</v>
      </c>
      <c r="AF46" s="344">
        <f t="shared" si="0"/>
        <v>1.7784235107662835E-3</v>
      </c>
    </row>
    <row r="47" spans="1:32">
      <c r="A47" s="406" t="s">
        <v>570</v>
      </c>
      <c r="B47" s="380" t="s">
        <v>572</v>
      </c>
      <c r="C47" s="361">
        <f t="shared" si="1"/>
        <v>0</v>
      </c>
      <c r="D47" s="361">
        <f t="shared" si="2"/>
        <v>0</v>
      </c>
      <c r="E47" s="361">
        <f t="shared" si="3"/>
        <v>0</v>
      </c>
      <c r="F47" s="361">
        <f t="shared" si="4"/>
        <v>1448721.45</v>
      </c>
      <c r="G47" s="361">
        <f t="shared" si="5"/>
        <v>832373.15</v>
      </c>
      <c r="H47" s="403"/>
      <c r="I47" s="403"/>
      <c r="J47" s="403"/>
      <c r="K47" s="403"/>
      <c r="L47" s="403"/>
      <c r="M47" s="403"/>
      <c r="N47" s="403"/>
      <c r="O47" s="403"/>
      <c r="P47" s="403">
        <v>0</v>
      </c>
      <c r="Q47" s="403">
        <v>0</v>
      </c>
      <c r="R47" s="403">
        <v>0</v>
      </c>
      <c r="S47" s="403">
        <v>0</v>
      </c>
      <c r="T47" s="403">
        <v>0.15000000000145519</v>
      </c>
      <c r="U47" s="403">
        <v>584242.46</v>
      </c>
      <c r="V47" s="403">
        <v>379114.80999999994</v>
      </c>
      <c r="W47" s="403">
        <v>485364.03</v>
      </c>
      <c r="X47" s="403">
        <v>48778.239999999998</v>
      </c>
      <c r="Y47" s="403">
        <v>399423.95</v>
      </c>
      <c r="Z47" s="403">
        <v>149610.68</v>
      </c>
      <c r="AA47" s="367">
        <v>234560.28</v>
      </c>
      <c r="AB47" s="403">
        <v>-0.1499999996740371</v>
      </c>
      <c r="AC47" s="398">
        <v>2281094.5999999996</v>
      </c>
      <c r="AD47" s="398">
        <v>2285606.38</v>
      </c>
      <c r="AE47" s="398">
        <v>4511.78</v>
      </c>
      <c r="AF47" s="344">
        <f t="shared" si="0"/>
        <v>3.9315383150564853E-3</v>
      </c>
    </row>
    <row r="48" spans="1:32">
      <c r="A48" s="404" t="s">
        <v>556</v>
      </c>
      <c r="B48" s="405" t="s">
        <v>573</v>
      </c>
      <c r="C48" s="361">
        <f t="shared" si="1"/>
        <v>0</v>
      </c>
      <c r="D48" s="361">
        <f t="shared" si="2"/>
        <v>0</v>
      </c>
      <c r="E48" s="361">
        <f t="shared" si="3"/>
        <v>2109611.44</v>
      </c>
      <c r="F48" s="361">
        <f t="shared" si="4"/>
        <v>2478752.7400000002</v>
      </c>
      <c r="G48" s="361">
        <f t="shared" si="5"/>
        <v>2597609.09</v>
      </c>
      <c r="H48" s="371">
        <v>0</v>
      </c>
      <c r="I48" s="371">
        <v>0</v>
      </c>
      <c r="J48" s="371">
        <v>0</v>
      </c>
      <c r="K48" s="371">
        <v>0</v>
      </c>
      <c r="L48" s="371">
        <v>0</v>
      </c>
      <c r="M48" s="371">
        <v>0</v>
      </c>
      <c r="N48" s="371">
        <v>0</v>
      </c>
      <c r="O48" s="371">
        <v>0</v>
      </c>
      <c r="P48" s="371">
        <v>477491.54</v>
      </c>
      <c r="Q48" s="371">
        <v>0</v>
      </c>
      <c r="R48" s="371">
        <v>1170175.26</v>
      </c>
      <c r="S48" s="371">
        <v>461944.64</v>
      </c>
      <c r="T48" s="371">
        <v>706034.47</v>
      </c>
      <c r="U48" s="371">
        <v>542975</v>
      </c>
      <c r="V48" s="371">
        <v>569300.01</v>
      </c>
      <c r="W48" s="371">
        <v>660443.26</v>
      </c>
      <c r="X48" s="371">
        <v>488424.54</v>
      </c>
      <c r="Y48" s="371">
        <v>562172.37</v>
      </c>
      <c r="Z48" s="371">
        <v>512358.99</v>
      </c>
      <c r="AA48" s="367">
        <v>1034653.19</v>
      </c>
      <c r="AB48" s="371">
        <v>-47914.04000000027</v>
      </c>
      <c r="AC48" s="373">
        <v>7185973.2699999996</v>
      </c>
      <c r="AD48" s="373">
        <v>6981283.1799999997</v>
      </c>
      <c r="AE48" s="373">
        <v>-204690.09</v>
      </c>
      <c r="AF48" s="344">
        <f t="shared" si="0"/>
        <v>1.2385251029035246E-2</v>
      </c>
    </row>
    <row r="49" spans="1:32">
      <c r="A49" s="384" t="s">
        <v>535</v>
      </c>
      <c r="B49" s="385">
        <v>0</v>
      </c>
      <c r="C49" s="361">
        <f t="shared" si="1"/>
        <v>0</v>
      </c>
      <c r="D49" s="361">
        <f t="shared" si="2"/>
        <v>0</v>
      </c>
      <c r="E49" s="361">
        <f t="shared" si="3"/>
        <v>0</v>
      </c>
      <c r="F49" s="361">
        <f t="shared" si="4"/>
        <v>0</v>
      </c>
      <c r="G49" s="361">
        <f t="shared" si="5"/>
        <v>0</v>
      </c>
      <c r="H49" s="386">
        <v>0</v>
      </c>
      <c r="I49" s="386">
        <v>0</v>
      </c>
      <c r="J49" s="386">
        <v>0</v>
      </c>
      <c r="K49" s="386">
        <v>0</v>
      </c>
      <c r="L49" s="386">
        <v>0</v>
      </c>
      <c r="M49" s="386">
        <v>0</v>
      </c>
      <c r="N49" s="386">
        <v>0</v>
      </c>
      <c r="O49" s="386">
        <v>0</v>
      </c>
      <c r="P49" s="386">
        <v>0</v>
      </c>
      <c r="Q49" s="386">
        <v>0</v>
      </c>
      <c r="R49" s="386">
        <v>0</v>
      </c>
      <c r="S49" s="386">
        <v>0</v>
      </c>
      <c r="T49" s="386">
        <v>0</v>
      </c>
      <c r="U49" s="386">
        <v>0</v>
      </c>
      <c r="V49" s="386">
        <v>0</v>
      </c>
      <c r="W49" s="386">
        <v>0</v>
      </c>
      <c r="X49" s="386">
        <v>0</v>
      </c>
      <c r="Y49" s="386">
        <v>0</v>
      </c>
      <c r="Z49" s="386">
        <v>0</v>
      </c>
      <c r="AA49" s="387">
        <v>0</v>
      </c>
      <c r="AB49" s="386"/>
      <c r="AC49" s="373">
        <v>0</v>
      </c>
      <c r="AD49" s="373">
        <v>0</v>
      </c>
      <c r="AE49" s="369">
        <v>0</v>
      </c>
      <c r="AF49" s="344">
        <f t="shared" si="0"/>
        <v>0</v>
      </c>
    </row>
    <row r="50" spans="1:32" ht="25.5">
      <c r="A50" s="384" t="s">
        <v>536</v>
      </c>
      <c r="B50" s="385">
        <v>0</v>
      </c>
      <c r="C50" s="361">
        <f t="shared" si="1"/>
        <v>0</v>
      </c>
      <c r="D50" s="361">
        <f t="shared" si="2"/>
        <v>0</v>
      </c>
      <c r="E50" s="361">
        <f t="shared" si="3"/>
        <v>0</v>
      </c>
      <c r="F50" s="361">
        <f t="shared" si="4"/>
        <v>0</v>
      </c>
      <c r="G50" s="361">
        <f t="shared" si="5"/>
        <v>0</v>
      </c>
      <c r="H50" s="386">
        <v>0</v>
      </c>
      <c r="I50" s="386">
        <v>0</v>
      </c>
      <c r="J50" s="386">
        <v>0</v>
      </c>
      <c r="K50" s="386">
        <v>0</v>
      </c>
      <c r="L50" s="386">
        <v>0</v>
      </c>
      <c r="M50" s="386">
        <v>0</v>
      </c>
      <c r="N50" s="386">
        <v>0</v>
      </c>
      <c r="O50" s="386">
        <v>0</v>
      </c>
      <c r="P50" s="386">
        <v>0</v>
      </c>
      <c r="Q50" s="386">
        <v>0</v>
      </c>
      <c r="R50" s="386">
        <v>0</v>
      </c>
      <c r="S50" s="386">
        <v>0</v>
      </c>
      <c r="T50" s="386">
        <v>0</v>
      </c>
      <c r="U50" s="386">
        <v>0</v>
      </c>
      <c r="V50" s="386">
        <v>0</v>
      </c>
      <c r="W50" s="386">
        <v>0</v>
      </c>
      <c r="X50" s="386">
        <v>0</v>
      </c>
      <c r="Y50" s="386">
        <v>0</v>
      </c>
      <c r="Z50" s="386">
        <v>0</v>
      </c>
      <c r="AA50" s="387">
        <v>0</v>
      </c>
      <c r="AB50" s="386">
        <v>1479586.846896071</v>
      </c>
      <c r="AC50" s="373">
        <v>0</v>
      </c>
      <c r="AD50" s="373">
        <v>0</v>
      </c>
      <c r="AE50" s="369">
        <v>0</v>
      </c>
      <c r="AF50" s="344">
        <f t="shared" si="0"/>
        <v>0</v>
      </c>
    </row>
    <row r="51" spans="1:32">
      <c r="A51" s="384" t="s">
        <v>537</v>
      </c>
      <c r="B51" s="385"/>
      <c r="C51" s="361">
        <f t="shared" si="1"/>
        <v>0</v>
      </c>
      <c r="D51" s="361">
        <f t="shared" si="2"/>
        <v>0</v>
      </c>
      <c r="E51" s="361">
        <f t="shared" si="3"/>
        <v>0</v>
      </c>
      <c r="F51" s="361">
        <f t="shared" si="4"/>
        <v>0</v>
      </c>
      <c r="G51" s="361">
        <f t="shared" si="5"/>
        <v>0</v>
      </c>
      <c r="H51" s="386">
        <v>0</v>
      </c>
      <c r="I51" s="386">
        <v>0</v>
      </c>
      <c r="J51" s="386">
        <v>0</v>
      </c>
      <c r="K51" s="386">
        <v>0</v>
      </c>
      <c r="L51" s="386">
        <v>0</v>
      </c>
      <c r="M51" s="386">
        <v>0</v>
      </c>
      <c r="N51" s="386">
        <v>0</v>
      </c>
      <c r="O51" s="386">
        <v>0</v>
      </c>
      <c r="P51" s="386">
        <v>0</v>
      </c>
      <c r="Q51" s="386">
        <v>0</v>
      </c>
      <c r="R51" s="386">
        <v>0</v>
      </c>
      <c r="S51" s="386">
        <v>0</v>
      </c>
      <c r="T51" s="386">
        <v>0</v>
      </c>
      <c r="U51" s="386">
        <v>0</v>
      </c>
      <c r="V51" s="386">
        <v>0</v>
      </c>
      <c r="W51" s="386">
        <v>0</v>
      </c>
      <c r="X51" s="386">
        <v>0</v>
      </c>
      <c r="Y51" s="386">
        <v>0</v>
      </c>
      <c r="Z51" s="386">
        <v>0</v>
      </c>
      <c r="AA51" s="387"/>
      <c r="AB51" s="386"/>
      <c r="AC51" s="373"/>
      <c r="AD51" s="373">
        <v>757596.7</v>
      </c>
      <c r="AE51" s="369"/>
      <c r="AF51" s="344">
        <f t="shared" si="0"/>
        <v>0</v>
      </c>
    </row>
    <row r="52" spans="1:32" ht="25.5">
      <c r="A52" s="402" t="s">
        <v>574</v>
      </c>
      <c r="B52" s="361" t="s">
        <v>575</v>
      </c>
      <c r="C52" s="361">
        <f t="shared" si="1"/>
        <v>0</v>
      </c>
      <c r="D52" s="361">
        <f t="shared" si="2"/>
        <v>2827921.8</v>
      </c>
      <c r="E52" s="361">
        <f t="shared" si="3"/>
        <v>1906921.4100000001</v>
      </c>
      <c r="F52" s="361">
        <f t="shared" si="4"/>
        <v>5464476.5</v>
      </c>
      <c r="G52" s="361">
        <f t="shared" si="5"/>
        <v>10825220.530000001</v>
      </c>
      <c r="H52" s="388">
        <v>0</v>
      </c>
      <c r="I52" s="388">
        <v>0</v>
      </c>
      <c r="J52" s="388">
        <v>0</v>
      </c>
      <c r="K52" s="388">
        <v>0</v>
      </c>
      <c r="L52" s="388">
        <v>14758.880000000001</v>
      </c>
      <c r="M52" s="388">
        <v>143687.44</v>
      </c>
      <c r="N52" s="388">
        <v>3993.43</v>
      </c>
      <c r="O52" s="388">
        <v>2665482.0499999998</v>
      </c>
      <c r="P52" s="388">
        <v>187237.75</v>
      </c>
      <c r="Q52" s="389">
        <v>300400.42000000004</v>
      </c>
      <c r="R52" s="388">
        <v>1085372.7600000002</v>
      </c>
      <c r="S52" s="388">
        <v>333910.48</v>
      </c>
      <c r="T52" s="388">
        <v>700258.75</v>
      </c>
      <c r="U52" s="388">
        <v>684679.78</v>
      </c>
      <c r="V52" s="388">
        <v>3728953.87</v>
      </c>
      <c r="W52" s="388">
        <v>350584.10000000003</v>
      </c>
      <c r="X52" s="388">
        <v>349299.19</v>
      </c>
      <c r="Y52" s="388">
        <v>251574.11</v>
      </c>
      <c r="Z52" s="388">
        <v>1769152.2400000002</v>
      </c>
      <c r="AA52" s="362">
        <v>8455194.9900000002</v>
      </c>
      <c r="AB52" s="388">
        <v>964465.23906093102</v>
      </c>
      <c r="AC52" s="364">
        <v>21024489.100000001</v>
      </c>
      <c r="AD52" s="388">
        <v>22134037.039999999</v>
      </c>
      <c r="AE52" s="364">
        <v>1109547.94</v>
      </c>
      <c r="AF52" s="344">
        <f t="shared" si="0"/>
        <v>3.6236368474651365E-2</v>
      </c>
    </row>
    <row r="53" spans="1:32" ht="25.5">
      <c r="A53" s="393" t="s">
        <v>576</v>
      </c>
      <c r="B53" s="391" t="s">
        <v>577</v>
      </c>
      <c r="C53" s="361">
        <f t="shared" si="1"/>
        <v>0</v>
      </c>
      <c r="D53" s="361">
        <f t="shared" si="2"/>
        <v>0</v>
      </c>
      <c r="E53" s="361">
        <f t="shared" si="3"/>
        <v>813286.79</v>
      </c>
      <c r="F53" s="361">
        <f t="shared" si="4"/>
        <v>1394705.97</v>
      </c>
      <c r="G53" s="361">
        <f t="shared" si="5"/>
        <v>6112011.9199999999</v>
      </c>
      <c r="H53" s="392">
        <v>0</v>
      </c>
      <c r="I53" s="392">
        <v>0</v>
      </c>
      <c r="J53" s="392">
        <v>0</v>
      </c>
      <c r="K53" s="392">
        <v>0</v>
      </c>
      <c r="L53" s="392">
        <v>0</v>
      </c>
      <c r="M53" s="392">
        <v>0</v>
      </c>
      <c r="N53" s="392">
        <v>0</v>
      </c>
      <c r="O53" s="392">
        <v>0</v>
      </c>
      <c r="P53" s="392">
        <v>187237.75</v>
      </c>
      <c r="Q53" s="407">
        <v>0</v>
      </c>
      <c r="R53" s="392">
        <v>472633.48000000004</v>
      </c>
      <c r="S53" s="392">
        <v>153415.56</v>
      </c>
      <c r="T53" s="392">
        <v>346608.16</v>
      </c>
      <c r="U53" s="392">
        <v>255087.14999999997</v>
      </c>
      <c r="V53" s="392">
        <v>442426.56</v>
      </c>
      <c r="W53" s="392">
        <v>350584.10000000003</v>
      </c>
      <c r="X53" s="392">
        <v>349299.19</v>
      </c>
      <c r="Y53" s="392">
        <v>251574.11</v>
      </c>
      <c r="Z53" s="392">
        <v>301210.22000000003</v>
      </c>
      <c r="AA53" s="392">
        <v>5209928.4000000004</v>
      </c>
      <c r="AB53" s="392">
        <v>48976.800000000047</v>
      </c>
      <c r="AC53" s="369">
        <v>8320004.6800000006</v>
      </c>
      <c r="AD53" s="369">
        <v>9040737.4499999993</v>
      </c>
      <c r="AE53" s="369">
        <v>720732.77</v>
      </c>
      <c r="AF53" s="344">
        <f t="shared" si="0"/>
        <v>1.4339789845133682E-2</v>
      </c>
    </row>
    <row r="54" spans="1:32">
      <c r="A54" s="408" t="s">
        <v>578</v>
      </c>
      <c r="B54" s="382" t="s">
        <v>577</v>
      </c>
      <c r="C54" s="361">
        <f t="shared" si="1"/>
        <v>0</v>
      </c>
      <c r="D54" s="361">
        <f t="shared" si="2"/>
        <v>0</v>
      </c>
      <c r="E54" s="361">
        <f t="shared" si="3"/>
        <v>487243.51000000007</v>
      </c>
      <c r="F54" s="361">
        <f t="shared" si="4"/>
        <v>675994.55</v>
      </c>
      <c r="G54" s="361">
        <f t="shared" si="5"/>
        <v>679524.47</v>
      </c>
      <c r="H54" s="371">
        <v>0</v>
      </c>
      <c r="I54" s="371">
        <v>0</v>
      </c>
      <c r="J54" s="371">
        <v>0</v>
      </c>
      <c r="K54" s="371">
        <v>0</v>
      </c>
      <c r="L54" s="371">
        <v>0</v>
      </c>
      <c r="M54" s="371">
        <v>0</v>
      </c>
      <c r="N54" s="371">
        <v>0</v>
      </c>
      <c r="O54" s="371">
        <v>0</v>
      </c>
      <c r="P54" s="371">
        <v>116578.04000000001</v>
      </c>
      <c r="Q54" s="403">
        <v>0</v>
      </c>
      <c r="R54" s="371">
        <v>279600.02</v>
      </c>
      <c r="S54" s="371">
        <v>91065.45</v>
      </c>
      <c r="T54" s="371">
        <v>205622.18</v>
      </c>
      <c r="U54" s="371">
        <v>134710.34</v>
      </c>
      <c r="V54" s="371">
        <v>145791.74</v>
      </c>
      <c r="W54" s="371">
        <v>189870.29</v>
      </c>
      <c r="X54" s="371">
        <v>114352.76</v>
      </c>
      <c r="Y54" s="371">
        <v>145613.29999999999</v>
      </c>
      <c r="Z54" s="371">
        <v>147185.81</v>
      </c>
      <c r="AA54" s="367">
        <v>272372.59999999998</v>
      </c>
      <c r="AB54" s="371">
        <v>-6309.179999999993</v>
      </c>
      <c r="AC54" s="373">
        <v>1842762.5300000003</v>
      </c>
      <c r="AD54" s="373">
        <v>1815515.68</v>
      </c>
      <c r="AE54" s="373">
        <v>-27246.85</v>
      </c>
      <c r="AF54" s="344">
        <f t="shared" si="0"/>
        <v>3.1760592008088697E-3</v>
      </c>
    </row>
    <row r="55" spans="1:32">
      <c r="A55" s="409" t="s">
        <v>579</v>
      </c>
      <c r="B55" s="380" t="s">
        <v>523</v>
      </c>
      <c r="C55" s="361">
        <f t="shared" si="1"/>
        <v>0</v>
      </c>
      <c r="D55" s="361">
        <f t="shared" si="2"/>
        <v>0</v>
      </c>
      <c r="E55" s="361">
        <f t="shared" si="3"/>
        <v>205476.9</v>
      </c>
      <c r="F55" s="361">
        <f t="shared" si="4"/>
        <v>344856.63999999996</v>
      </c>
      <c r="G55" s="361">
        <f t="shared" si="5"/>
        <v>332952.45999999996</v>
      </c>
      <c r="H55" s="375">
        <v>0</v>
      </c>
      <c r="I55" s="375">
        <v>0</v>
      </c>
      <c r="J55" s="375">
        <v>0</v>
      </c>
      <c r="K55" s="375">
        <v>0</v>
      </c>
      <c r="L55" s="375">
        <v>0</v>
      </c>
      <c r="M55" s="375">
        <v>0</v>
      </c>
      <c r="N55" s="375">
        <v>0</v>
      </c>
      <c r="O55" s="375">
        <v>0</v>
      </c>
      <c r="P55" s="375">
        <v>52836.92</v>
      </c>
      <c r="Q55" s="375">
        <v>0</v>
      </c>
      <c r="R55" s="375">
        <v>123286.14</v>
      </c>
      <c r="S55" s="375">
        <v>29353.84</v>
      </c>
      <c r="T55" s="375">
        <v>111302.39</v>
      </c>
      <c r="U55" s="375">
        <v>62174.34</v>
      </c>
      <c r="V55" s="375">
        <v>69738.84</v>
      </c>
      <c r="W55" s="375">
        <v>101641.06999999999</v>
      </c>
      <c r="X55" s="375">
        <v>49103.679999999993</v>
      </c>
      <c r="Y55" s="375">
        <v>70957.149999999994</v>
      </c>
      <c r="Z55" s="375">
        <v>78739.3</v>
      </c>
      <c r="AA55" s="367">
        <v>134152.32999999999</v>
      </c>
      <c r="AB55" s="375">
        <v>-0.30000000004656613</v>
      </c>
      <c r="AC55" s="398">
        <v>883286</v>
      </c>
      <c r="AD55" s="398">
        <v>883285.7</v>
      </c>
      <c r="AE55" s="398">
        <v>-0.3</v>
      </c>
      <c r="AF55" s="344">
        <f t="shared" si="0"/>
        <v>1.5223712125542637E-3</v>
      </c>
    </row>
    <row r="56" spans="1:32">
      <c r="A56" s="409" t="s">
        <v>580</v>
      </c>
      <c r="B56" s="377" t="s">
        <v>573</v>
      </c>
      <c r="C56" s="361">
        <f t="shared" si="1"/>
        <v>0</v>
      </c>
      <c r="D56" s="361">
        <f t="shared" si="2"/>
        <v>0</v>
      </c>
      <c r="E56" s="361">
        <f t="shared" si="3"/>
        <v>281766.61</v>
      </c>
      <c r="F56" s="361">
        <f t="shared" si="4"/>
        <v>331137.90999999997</v>
      </c>
      <c r="G56" s="361">
        <f t="shared" si="5"/>
        <v>346572.01</v>
      </c>
      <c r="H56" s="375">
        <v>0</v>
      </c>
      <c r="I56" s="375">
        <v>0</v>
      </c>
      <c r="J56" s="375">
        <v>0</v>
      </c>
      <c r="K56" s="375">
        <v>0</v>
      </c>
      <c r="L56" s="375">
        <v>0</v>
      </c>
      <c r="M56" s="375">
        <v>0</v>
      </c>
      <c r="N56" s="375">
        <v>0</v>
      </c>
      <c r="O56" s="375">
        <v>0</v>
      </c>
      <c r="P56" s="375">
        <v>63741.119999999995</v>
      </c>
      <c r="Q56" s="375">
        <v>0</v>
      </c>
      <c r="R56" s="375">
        <v>156313.88</v>
      </c>
      <c r="S56" s="375">
        <v>61711.61</v>
      </c>
      <c r="T56" s="375">
        <v>94319.79</v>
      </c>
      <c r="U56" s="375">
        <v>72536</v>
      </c>
      <c r="V56" s="375">
        <v>76052.899999999994</v>
      </c>
      <c r="W56" s="375">
        <v>88229.22</v>
      </c>
      <c r="X56" s="375">
        <v>65249.08</v>
      </c>
      <c r="Y56" s="375">
        <v>74656.149999999994</v>
      </c>
      <c r="Z56" s="375">
        <v>68446.509999999995</v>
      </c>
      <c r="AA56" s="367">
        <v>138220.26999999999</v>
      </c>
      <c r="AB56" s="375">
        <v>-6308.8799999999464</v>
      </c>
      <c r="AC56" s="398">
        <v>959476.53</v>
      </c>
      <c r="AD56" s="398">
        <v>932229.98</v>
      </c>
      <c r="AE56" s="398">
        <v>-27246.55</v>
      </c>
      <c r="AF56" s="344">
        <f t="shared" si="0"/>
        <v>1.6536879882546054E-3</v>
      </c>
    </row>
    <row r="57" spans="1:32" ht="25.5">
      <c r="A57" s="408" t="s">
        <v>581</v>
      </c>
      <c r="B57" s="382" t="s">
        <v>577</v>
      </c>
      <c r="C57" s="361">
        <f t="shared" si="1"/>
        <v>0</v>
      </c>
      <c r="D57" s="361">
        <f t="shared" si="2"/>
        <v>0</v>
      </c>
      <c r="E57" s="361">
        <f t="shared" si="3"/>
        <v>119694.33</v>
      </c>
      <c r="F57" s="361">
        <f t="shared" si="4"/>
        <v>164753.35</v>
      </c>
      <c r="G57" s="361">
        <f t="shared" si="5"/>
        <v>260440.55000000002</v>
      </c>
      <c r="H57" s="371">
        <v>0</v>
      </c>
      <c r="I57" s="371">
        <v>0</v>
      </c>
      <c r="J57" s="371">
        <v>0</v>
      </c>
      <c r="K57" s="371">
        <v>0</v>
      </c>
      <c r="L57" s="371">
        <v>0</v>
      </c>
      <c r="M57" s="371">
        <v>0</v>
      </c>
      <c r="N57" s="371">
        <v>0</v>
      </c>
      <c r="O57" s="371">
        <v>0</v>
      </c>
      <c r="P57" s="371">
        <v>28389.91</v>
      </c>
      <c r="Q57" s="403">
        <v>0</v>
      </c>
      <c r="R57" s="371">
        <v>68234.44</v>
      </c>
      <c r="S57" s="371">
        <v>23069.98</v>
      </c>
      <c r="T57" s="371">
        <v>52040.01</v>
      </c>
      <c r="U57" s="371">
        <v>32650.870000000003</v>
      </c>
      <c r="V57" s="371">
        <v>35144.51</v>
      </c>
      <c r="W57" s="371">
        <v>44917.96</v>
      </c>
      <c r="X57" s="371">
        <v>28005.85</v>
      </c>
      <c r="Y57" s="371">
        <v>35567.31</v>
      </c>
      <c r="Z57" s="371">
        <v>34824.100000000006</v>
      </c>
      <c r="AA57" s="367">
        <v>162043.29</v>
      </c>
      <c r="AB57" s="371">
        <v>36914.67</v>
      </c>
      <c r="AC57" s="373">
        <v>544888.2300000001</v>
      </c>
      <c r="AD57" s="373">
        <v>583461.5</v>
      </c>
      <c r="AE57" s="373">
        <v>38573.269999999997</v>
      </c>
      <c r="AF57" s="344">
        <f t="shared" si="0"/>
        <v>9.3913200867176282E-4</v>
      </c>
    </row>
    <row r="58" spans="1:32">
      <c r="A58" s="409" t="s">
        <v>579</v>
      </c>
      <c r="B58" s="380" t="s">
        <v>523</v>
      </c>
      <c r="C58" s="361">
        <f t="shared" si="1"/>
        <v>0</v>
      </c>
      <c r="D58" s="361">
        <f t="shared" si="2"/>
        <v>0</v>
      </c>
      <c r="E58" s="361">
        <f t="shared" si="3"/>
        <v>41094.460000000006</v>
      </c>
      <c r="F58" s="361">
        <f t="shared" si="4"/>
        <v>72463.67</v>
      </c>
      <c r="G58" s="361">
        <f t="shared" si="5"/>
        <v>132938.93</v>
      </c>
      <c r="H58" s="375">
        <v>0</v>
      </c>
      <c r="I58" s="375">
        <v>0</v>
      </c>
      <c r="J58" s="375">
        <v>0</v>
      </c>
      <c r="K58" s="375">
        <v>0</v>
      </c>
      <c r="L58" s="375">
        <v>0</v>
      </c>
      <c r="M58" s="375">
        <v>0</v>
      </c>
      <c r="N58" s="375">
        <v>0</v>
      </c>
      <c r="O58" s="375">
        <v>0</v>
      </c>
      <c r="P58" s="375">
        <v>10566.46</v>
      </c>
      <c r="Q58" s="375">
        <v>0</v>
      </c>
      <c r="R58" s="375">
        <v>24657.23</v>
      </c>
      <c r="S58" s="375">
        <v>5870.77</v>
      </c>
      <c r="T58" s="375">
        <v>25752.809999999998</v>
      </c>
      <c r="U58" s="375">
        <v>12434.87</v>
      </c>
      <c r="V58" s="375">
        <v>13947.77</v>
      </c>
      <c r="W58" s="375">
        <v>20328.22</v>
      </c>
      <c r="X58" s="375">
        <v>9820.74</v>
      </c>
      <c r="Y58" s="375">
        <v>14191.439999999999</v>
      </c>
      <c r="Z58" s="375">
        <v>15747.859999999999</v>
      </c>
      <c r="AA58" s="367">
        <v>93178.89</v>
      </c>
      <c r="AB58" s="375">
        <v>1.2699999999895226</v>
      </c>
      <c r="AC58" s="398">
        <v>246497.06</v>
      </c>
      <c r="AD58" s="398">
        <v>246498.33</v>
      </c>
      <c r="AE58" s="398">
        <v>1.27</v>
      </c>
      <c r="AF58" s="344">
        <f t="shared" si="0"/>
        <v>4.2484543864983832E-4</v>
      </c>
    </row>
    <row r="59" spans="1:32">
      <c r="A59" s="409" t="s">
        <v>580</v>
      </c>
      <c r="B59" s="377" t="s">
        <v>573</v>
      </c>
      <c r="C59" s="361">
        <f t="shared" si="1"/>
        <v>0</v>
      </c>
      <c r="D59" s="361">
        <f t="shared" si="2"/>
        <v>0</v>
      </c>
      <c r="E59" s="361">
        <f t="shared" si="3"/>
        <v>78599.87</v>
      </c>
      <c r="F59" s="361">
        <f t="shared" si="4"/>
        <v>92289.680000000008</v>
      </c>
      <c r="G59" s="361">
        <f t="shared" si="5"/>
        <v>127501.62</v>
      </c>
      <c r="H59" s="375">
        <v>0</v>
      </c>
      <c r="I59" s="375">
        <v>0</v>
      </c>
      <c r="J59" s="375">
        <v>0</v>
      </c>
      <c r="K59" s="375">
        <v>0</v>
      </c>
      <c r="L59" s="375">
        <v>0</v>
      </c>
      <c r="M59" s="375">
        <v>0</v>
      </c>
      <c r="N59" s="375">
        <v>0</v>
      </c>
      <c r="O59" s="375">
        <v>0</v>
      </c>
      <c r="P59" s="375">
        <v>17823.449999999997</v>
      </c>
      <c r="Q59" s="375">
        <v>0</v>
      </c>
      <c r="R59" s="375">
        <v>43577.21</v>
      </c>
      <c r="S59" s="375">
        <v>17199.21</v>
      </c>
      <c r="T59" s="375">
        <v>26287.200000000001</v>
      </c>
      <c r="U59" s="375">
        <v>20216</v>
      </c>
      <c r="V59" s="375">
        <v>21196.74</v>
      </c>
      <c r="W59" s="375">
        <v>24589.74</v>
      </c>
      <c r="X59" s="375">
        <v>18185.11</v>
      </c>
      <c r="Y59" s="375">
        <v>21375.87</v>
      </c>
      <c r="Z59" s="375">
        <v>19076.240000000002</v>
      </c>
      <c r="AA59" s="367">
        <v>68864.399999999994</v>
      </c>
      <c r="AB59" s="375">
        <v>36913.400000000009</v>
      </c>
      <c r="AC59" s="398">
        <v>298391.17</v>
      </c>
      <c r="AD59" s="398">
        <v>336963.17000000004</v>
      </c>
      <c r="AE59" s="398">
        <v>38572</v>
      </c>
      <c r="AF59" s="344">
        <f t="shared" si="0"/>
        <v>5.1428657002192428E-4</v>
      </c>
    </row>
    <row r="60" spans="1:32">
      <c r="A60" s="408" t="s">
        <v>582</v>
      </c>
      <c r="B60" s="382" t="s">
        <v>577</v>
      </c>
      <c r="C60" s="361">
        <f t="shared" si="1"/>
        <v>0</v>
      </c>
      <c r="D60" s="361">
        <f t="shared" si="2"/>
        <v>0</v>
      </c>
      <c r="E60" s="361">
        <f t="shared" si="3"/>
        <v>0</v>
      </c>
      <c r="F60" s="361">
        <f t="shared" si="4"/>
        <v>0</v>
      </c>
      <c r="G60" s="361">
        <f t="shared" si="5"/>
        <v>0</v>
      </c>
      <c r="H60" s="371">
        <v>0</v>
      </c>
      <c r="I60" s="371">
        <v>0</v>
      </c>
      <c r="J60" s="371">
        <v>0</v>
      </c>
      <c r="K60" s="371">
        <v>0</v>
      </c>
      <c r="L60" s="371">
        <v>0</v>
      </c>
      <c r="M60" s="371">
        <v>0</v>
      </c>
      <c r="N60" s="371">
        <v>0</v>
      </c>
      <c r="O60" s="371">
        <v>0</v>
      </c>
      <c r="P60" s="371">
        <v>0</v>
      </c>
      <c r="Q60" s="403">
        <v>0</v>
      </c>
      <c r="R60" s="371">
        <v>0</v>
      </c>
      <c r="S60" s="371">
        <v>0</v>
      </c>
      <c r="T60" s="371">
        <v>0</v>
      </c>
      <c r="U60" s="371">
        <v>0</v>
      </c>
      <c r="V60" s="371">
        <v>0</v>
      </c>
      <c r="W60" s="371">
        <v>0</v>
      </c>
      <c r="X60" s="371">
        <v>0</v>
      </c>
      <c r="Y60" s="371">
        <v>0</v>
      </c>
      <c r="Z60" s="371">
        <v>0</v>
      </c>
      <c r="AA60" s="367">
        <v>0</v>
      </c>
      <c r="AB60" s="371">
        <v>0</v>
      </c>
      <c r="AC60" s="373">
        <v>0</v>
      </c>
      <c r="AD60" s="373">
        <v>0</v>
      </c>
      <c r="AE60" s="373">
        <v>0</v>
      </c>
      <c r="AF60" s="344">
        <f t="shared" si="0"/>
        <v>0</v>
      </c>
    </row>
    <row r="61" spans="1:32">
      <c r="A61" s="409" t="s">
        <v>579</v>
      </c>
      <c r="B61" s="380" t="s">
        <v>583</v>
      </c>
      <c r="C61" s="361">
        <f t="shared" si="1"/>
        <v>0</v>
      </c>
      <c r="D61" s="361">
        <f t="shared" si="2"/>
        <v>0</v>
      </c>
      <c r="E61" s="361">
        <f t="shared" si="3"/>
        <v>0</v>
      </c>
      <c r="F61" s="361">
        <f t="shared" si="4"/>
        <v>0</v>
      </c>
      <c r="G61" s="361">
        <f t="shared" si="5"/>
        <v>0</v>
      </c>
      <c r="H61" s="375">
        <v>0</v>
      </c>
      <c r="I61" s="375">
        <v>0</v>
      </c>
      <c r="J61" s="375">
        <v>0</v>
      </c>
      <c r="K61" s="375">
        <v>0</v>
      </c>
      <c r="L61" s="375">
        <v>0</v>
      </c>
      <c r="M61" s="375">
        <v>0</v>
      </c>
      <c r="N61" s="375">
        <v>0</v>
      </c>
      <c r="O61" s="375">
        <v>0</v>
      </c>
      <c r="P61" s="375">
        <v>0</v>
      </c>
      <c r="Q61" s="375">
        <v>0</v>
      </c>
      <c r="R61" s="375">
        <v>0</v>
      </c>
      <c r="S61" s="375">
        <v>0</v>
      </c>
      <c r="T61" s="375">
        <v>0</v>
      </c>
      <c r="U61" s="375">
        <v>0</v>
      </c>
      <c r="V61" s="375">
        <v>0</v>
      </c>
      <c r="W61" s="375">
        <v>0</v>
      </c>
      <c r="X61" s="375">
        <v>0</v>
      </c>
      <c r="Y61" s="375">
        <v>0</v>
      </c>
      <c r="Z61" s="375">
        <v>0</v>
      </c>
      <c r="AA61" s="367">
        <v>0</v>
      </c>
      <c r="AB61" s="375">
        <v>0</v>
      </c>
      <c r="AC61" s="398">
        <v>0</v>
      </c>
      <c r="AD61" s="398">
        <v>0</v>
      </c>
      <c r="AE61" s="398">
        <v>0</v>
      </c>
      <c r="AF61" s="344">
        <f t="shared" si="0"/>
        <v>0</v>
      </c>
    </row>
    <row r="62" spans="1:32">
      <c r="A62" s="409" t="s">
        <v>579</v>
      </c>
      <c r="B62" s="380" t="s">
        <v>584</v>
      </c>
      <c r="C62" s="361">
        <f t="shared" si="1"/>
        <v>0</v>
      </c>
      <c r="D62" s="361">
        <f t="shared" si="2"/>
        <v>0</v>
      </c>
      <c r="E62" s="361">
        <f t="shared" si="3"/>
        <v>0</v>
      </c>
      <c r="F62" s="361">
        <f t="shared" si="4"/>
        <v>0</v>
      </c>
      <c r="G62" s="361">
        <f t="shared" si="5"/>
        <v>0</v>
      </c>
      <c r="H62" s="375">
        <v>0</v>
      </c>
      <c r="I62" s="375">
        <v>0</v>
      </c>
      <c r="J62" s="375">
        <v>0</v>
      </c>
      <c r="K62" s="375">
        <v>0</v>
      </c>
      <c r="L62" s="375">
        <v>0</v>
      </c>
      <c r="M62" s="375">
        <v>0</v>
      </c>
      <c r="N62" s="375">
        <v>0</v>
      </c>
      <c r="O62" s="375">
        <v>0</v>
      </c>
      <c r="P62" s="375">
        <v>0</v>
      </c>
      <c r="Q62" s="375">
        <v>0</v>
      </c>
      <c r="R62" s="375">
        <v>0</v>
      </c>
      <c r="S62" s="375">
        <v>0</v>
      </c>
      <c r="T62" s="375">
        <v>0</v>
      </c>
      <c r="U62" s="375">
        <v>0</v>
      </c>
      <c r="V62" s="375">
        <v>0</v>
      </c>
      <c r="W62" s="375">
        <v>0</v>
      </c>
      <c r="X62" s="375">
        <v>0</v>
      </c>
      <c r="Y62" s="375">
        <v>0</v>
      </c>
      <c r="Z62" s="375">
        <v>0</v>
      </c>
      <c r="AA62" s="367">
        <v>0</v>
      </c>
      <c r="AB62" s="375">
        <v>0</v>
      </c>
      <c r="AC62" s="398">
        <v>0</v>
      </c>
      <c r="AD62" s="398">
        <v>0</v>
      </c>
      <c r="AE62" s="398">
        <v>0</v>
      </c>
      <c r="AF62" s="344">
        <f t="shared" si="0"/>
        <v>0</v>
      </c>
    </row>
    <row r="63" spans="1:32" ht="25.5">
      <c r="A63" s="408" t="s">
        <v>585</v>
      </c>
      <c r="B63" s="382" t="s">
        <v>577</v>
      </c>
      <c r="C63" s="361">
        <f t="shared" si="1"/>
        <v>0</v>
      </c>
      <c r="D63" s="361">
        <f t="shared" si="2"/>
        <v>0</v>
      </c>
      <c r="E63" s="361">
        <f t="shared" si="3"/>
        <v>164381.78000000003</v>
      </c>
      <c r="F63" s="361">
        <f t="shared" si="4"/>
        <v>273933.67000000004</v>
      </c>
      <c r="G63" s="361">
        <f t="shared" si="5"/>
        <v>229284.83000000002</v>
      </c>
      <c r="H63" s="371">
        <v>0</v>
      </c>
      <c r="I63" s="371">
        <v>0</v>
      </c>
      <c r="J63" s="371">
        <v>0</v>
      </c>
      <c r="K63" s="371">
        <v>0</v>
      </c>
      <c r="L63" s="371">
        <v>0</v>
      </c>
      <c r="M63" s="371">
        <v>0</v>
      </c>
      <c r="N63" s="371">
        <v>0</v>
      </c>
      <c r="O63" s="371">
        <v>0</v>
      </c>
      <c r="P63" s="371">
        <v>42269.8</v>
      </c>
      <c r="Q63" s="403">
        <v>0</v>
      </c>
      <c r="R63" s="371">
        <v>98628.91</v>
      </c>
      <c r="S63" s="371">
        <v>23483.07</v>
      </c>
      <c r="T63" s="371">
        <v>87090.31</v>
      </c>
      <c r="U63" s="371">
        <v>49739.47</v>
      </c>
      <c r="V63" s="371">
        <v>55791.07</v>
      </c>
      <c r="W63" s="371">
        <v>81312.820000000007</v>
      </c>
      <c r="X63" s="371">
        <v>39282.910000000003</v>
      </c>
      <c r="Y63" s="371">
        <v>56765.73</v>
      </c>
      <c r="Z63" s="371">
        <v>62991.429999999993</v>
      </c>
      <c r="AA63" s="367">
        <v>70244.760000000009</v>
      </c>
      <c r="AB63" s="371">
        <v>-0.61999999993713573</v>
      </c>
      <c r="AC63" s="373">
        <v>667600.28</v>
      </c>
      <c r="AD63" s="373">
        <v>667599.66</v>
      </c>
      <c r="AE63" s="373">
        <v>-0.62</v>
      </c>
      <c r="AF63" s="344">
        <f t="shared" si="0"/>
        <v>1.15063008783697E-3</v>
      </c>
    </row>
    <row r="64" spans="1:32">
      <c r="A64" s="409" t="s">
        <v>579</v>
      </c>
      <c r="B64" s="380" t="s">
        <v>523</v>
      </c>
      <c r="C64" s="361">
        <f t="shared" si="1"/>
        <v>0</v>
      </c>
      <c r="D64" s="361">
        <f t="shared" si="2"/>
        <v>0</v>
      </c>
      <c r="E64" s="361">
        <f t="shared" si="3"/>
        <v>164381.78000000003</v>
      </c>
      <c r="F64" s="361">
        <f t="shared" si="4"/>
        <v>273933.67000000004</v>
      </c>
      <c r="G64" s="361">
        <f t="shared" si="5"/>
        <v>229284.83000000002</v>
      </c>
      <c r="H64" s="375">
        <v>0</v>
      </c>
      <c r="I64" s="375">
        <v>0</v>
      </c>
      <c r="J64" s="375">
        <v>0</v>
      </c>
      <c r="K64" s="375">
        <v>0</v>
      </c>
      <c r="L64" s="375">
        <v>0</v>
      </c>
      <c r="M64" s="375">
        <v>0</v>
      </c>
      <c r="N64" s="375">
        <v>0</v>
      </c>
      <c r="O64" s="375">
        <v>0</v>
      </c>
      <c r="P64" s="375">
        <v>42269.8</v>
      </c>
      <c r="Q64" s="375">
        <v>0</v>
      </c>
      <c r="R64" s="375">
        <v>98628.91</v>
      </c>
      <c r="S64" s="375">
        <v>23483.07</v>
      </c>
      <c r="T64" s="375">
        <v>87090.31</v>
      </c>
      <c r="U64" s="375">
        <v>49739.47</v>
      </c>
      <c r="V64" s="375">
        <v>55791.07</v>
      </c>
      <c r="W64" s="375">
        <v>81312.820000000007</v>
      </c>
      <c r="X64" s="375">
        <v>39282.910000000003</v>
      </c>
      <c r="Y64" s="375">
        <v>56765.73</v>
      </c>
      <c r="Z64" s="375">
        <v>62991.429999999993</v>
      </c>
      <c r="AA64" s="367">
        <v>70244.760000000009</v>
      </c>
      <c r="AB64" s="375">
        <v>-0.61999999993713573</v>
      </c>
      <c r="AC64" s="398">
        <v>667600.28</v>
      </c>
      <c r="AD64" s="398">
        <v>667599.66</v>
      </c>
      <c r="AE64" s="398">
        <v>-0.62</v>
      </c>
      <c r="AF64" s="344">
        <f t="shared" si="0"/>
        <v>1.15063008783697E-3</v>
      </c>
    </row>
    <row r="65" spans="1:32">
      <c r="A65" s="409" t="s">
        <v>580</v>
      </c>
      <c r="B65" s="377" t="s">
        <v>573</v>
      </c>
      <c r="C65" s="361">
        <f t="shared" si="1"/>
        <v>0</v>
      </c>
      <c r="D65" s="361">
        <f t="shared" si="2"/>
        <v>0</v>
      </c>
      <c r="E65" s="361">
        <f t="shared" si="3"/>
        <v>0</v>
      </c>
      <c r="F65" s="361">
        <f t="shared" si="4"/>
        <v>0</v>
      </c>
      <c r="G65" s="361">
        <f t="shared" si="5"/>
        <v>0</v>
      </c>
      <c r="H65" s="375">
        <v>0</v>
      </c>
      <c r="I65" s="375">
        <v>0</v>
      </c>
      <c r="J65" s="375">
        <v>0</v>
      </c>
      <c r="K65" s="375">
        <v>0</v>
      </c>
      <c r="L65" s="375">
        <v>0</v>
      </c>
      <c r="M65" s="375">
        <v>0</v>
      </c>
      <c r="N65" s="375">
        <v>0</v>
      </c>
      <c r="O65" s="375">
        <v>0</v>
      </c>
      <c r="P65" s="375">
        <v>0</v>
      </c>
      <c r="Q65" s="375">
        <v>0</v>
      </c>
      <c r="R65" s="375">
        <v>0</v>
      </c>
      <c r="S65" s="375">
        <v>0</v>
      </c>
      <c r="T65" s="375">
        <v>0</v>
      </c>
      <c r="U65" s="375">
        <v>0</v>
      </c>
      <c r="V65" s="375">
        <v>0</v>
      </c>
      <c r="W65" s="375">
        <v>0</v>
      </c>
      <c r="X65" s="375">
        <v>0</v>
      </c>
      <c r="Y65" s="375">
        <v>0</v>
      </c>
      <c r="Z65" s="375">
        <v>0</v>
      </c>
      <c r="AA65" s="367">
        <v>0</v>
      </c>
      <c r="AB65" s="375">
        <v>0</v>
      </c>
      <c r="AC65" s="398">
        <v>0</v>
      </c>
      <c r="AD65" s="398">
        <v>0</v>
      </c>
      <c r="AE65" s="398">
        <v>0</v>
      </c>
      <c r="AF65" s="344">
        <f t="shared" si="0"/>
        <v>0</v>
      </c>
    </row>
    <row r="66" spans="1:32" ht="25.5">
      <c r="A66" s="408" t="s">
        <v>586</v>
      </c>
      <c r="B66" s="382" t="s">
        <v>587</v>
      </c>
      <c r="C66" s="361">
        <f t="shared" si="1"/>
        <v>0</v>
      </c>
      <c r="D66" s="361">
        <f t="shared" si="2"/>
        <v>0</v>
      </c>
      <c r="E66" s="361">
        <f t="shared" si="3"/>
        <v>0</v>
      </c>
      <c r="F66" s="361">
        <f t="shared" si="4"/>
        <v>185365.99</v>
      </c>
      <c r="G66" s="361">
        <f t="shared" si="5"/>
        <v>4679222.08</v>
      </c>
      <c r="H66" s="371">
        <v>0</v>
      </c>
      <c r="I66" s="371">
        <v>0</v>
      </c>
      <c r="J66" s="371">
        <v>0</v>
      </c>
      <c r="K66" s="371">
        <v>0</v>
      </c>
      <c r="L66" s="371">
        <v>0</v>
      </c>
      <c r="M66" s="371">
        <v>0</v>
      </c>
      <c r="N66" s="371">
        <v>0</v>
      </c>
      <c r="O66" s="371">
        <v>0</v>
      </c>
      <c r="P66" s="371">
        <v>0</v>
      </c>
      <c r="Q66" s="403">
        <v>0</v>
      </c>
      <c r="R66" s="371">
        <v>0</v>
      </c>
      <c r="S66" s="371">
        <v>0</v>
      </c>
      <c r="T66" s="371">
        <v>0</v>
      </c>
      <c r="U66" s="371">
        <v>0</v>
      </c>
      <c r="V66" s="371">
        <v>185365.99</v>
      </c>
      <c r="W66" s="371">
        <v>0</v>
      </c>
      <c r="X66" s="371">
        <v>145716.51</v>
      </c>
      <c r="Y66" s="371">
        <v>0</v>
      </c>
      <c r="Z66" s="371">
        <v>0</v>
      </c>
      <c r="AA66" s="367">
        <v>4533505.57</v>
      </c>
      <c r="AB66" s="371">
        <v>18371.929999999953</v>
      </c>
      <c r="AC66" s="373">
        <v>4864588.07</v>
      </c>
      <c r="AD66" s="373">
        <v>4802229.71</v>
      </c>
      <c r="AE66" s="373">
        <v>-62358.36</v>
      </c>
      <c r="AF66" s="344">
        <f t="shared" si="0"/>
        <v>8.384270597182459E-3</v>
      </c>
    </row>
    <row r="67" spans="1:32">
      <c r="A67" s="409" t="s">
        <v>580</v>
      </c>
      <c r="B67" s="380" t="s">
        <v>588</v>
      </c>
      <c r="C67" s="361">
        <f t="shared" si="1"/>
        <v>0</v>
      </c>
      <c r="D67" s="361">
        <f t="shared" si="2"/>
        <v>0</v>
      </c>
      <c r="E67" s="361">
        <f t="shared" si="3"/>
        <v>0</v>
      </c>
      <c r="F67" s="361">
        <f t="shared" si="4"/>
        <v>185365.99</v>
      </c>
      <c r="G67" s="361">
        <f t="shared" si="5"/>
        <v>142544.79</v>
      </c>
      <c r="H67" s="375">
        <v>0</v>
      </c>
      <c r="I67" s="375">
        <v>0</v>
      </c>
      <c r="J67" s="375">
        <v>0</v>
      </c>
      <c r="K67" s="375">
        <v>0</v>
      </c>
      <c r="L67" s="375">
        <v>0</v>
      </c>
      <c r="M67" s="375">
        <v>0</v>
      </c>
      <c r="N67" s="375">
        <v>0</v>
      </c>
      <c r="O67" s="375">
        <v>0</v>
      </c>
      <c r="P67" s="375">
        <v>0</v>
      </c>
      <c r="Q67" s="375">
        <v>0</v>
      </c>
      <c r="R67" s="375">
        <v>0</v>
      </c>
      <c r="S67" s="375">
        <v>0</v>
      </c>
      <c r="T67" s="375">
        <v>0</v>
      </c>
      <c r="U67" s="375">
        <v>0</v>
      </c>
      <c r="V67" s="375">
        <v>185365.99</v>
      </c>
      <c r="W67" s="375">
        <v>0</v>
      </c>
      <c r="X67" s="375">
        <v>0</v>
      </c>
      <c r="Y67" s="375">
        <v>0</v>
      </c>
      <c r="Z67" s="375">
        <v>0</v>
      </c>
      <c r="AA67" s="367">
        <v>142544.79</v>
      </c>
      <c r="AB67" s="375">
        <v>2384.9700000000012</v>
      </c>
      <c r="AC67" s="398">
        <v>327910.78000000003</v>
      </c>
      <c r="AD67" s="398">
        <v>330295.75</v>
      </c>
      <c r="AE67" s="398">
        <v>2384.9699999999998</v>
      </c>
      <c r="AF67" s="344">
        <f t="shared" si="0"/>
        <v>5.6516454665670509E-4</v>
      </c>
    </row>
    <row r="68" spans="1:32">
      <c r="A68" s="409" t="s">
        <v>580</v>
      </c>
      <c r="B68" s="380" t="s">
        <v>589</v>
      </c>
      <c r="C68" s="361">
        <f t="shared" si="1"/>
        <v>0</v>
      </c>
      <c r="D68" s="361">
        <f t="shared" si="2"/>
        <v>0</v>
      </c>
      <c r="E68" s="361">
        <f t="shared" si="3"/>
        <v>0</v>
      </c>
      <c r="F68" s="361">
        <f t="shared" si="4"/>
        <v>0</v>
      </c>
      <c r="G68" s="361">
        <f t="shared" si="5"/>
        <v>0</v>
      </c>
      <c r="H68" s="375"/>
      <c r="I68" s="375"/>
      <c r="J68" s="375"/>
      <c r="K68" s="375"/>
      <c r="L68" s="375"/>
      <c r="M68" s="375"/>
      <c r="N68" s="375"/>
      <c r="O68" s="375"/>
      <c r="P68" s="375"/>
      <c r="Q68" s="375">
        <v>0</v>
      </c>
      <c r="R68" s="375">
        <v>0</v>
      </c>
      <c r="S68" s="375">
        <v>0</v>
      </c>
      <c r="T68" s="375">
        <v>0</v>
      </c>
      <c r="U68" s="375">
        <v>0</v>
      </c>
      <c r="V68" s="375">
        <v>0</v>
      </c>
      <c r="W68" s="375">
        <v>0</v>
      </c>
      <c r="X68" s="375">
        <v>0</v>
      </c>
      <c r="Y68" s="375">
        <v>0</v>
      </c>
      <c r="Z68" s="403">
        <v>0</v>
      </c>
      <c r="AA68" s="367">
        <v>0</v>
      </c>
      <c r="AB68" s="375">
        <v>15985.7</v>
      </c>
      <c r="AC68" s="398">
        <v>0</v>
      </c>
      <c r="AD68" s="398">
        <v>15985.7</v>
      </c>
      <c r="AE68" s="398">
        <v>15985.7</v>
      </c>
      <c r="AF68" s="344">
        <f t="shared" si="0"/>
        <v>0</v>
      </c>
    </row>
    <row r="69" spans="1:32">
      <c r="A69" s="409" t="s">
        <v>580</v>
      </c>
      <c r="B69" s="380" t="s">
        <v>590</v>
      </c>
      <c r="C69" s="361">
        <f t="shared" si="1"/>
        <v>0</v>
      </c>
      <c r="D69" s="361">
        <f t="shared" si="2"/>
        <v>0</v>
      </c>
      <c r="E69" s="361">
        <f t="shared" si="3"/>
        <v>0</v>
      </c>
      <c r="F69" s="361">
        <f t="shared" si="4"/>
        <v>0</v>
      </c>
      <c r="G69" s="361">
        <f t="shared" si="5"/>
        <v>1485504.5599999998</v>
      </c>
      <c r="H69" s="375"/>
      <c r="I69" s="375"/>
      <c r="J69" s="375"/>
      <c r="K69" s="375"/>
      <c r="L69" s="375"/>
      <c r="M69" s="375"/>
      <c r="N69" s="375"/>
      <c r="O69" s="375"/>
      <c r="P69" s="375"/>
      <c r="Q69" s="375">
        <v>0</v>
      </c>
      <c r="R69" s="375">
        <v>0</v>
      </c>
      <c r="S69" s="375">
        <v>0</v>
      </c>
      <c r="T69" s="375">
        <v>0</v>
      </c>
      <c r="U69" s="375">
        <v>0</v>
      </c>
      <c r="V69" s="375">
        <v>0</v>
      </c>
      <c r="W69" s="375">
        <v>0</v>
      </c>
      <c r="X69" s="375">
        <v>145716.51</v>
      </c>
      <c r="Y69" s="375">
        <v>0</v>
      </c>
      <c r="Z69" s="403">
        <v>0</v>
      </c>
      <c r="AA69" s="367">
        <v>1339788.0499999998</v>
      </c>
      <c r="AB69" s="375">
        <v>1.75</v>
      </c>
      <c r="AC69" s="398">
        <v>1485504.5599999998</v>
      </c>
      <c r="AD69" s="398">
        <v>1512529.5999999999</v>
      </c>
      <c r="AE69" s="398">
        <v>27025.040000000001</v>
      </c>
      <c r="AF69" s="344">
        <f t="shared" ref="AF69:AF132" si="6">AC69/$AC$556</f>
        <v>2.5603138488123752E-3</v>
      </c>
    </row>
    <row r="70" spans="1:32">
      <c r="A70" s="409" t="s">
        <v>580</v>
      </c>
      <c r="B70" s="380" t="s">
        <v>591</v>
      </c>
      <c r="C70" s="361">
        <f t="shared" ref="C70:C133" si="7">SUM(H70:K70)</f>
        <v>0</v>
      </c>
      <c r="D70" s="361">
        <f t="shared" ref="D70:D133" si="8">SUM(L70:O70)</f>
        <v>0</v>
      </c>
      <c r="E70" s="361">
        <f t="shared" ref="E70:E133" si="9">SUM(P70:S70)</f>
        <v>0</v>
      </c>
      <c r="F70" s="361">
        <f t="shared" ref="F70:F133" si="10">SUM(T70:W70)</f>
        <v>0</v>
      </c>
      <c r="G70" s="361">
        <f t="shared" ref="G70:G133" si="11">SUM(X70:AA70)</f>
        <v>370988.42000000004</v>
      </c>
      <c r="H70" s="375"/>
      <c r="I70" s="375"/>
      <c r="J70" s="375"/>
      <c r="K70" s="375"/>
      <c r="L70" s="375"/>
      <c r="M70" s="375"/>
      <c r="N70" s="375"/>
      <c r="O70" s="375"/>
      <c r="P70" s="375"/>
      <c r="Q70" s="375">
        <v>0</v>
      </c>
      <c r="R70" s="375">
        <v>0</v>
      </c>
      <c r="S70" s="375">
        <v>0</v>
      </c>
      <c r="T70" s="375">
        <v>0</v>
      </c>
      <c r="U70" s="375">
        <v>0</v>
      </c>
      <c r="V70" s="375">
        <v>0</v>
      </c>
      <c r="W70" s="375">
        <v>0</v>
      </c>
      <c r="X70" s="375">
        <v>0</v>
      </c>
      <c r="Y70" s="375">
        <v>0</v>
      </c>
      <c r="Z70" s="403">
        <v>0</v>
      </c>
      <c r="AA70" s="367">
        <v>370988.42000000004</v>
      </c>
      <c r="AB70" s="375">
        <v>-0.49000000004889444</v>
      </c>
      <c r="AC70" s="398">
        <v>370988.42000000004</v>
      </c>
      <c r="AD70" s="398">
        <v>350000</v>
      </c>
      <c r="AE70" s="398">
        <v>-20988.42</v>
      </c>
      <c r="AF70" s="344">
        <f t="shared" si="6"/>
        <v>6.3941021458394055E-4</v>
      </c>
    </row>
    <row r="71" spans="1:32">
      <c r="A71" s="409" t="s">
        <v>580</v>
      </c>
      <c r="B71" s="380" t="s">
        <v>592</v>
      </c>
      <c r="C71" s="361">
        <f t="shared" si="7"/>
        <v>0</v>
      </c>
      <c r="D71" s="361">
        <f t="shared" si="8"/>
        <v>0</v>
      </c>
      <c r="E71" s="361">
        <f t="shared" si="9"/>
        <v>0</v>
      </c>
      <c r="F71" s="361">
        <f t="shared" si="10"/>
        <v>0</v>
      </c>
      <c r="G71" s="361">
        <f t="shared" si="11"/>
        <v>2353671.38</v>
      </c>
      <c r="H71" s="375"/>
      <c r="I71" s="375"/>
      <c r="J71" s="375"/>
      <c r="K71" s="375"/>
      <c r="L71" s="375"/>
      <c r="M71" s="375"/>
      <c r="N71" s="375"/>
      <c r="O71" s="375"/>
      <c r="P71" s="375"/>
      <c r="Q71" s="375">
        <v>0</v>
      </c>
      <c r="R71" s="375">
        <v>0</v>
      </c>
      <c r="S71" s="375">
        <v>0</v>
      </c>
      <c r="T71" s="375">
        <v>0</v>
      </c>
      <c r="U71" s="375">
        <v>0</v>
      </c>
      <c r="V71" s="375">
        <v>0</v>
      </c>
      <c r="W71" s="375">
        <v>0</v>
      </c>
      <c r="X71" s="375">
        <v>0</v>
      </c>
      <c r="Y71" s="375">
        <v>0</v>
      </c>
      <c r="Z71" s="403">
        <v>0</v>
      </c>
      <c r="AA71" s="367">
        <v>2353671.38</v>
      </c>
      <c r="AB71" s="375">
        <v>0</v>
      </c>
      <c r="AC71" s="398">
        <v>2353671.38</v>
      </c>
      <c r="AD71" s="398">
        <v>1669360.71</v>
      </c>
      <c r="AE71" s="398">
        <v>-684310.67</v>
      </c>
      <c r="AF71" s="344">
        <f t="shared" si="6"/>
        <v>4.0566266789294377E-3</v>
      </c>
    </row>
    <row r="72" spans="1:32">
      <c r="A72" s="409" t="s">
        <v>580</v>
      </c>
      <c r="B72" s="380" t="s">
        <v>593</v>
      </c>
      <c r="C72" s="361">
        <f t="shared" si="7"/>
        <v>0</v>
      </c>
      <c r="D72" s="361">
        <f t="shared" si="8"/>
        <v>0</v>
      </c>
      <c r="E72" s="361">
        <f t="shared" si="9"/>
        <v>0</v>
      </c>
      <c r="F72" s="361">
        <f t="shared" si="10"/>
        <v>0</v>
      </c>
      <c r="G72" s="361">
        <f t="shared" si="11"/>
        <v>326512.93</v>
      </c>
      <c r="H72" s="375"/>
      <c r="I72" s="375"/>
      <c r="J72" s="375"/>
      <c r="K72" s="375"/>
      <c r="L72" s="375"/>
      <c r="M72" s="375"/>
      <c r="N72" s="375"/>
      <c r="O72" s="375"/>
      <c r="P72" s="375"/>
      <c r="Q72" s="375">
        <v>0</v>
      </c>
      <c r="R72" s="375">
        <v>0</v>
      </c>
      <c r="S72" s="375">
        <v>0</v>
      </c>
      <c r="T72" s="375">
        <v>0</v>
      </c>
      <c r="U72" s="375">
        <v>0</v>
      </c>
      <c r="V72" s="375">
        <v>0</v>
      </c>
      <c r="W72" s="375">
        <v>0</v>
      </c>
      <c r="X72" s="375">
        <v>0</v>
      </c>
      <c r="Y72" s="375">
        <v>0</v>
      </c>
      <c r="Z72" s="410">
        <v>0</v>
      </c>
      <c r="AA72" s="367">
        <v>326512.93</v>
      </c>
      <c r="AB72" s="375">
        <v>0</v>
      </c>
      <c r="AC72" s="398">
        <v>326512.93</v>
      </c>
      <c r="AD72" s="398">
        <v>324057.95</v>
      </c>
      <c r="AE72" s="398">
        <v>-2454.98</v>
      </c>
      <c r="AF72" s="344">
        <f t="shared" si="6"/>
        <v>5.627553082000002E-4</v>
      </c>
    </row>
    <row r="73" spans="1:32">
      <c r="A73" s="409" t="s">
        <v>580</v>
      </c>
      <c r="B73" s="380" t="s">
        <v>594</v>
      </c>
      <c r="C73" s="361">
        <f t="shared" si="7"/>
        <v>0</v>
      </c>
      <c r="D73" s="361">
        <f t="shared" si="8"/>
        <v>0</v>
      </c>
      <c r="E73" s="361">
        <f t="shared" si="9"/>
        <v>0</v>
      </c>
      <c r="F73" s="361">
        <f t="shared" si="10"/>
        <v>0</v>
      </c>
      <c r="G73" s="361">
        <f t="shared" si="11"/>
        <v>0</v>
      </c>
      <c r="H73" s="375"/>
      <c r="I73" s="375"/>
      <c r="J73" s="375"/>
      <c r="K73" s="375"/>
      <c r="L73" s="375"/>
      <c r="M73" s="375"/>
      <c r="N73" s="375"/>
      <c r="O73" s="375"/>
      <c r="P73" s="375"/>
      <c r="Q73" s="375">
        <v>0</v>
      </c>
      <c r="R73" s="375">
        <v>0</v>
      </c>
      <c r="S73" s="375">
        <v>0</v>
      </c>
      <c r="T73" s="375">
        <v>0</v>
      </c>
      <c r="U73" s="375">
        <v>0</v>
      </c>
      <c r="V73" s="375">
        <v>0</v>
      </c>
      <c r="W73" s="375">
        <v>0</v>
      </c>
      <c r="X73" s="375">
        <v>0</v>
      </c>
      <c r="Y73" s="375">
        <v>0</v>
      </c>
      <c r="Z73" s="403">
        <v>0</v>
      </c>
      <c r="AA73" s="367">
        <v>0</v>
      </c>
      <c r="AB73" s="375">
        <v>0</v>
      </c>
      <c r="AC73" s="398">
        <v>0</v>
      </c>
      <c r="AD73" s="398">
        <v>600000</v>
      </c>
      <c r="AE73" s="398">
        <v>600000</v>
      </c>
      <c r="AF73" s="344">
        <f t="shared" si="6"/>
        <v>0</v>
      </c>
    </row>
    <row r="74" spans="1:32">
      <c r="A74" s="408" t="s">
        <v>595</v>
      </c>
      <c r="B74" s="382" t="s">
        <v>596</v>
      </c>
      <c r="C74" s="361">
        <f t="shared" si="7"/>
        <v>0</v>
      </c>
      <c r="D74" s="361">
        <f t="shared" si="8"/>
        <v>0</v>
      </c>
      <c r="E74" s="361">
        <f t="shared" si="9"/>
        <v>41967.17</v>
      </c>
      <c r="F74" s="361">
        <f t="shared" si="10"/>
        <v>94658.41</v>
      </c>
      <c r="G74" s="361">
        <f t="shared" si="11"/>
        <v>263539.99</v>
      </c>
      <c r="H74" s="371">
        <v>0</v>
      </c>
      <c r="I74" s="371">
        <v>0</v>
      </c>
      <c r="J74" s="371">
        <v>0</v>
      </c>
      <c r="K74" s="371">
        <v>0</v>
      </c>
      <c r="L74" s="371">
        <v>0</v>
      </c>
      <c r="M74" s="371">
        <v>0</v>
      </c>
      <c r="N74" s="371">
        <v>0</v>
      </c>
      <c r="O74" s="371">
        <v>0</v>
      </c>
      <c r="P74" s="371">
        <v>0</v>
      </c>
      <c r="Q74" s="403">
        <v>0</v>
      </c>
      <c r="R74" s="371">
        <v>26170.11</v>
      </c>
      <c r="S74" s="371">
        <v>15797.06</v>
      </c>
      <c r="T74" s="371">
        <v>1855.66</v>
      </c>
      <c r="U74" s="371">
        <v>37986.47</v>
      </c>
      <c r="V74" s="371">
        <v>20333.25</v>
      </c>
      <c r="W74" s="371">
        <v>34483.030000000006</v>
      </c>
      <c r="X74" s="371">
        <v>21941.16</v>
      </c>
      <c r="Y74" s="371">
        <v>13627.77</v>
      </c>
      <c r="Z74" s="371">
        <v>56208.87999999999</v>
      </c>
      <c r="AA74" s="367">
        <v>171762.18</v>
      </c>
      <c r="AB74" s="371">
        <v>2.6044943979286472E-11</v>
      </c>
      <c r="AC74" s="373">
        <v>400165.57</v>
      </c>
      <c r="AD74" s="373">
        <v>1171930.9000000001</v>
      </c>
      <c r="AE74" s="373">
        <v>771765.33</v>
      </c>
      <c r="AF74" s="344">
        <f t="shared" si="6"/>
        <v>6.8969795063362051E-4</v>
      </c>
    </row>
    <row r="75" spans="1:32">
      <c r="A75" s="409" t="s">
        <v>579</v>
      </c>
      <c r="B75" s="380" t="s">
        <v>597</v>
      </c>
      <c r="C75" s="361">
        <f t="shared" si="7"/>
        <v>0</v>
      </c>
      <c r="D75" s="361">
        <f t="shared" si="8"/>
        <v>0</v>
      </c>
      <c r="E75" s="361">
        <f t="shared" si="9"/>
        <v>41967.17</v>
      </c>
      <c r="F75" s="361">
        <f t="shared" si="10"/>
        <v>25521.13</v>
      </c>
      <c r="G75" s="361">
        <f t="shared" si="11"/>
        <v>181035.27</v>
      </c>
      <c r="H75" s="375">
        <v>0</v>
      </c>
      <c r="I75" s="375">
        <v>0</v>
      </c>
      <c r="J75" s="375">
        <v>0</v>
      </c>
      <c r="K75" s="375">
        <v>0</v>
      </c>
      <c r="L75" s="375">
        <v>0</v>
      </c>
      <c r="M75" s="375">
        <v>0</v>
      </c>
      <c r="N75" s="375">
        <v>0</v>
      </c>
      <c r="O75" s="375">
        <v>0</v>
      </c>
      <c r="P75" s="375">
        <v>0</v>
      </c>
      <c r="Q75" s="375">
        <v>0</v>
      </c>
      <c r="R75" s="375">
        <v>26170.11</v>
      </c>
      <c r="S75" s="375">
        <v>15797.06</v>
      </c>
      <c r="T75" s="375">
        <v>927.83</v>
      </c>
      <c r="U75" s="375">
        <v>0</v>
      </c>
      <c r="V75" s="375">
        <v>2115.85</v>
      </c>
      <c r="W75" s="375">
        <v>22477.45</v>
      </c>
      <c r="X75" s="375">
        <v>0</v>
      </c>
      <c r="Y75" s="375">
        <v>13627.77</v>
      </c>
      <c r="Z75" s="375">
        <v>4294.97</v>
      </c>
      <c r="AA75" s="367">
        <v>163112.53</v>
      </c>
      <c r="AB75" s="375">
        <v>3.2596148002994596E-11</v>
      </c>
      <c r="AC75" s="398">
        <v>248508.73</v>
      </c>
      <c r="AD75" s="398">
        <v>1016101.23</v>
      </c>
      <c r="AE75" s="398">
        <v>767592.5</v>
      </c>
      <c r="AF75" s="344">
        <f t="shared" si="6"/>
        <v>4.2831261518966692E-4</v>
      </c>
    </row>
    <row r="76" spans="1:32">
      <c r="A76" s="409" t="s">
        <v>580</v>
      </c>
      <c r="B76" s="380" t="s">
        <v>598</v>
      </c>
      <c r="C76" s="361">
        <f t="shared" si="7"/>
        <v>0</v>
      </c>
      <c r="D76" s="361">
        <f t="shared" si="8"/>
        <v>0</v>
      </c>
      <c r="E76" s="361">
        <f t="shared" si="9"/>
        <v>0</v>
      </c>
      <c r="F76" s="361">
        <f t="shared" si="10"/>
        <v>23280.910000000003</v>
      </c>
      <c r="G76" s="361">
        <f t="shared" si="11"/>
        <v>20503.269999999997</v>
      </c>
      <c r="H76" s="375">
        <v>0</v>
      </c>
      <c r="I76" s="375">
        <v>0</v>
      </c>
      <c r="J76" s="375">
        <v>0</v>
      </c>
      <c r="K76" s="375">
        <v>0</v>
      </c>
      <c r="L76" s="375">
        <v>0</v>
      </c>
      <c r="M76" s="375">
        <v>0</v>
      </c>
      <c r="N76" s="375">
        <v>0</v>
      </c>
      <c r="O76" s="375">
        <v>0</v>
      </c>
      <c r="P76" s="375">
        <v>0</v>
      </c>
      <c r="Q76" s="375">
        <v>0</v>
      </c>
      <c r="R76" s="375">
        <v>0</v>
      </c>
      <c r="S76" s="375">
        <v>0</v>
      </c>
      <c r="T76" s="375">
        <v>927.83</v>
      </c>
      <c r="U76" s="375">
        <v>22353.08</v>
      </c>
      <c r="V76" s="375">
        <v>0</v>
      </c>
      <c r="W76" s="375">
        <v>0</v>
      </c>
      <c r="X76" s="375">
        <v>0</v>
      </c>
      <c r="Y76" s="375">
        <v>0</v>
      </c>
      <c r="Z76" s="375">
        <v>20503.269999999997</v>
      </c>
      <c r="AA76" s="367">
        <v>0</v>
      </c>
      <c r="AB76" s="375">
        <v>7.2475359047530219E-13</v>
      </c>
      <c r="AC76" s="398">
        <v>43747.88</v>
      </c>
      <c r="AD76" s="398">
        <v>43357.61</v>
      </c>
      <c r="AE76" s="398">
        <v>-390.27</v>
      </c>
      <c r="AF76" s="344">
        <f t="shared" si="6"/>
        <v>7.5400847655548051E-5</v>
      </c>
    </row>
    <row r="77" spans="1:32">
      <c r="A77" s="409" t="s">
        <v>599</v>
      </c>
      <c r="B77" s="380" t="s">
        <v>600</v>
      </c>
      <c r="C77" s="361">
        <f t="shared" si="7"/>
        <v>0</v>
      </c>
      <c r="D77" s="361">
        <f t="shared" si="8"/>
        <v>0</v>
      </c>
      <c r="E77" s="361">
        <f t="shared" si="9"/>
        <v>0</v>
      </c>
      <c r="F77" s="361">
        <f t="shared" si="10"/>
        <v>45856.369999999995</v>
      </c>
      <c r="G77" s="361">
        <f t="shared" si="11"/>
        <v>62001.450000000004</v>
      </c>
      <c r="H77" s="375"/>
      <c r="I77" s="375"/>
      <c r="J77" s="375"/>
      <c r="K77" s="375"/>
      <c r="L77" s="375"/>
      <c r="M77" s="375"/>
      <c r="N77" s="375"/>
      <c r="O77" s="375"/>
      <c r="P77" s="375"/>
      <c r="Q77" s="375">
        <v>0</v>
      </c>
      <c r="R77" s="375">
        <v>0</v>
      </c>
      <c r="S77" s="375">
        <v>0</v>
      </c>
      <c r="T77" s="375">
        <v>0</v>
      </c>
      <c r="U77" s="375">
        <v>15633.39</v>
      </c>
      <c r="V77" s="375">
        <v>18217.400000000001</v>
      </c>
      <c r="W77" s="375">
        <v>12005.579999999998</v>
      </c>
      <c r="X77" s="375">
        <v>21941.16</v>
      </c>
      <c r="Y77" s="375">
        <v>0</v>
      </c>
      <c r="Z77" s="375">
        <v>31410.639999999999</v>
      </c>
      <c r="AA77" s="367">
        <v>8649.65</v>
      </c>
      <c r="AB77" s="375">
        <v>-7.2759576141834259E-12</v>
      </c>
      <c r="AC77" s="398">
        <v>107857.81999999999</v>
      </c>
      <c r="AD77" s="398">
        <v>112472.06</v>
      </c>
      <c r="AE77" s="398">
        <v>4614.24</v>
      </c>
      <c r="AF77" s="344">
        <f t="shared" si="6"/>
        <v>1.8589634638934558E-4</v>
      </c>
    </row>
    <row r="78" spans="1:32" ht="25.5">
      <c r="A78" s="390" t="s">
        <v>601</v>
      </c>
      <c r="B78" s="391" t="s">
        <v>602</v>
      </c>
      <c r="C78" s="361">
        <f t="shared" si="7"/>
        <v>0</v>
      </c>
      <c r="D78" s="361">
        <f t="shared" si="8"/>
        <v>143687.44</v>
      </c>
      <c r="E78" s="361">
        <f t="shared" si="9"/>
        <v>0</v>
      </c>
      <c r="F78" s="361">
        <f t="shared" si="10"/>
        <v>0</v>
      </c>
      <c r="G78" s="361">
        <f t="shared" si="11"/>
        <v>0</v>
      </c>
      <c r="H78" s="394">
        <v>0</v>
      </c>
      <c r="I78" s="394">
        <v>0</v>
      </c>
      <c r="J78" s="394">
        <v>0</v>
      </c>
      <c r="K78" s="394">
        <v>0</v>
      </c>
      <c r="L78" s="394">
        <v>0</v>
      </c>
      <c r="M78" s="394">
        <v>143687.44</v>
      </c>
      <c r="N78" s="394">
        <v>0</v>
      </c>
      <c r="O78" s="394">
        <v>0</v>
      </c>
      <c r="P78" s="394">
        <v>0</v>
      </c>
      <c r="Q78" s="394">
        <v>0</v>
      </c>
      <c r="R78" s="394">
        <v>0</v>
      </c>
      <c r="S78" s="394">
        <v>0</v>
      </c>
      <c r="T78" s="394">
        <v>0</v>
      </c>
      <c r="U78" s="394">
        <v>0</v>
      </c>
      <c r="V78" s="394">
        <v>0</v>
      </c>
      <c r="W78" s="394">
        <v>0</v>
      </c>
      <c r="X78" s="394">
        <v>0</v>
      </c>
      <c r="Y78" s="394">
        <v>0</v>
      </c>
      <c r="Z78" s="394">
        <v>0</v>
      </c>
      <c r="AA78" s="392">
        <v>0</v>
      </c>
      <c r="AB78" s="394">
        <v>-0.36000000001513399</v>
      </c>
      <c r="AC78" s="373">
        <v>143687.44</v>
      </c>
      <c r="AD78" s="373">
        <v>143687.07999999999</v>
      </c>
      <c r="AE78" s="373">
        <v>-0.36</v>
      </c>
      <c r="AF78" s="344">
        <f t="shared" si="6"/>
        <v>2.4764982379616346E-4</v>
      </c>
    </row>
    <row r="79" spans="1:32" ht="25.5">
      <c r="A79" s="390" t="s">
        <v>603</v>
      </c>
      <c r="B79" s="391" t="s">
        <v>604</v>
      </c>
      <c r="C79" s="361">
        <f t="shared" si="7"/>
        <v>0</v>
      </c>
      <c r="D79" s="361">
        <f t="shared" si="8"/>
        <v>0</v>
      </c>
      <c r="E79" s="361">
        <f t="shared" si="9"/>
        <v>663336.64</v>
      </c>
      <c r="F79" s="361">
        <f t="shared" si="10"/>
        <v>1599137.44</v>
      </c>
      <c r="G79" s="361">
        <f t="shared" si="11"/>
        <v>0</v>
      </c>
      <c r="H79" s="394">
        <v>0</v>
      </c>
      <c r="I79" s="394">
        <v>0</v>
      </c>
      <c r="J79" s="394">
        <v>0</v>
      </c>
      <c r="K79" s="394">
        <v>0</v>
      </c>
      <c r="L79" s="394">
        <v>0</v>
      </c>
      <c r="M79" s="394">
        <v>0</v>
      </c>
      <c r="N79" s="394">
        <v>0</v>
      </c>
      <c r="O79" s="394">
        <v>0</v>
      </c>
      <c r="P79" s="394">
        <v>0</v>
      </c>
      <c r="Q79" s="394">
        <v>300400.42000000004</v>
      </c>
      <c r="R79" s="394">
        <v>287895.13</v>
      </c>
      <c r="S79" s="394">
        <v>75041.090000000011</v>
      </c>
      <c r="T79" s="394">
        <v>349914.16000000003</v>
      </c>
      <c r="U79" s="394">
        <v>412592.63000000006</v>
      </c>
      <c r="V79" s="394">
        <v>836630.64999999991</v>
      </c>
      <c r="W79" s="394">
        <v>0</v>
      </c>
      <c r="X79" s="394">
        <v>0</v>
      </c>
      <c r="Y79" s="394">
        <v>0</v>
      </c>
      <c r="Z79" s="394">
        <v>0</v>
      </c>
      <c r="AA79" s="392">
        <v>0</v>
      </c>
      <c r="AB79" s="394">
        <v>0</v>
      </c>
      <c r="AC79" s="373">
        <v>2262474.08</v>
      </c>
      <c r="AD79" s="373">
        <v>2262474.08</v>
      </c>
      <c r="AE79" s="373">
        <v>0</v>
      </c>
      <c r="AF79" s="344">
        <f t="shared" si="6"/>
        <v>3.8994452629637424E-3</v>
      </c>
    </row>
    <row r="80" spans="1:32">
      <c r="A80" s="393" t="s">
        <v>605</v>
      </c>
      <c r="B80" s="391" t="s">
        <v>606</v>
      </c>
      <c r="C80" s="361">
        <f t="shared" si="7"/>
        <v>0</v>
      </c>
      <c r="D80" s="361">
        <f t="shared" si="8"/>
        <v>2684234.36</v>
      </c>
      <c r="E80" s="361">
        <f t="shared" si="9"/>
        <v>430297.98000000004</v>
      </c>
      <c r="F80" s="361">
        <f t="shared" si="10"/>
        <v>2470633.0900000003</v>
      </c>
      <c r="G80" s="361">
        <f t="shared" si="11"/>
        <v>1572561.9000000001</v>
      </c>
      <c r="H80" s="394">
        <v>0</v>
      </c>
      <c r="I80" s="394">
        <v>0</v>
      </c>
      <c r="J80" s="394">
        <v>0</v>
      </c>
      <c r="K80" s="394">
        <v>0</v>
      </c>
      <c r="L80" s="394">
        <v>14758.880000000001</v>
      </c>
      <c r="M80" s="394">
        <v>0</v>
      </c>
      <c r="N80" s="394">
        <v>3993.43</v>
      </c>
      <c r="O80" s="394">
        <v>2665482.0499999998</v>
      </c>
      <c r="P80" s="394">
        <v>0</v>
      </c>
      <c r="Q80" s="395">
        <v>0</v>
      </c>
      <c r="R80" s="394">
        <v>324844.15000000002</v>
      </c>
      <c r="S80" s="394">
        <v>105453.83</v>
      </c>
      <c r="T80" s="394">
        <v>3736.43</v>
      </c>
      <c r="U80" s="394">
        <v>17000</v>
      </c>
      <c r="V80" s="394">
        <v>2449896.66</v>
      </c>
      <c r="W80" s="394">
        <v>0</v>
      </c>
      <c r="X80" s="394">
        <v>0</v>
      </c>
      <c r="Y80" s="394">
        <v>0</v>
      </c>
      <c r="Z80" s="394">
        <v>1464032.57</v>
      </c>
      <c r="AA80" s="392">
        <v>108529.33</v>
      </c>
      <c r="AB80" s="394">
        <v>-6.9849193096160889E-10</v>
      </c>
      <c r="AC80" s="373">
        <v>7157727.3300000001</v>
      </c>
      <c r="AD80" s="373">
        <v>7244593.0300000003</v>
      </c>
      <c r="AE80" s="373">
        <v>86865.7</v>
      </c>
      <c r="AF80" s="344">
        <f t="shared" si="6"/>
        <v>1.2336568262719994E-2</v>
      </c>
    </row>
    <row r="81" spans="1:32">
      <c r="A81" s="411" t="s">
        <v>607</v>
      </c>
      <c r="B81" s="412" t="s">
        <v>608</v>
      </c>
      <c r="C81" s="361">
        <f t="shared" si="7"/>
        <v>0</v>
      </c>
      <c r="D81" s="361">
        <f t="shared" si="8"/>
        <v>2684234.36</v>
      </c>
      <c r="E81" s="361">
        <f t="shared" si="9"/>
        <v>430297.98000000004</v>
      </c>
      <c r="F81" s="361">
        <f t="shared" si="10"/>
        <v>2470633.0900000003</v>
      </c>
      <c r="G81" s="361">
        <f t="shared" si="11"/>
        <v>1464032.57</v>
      </c>
      <c r="H81" s="371">
        <v>0</v>
      </c>
      <c r="I81" s="371">
        <v>0</v>
      </c>
      <c r="J81" s="371">
        <v>0</v>
      </c>
      <c r="K81" s="371">
        <v>0</v>
      </c>
      <c r="L81" s="371">
        <v>14758.880000000001</v>
      </c>
      <c r="M81" s="371">
        <v>0</v>
      </c>
      <c r="N81" s="371">
        <v>3993.43</v>
      </c>
      <c r="O81" s="371">
        <v>2665482.0499999998</v>
      </c>
      <c r="P81" s="371">
        <v>0</v>
      </c>
      <c r="Q81" s="403">
        <v>0</v>
      </c>
      <c r="R81" s="371">
        <v>324844.15000000002</v>
      </c>
      <c r="S81" s="371">
        <v>105453.83</v>
      </c>
      <c r="T81" s="371">
        <v>3736.43</v>
      </c>
      <c r="U81" s="371">
        <v>17000</v>
      </c>
      <c r="V81" s="371">
        <v>2449896.66</v>
      </c>
      <c r="W81" s="371">
        <v>0</v>
      </c>
      <c r="X81" s="371">
        <v>0</v>
      </c>
      <c r="Y81" s="371">
        <v>0</v>
      </c>
      <c r="Z81" s="371">
        <v>1464032.57</v>
      </c>
      <c r="AA81" s="367">
        <v>0</v>
      </c>
      <c r="AB81" s="371">
        <v>-6.9849193096160889E-10</v>
      </c>
      <c r="AC81" s="373">
        <v>7049198</v>
      </c>
      <c r="AD81" s="373">
        <v>7136063.7000000002</v>
      </c>
      <c r="AE81" s="373">
        <v>86865.7</v>
      </c>
      <c r="AF81" s="344">
        <f t="shared" si="6"/>
        <v>1.2149514547717377E-2</v>
      </c>
    </row>
    <row r="82" spans="1:32">
      <c r="A82" s="413" t="s">
        <v>607</v>
      </c>
      <c r="B82" s="380" t="s">
        <v>609</v>
      </c>
      <c r="C82" s="361">
        <f t="shared" si="7"/>
        <v>0</v>
      </c>
      <c r="D82" s="361">
        <f t="shared" si="8"/>
        <v>2665482.0499999998</v>
      </c>
      <c r="E82" s="361">
        <f t="shared" si="9"/>
        <v>430297.98000000004</v>
      </c>
      <c r="F82" s="361">
        <f t="shared" si="10"/>
        <v>2448816.66</v>
      </c>
      <c r="G82" s="361">
        <f t="shared" si="11"/>
        <v>1464032.57</v>
      </c>
      <c r="H82" s="403">
        <v>0</v>
      </c>
      <c r="I82" s="403">
        <v>0</v>
      </c>
      <c r="J82" s="403">
        <v>0</v>
      </c>
      <c r="K82" s="403">
        <v>0</v>
      </c>
      <c r="L82" s="403">
        <v>0</v>
      </c>
      <c r="M82" s="403">
        <v>0</v>
      </c>
      <c r="N82" s="403">
        <v>0</v>
      </c>
      <c r="O82" s="403">
        <v>2665482.0499999998</v>
      </c>
      <c r="P82" s="403">
        <v>0</v>
      </c>
      <c r="Q82" s="403">
        <v>0</v>
      </c>
      <c r="R82" s="403">
        <v>324844.15000000002</v>
      </c>
      <c r="S82" s="403">
        <v>105453.83</v>
      </c>
      <c r="T82" s="403">
        <v>0</v>
      </c>
      <c r="U82" s="403">
        <v>0</v>
      </c>
      <c r="V82" s="403">
        <v>2448816.66</v>
      </c>
      <c r="W82" s="403">
        <v>0</v>
      </c>
      <c r="X82" s="403">
        <v>0</v>
      </c>
      <c r="Y82" s="403">
        <v>0</v>
      </c>
      <c r="Z82" s="410">
        <v>1464032.57</v>
      </c>
      <c r="AA82" s="367">
        <v>0</v>
      </c>
      <c r="AB82" s="403">
        <v>-6.9849193096160889E-10</v>
      </c>
      <c r="AC82" s="398">
        <v>7008629.2600000007</v>
      </c>
      <c r="AD82" s="398">
        <v>6998483</v>
      </c>
      <c r="AE82" s="398">
        <v>-10146.26</v>
      </c>
      <c r="AF82" s="344">
        <f t="shared" si="6"/>
        <v>1.2079593047879728E-2</v>
      </c>
    </row>
    <row r="83" spans="1:32">
      <c r="A83" s="413" t="s">
        <v>610</v>
      </c>
      <c r="B83" s="380" t="s">
        <v>611</v>
      </c>
      <c r="C83" s="361">
        <f t="shared" si="7"/>
        <v>0</v>
      </c>
      <c r="D83" s="361">
        <f t="shared" si="8"/>
        <v>0</v>
      </c>
      <c r="E83" s="361">
        <f t="shared" si="9"/>
        <v>0</v>
      </c>
      <c r="F83" s="361">
        <f t="shared" si="10"/>
        <v>0</v>
      </c>
      <c r="G83" s="361">
        <f t="shared" si="11"/>
        <v>0</v>
      </c>
      <c r="H83" s="403">
        <v>0</v>
      </c>
      <c r="I83" s="403">
        <v>0</v>
      </c>
      <c r="J83" s="403">
        <v>0</v>
      </c>
      <c r="K83" s="403">
        <v>0</v>
      </c>
      <c r="L83" s="403">
        <v>0</v>
      </c>
      <c r="M83" s="403">
        <v>0</v>
      </c>
      <c r="N83" s="403">
        <v>0</v>
      </c>
      <c r="O83" s="403">
        <v>0</v>
      </c>
      <c r="P83" s="403">
        <v>0</v>
      </c>
      <c r="Q83" s="403">
        <v>0</v>
      </c>
      <c r="R83" s="403">
        <v>0</v>
      </c>
      <c r="S83" s="403">
        <v>0</v>
      </c>
      <c r="T83" s="403">
        <v>0</v>
      </c>
      <c r="U83" s="403">
        <v>0</v>
      </c>
      <c r="V83" s="403">
        <v>0</v>
      </c>
      <c r="W83" s="403">
        <v>0</v>
      </c>
      <c r="X83" s="403">
        <v>0</v>
      </c>
      <c r="Y83" s="403">
        <v>0</v>
      </c>
      <c r="Z83" s="403">
        <v>0</v>
      </c>
      <c r="AA83" s="367">
        <v>0</v>
      </c>
      <c r="AB83" s="403">
        <v>0</v>
      </c>
      <c r="AC83" s="398">
        <v>0</v>
      </c>
      <c r="AD83" s="398">
        <v>0</v>
      </c>
      <c r="AE83" s="398">
        <v>0</v>
      </c>
      <c r="AF83" s="344">
        <f t="shared" si="6"/>
        <v>0</v>
      </c>
    </row>
    <row r="84" spans="1:32" ht="25.5">
      <c r="A84" s="413" t="s">
        <v>612</v>
      </c>
      <c r="B84" s="380" t="s">
        <v>613</v>
      </c>
      <c r="C84" s="361">
        <f t="shared" si="7"/>
        <v>0</v>
      </c>
      <c r="D84" s="361">
        <f t="shared" si="8"/>
        <v>18752.310000000001</v>
      </c>
      <c r="E84" s="361">
        <f t="shared" si="9"/>
        <v>0</v>
      </c>
      <c r="F84" s="361">
        <f t="shared" si="10"/>
        <v>21816.43</v>
      </c>
      <c r="G84" s="361">
        <f t="shared" si="11"/>
        <v>0</v>
      </c>
      <c r="H84" s="403">
        <v>0</v>
      </c>
      <c r="I84" s="403">
        <v>0</v>
      </c>
      <c r="J84" s="403">
        <v>0</v>
      </c>
      <c r="K84" s="403">
        <v>0</v>
      </c>
      <c r="L84" s="403">
        <v>14758.880000000001</v>
      </c>
      <c r="M84" s="403">
        <v>0</v>
      </c>
      <c r="N84" s="403">
        <v>3993.43</v>
      </c>
      <c r="O84" s="403">
        <v>0</v>
      </c>
      <c r="P84" s="403">
        <v>0</v>
      </c>
      <c r="Q84" s="403">
        <v>0</v>
      </c>
      <c r="R84" s="403">
        <v>0</v>
      </c>
      <c r="S84" s="403">
        <v>0</v>
      </c>
      <c r="T84" s="403">
        <v>3736.43</v>
      </c>
      <c r="U84" s="403">
        <v>17000</v>
      </c>
      <c r="V84" s="403">
        <v>1080</v>
      </c>
      <c r="W84" s="403">
        <v>0</v>
      </c>
      <c r="X84" s="403">
        <v>0</v>
      </c>
      <c r="Y84" s="403">
        <v>0</v>
      </c>
      <c r="Z84" s="403">
        <v>0</v>
      </c>
      <c r="AA84" s="367">
        <v>0</v>
      </c>
      <c r="AB84" s="403">
        <v>0</v>
      </c>
      <c r="AC84" s="398">
        <v>40568.74</v>
      </c>
      <c r="AD84" s="398">
        <v>137580.69999999998</v>
      </c>
      <c r="AE84" s="398">
        <v>97011.96</v>
      </c>
      <c r="AF84" s="344">
        <f t="shared" si="6"/>
        <v>6.9921499837650162E-5</v>
      </c>
    </row>
    <row r="85" spans="1:32">
      <c r="A85" s="411" t="s">
        <v>614</v>
      </c>
      <c r="B85" s="414" t="s">
        <v>615</v>
      </c>
      <c r="C85" s="361">
        <f t="shared" si="7"/>
        <v>0</v>
      </c>
      <c r="D85" s="361">
        <f t="shared" si="8"/>
        <v>0</v>
      </c>
      <c r="E85" s="361">
        <f t="shared" si="9"/>
        <v>0</v>
      </c>
      <c r="F85" s="361">
        <f t="shared" si="10"/>
        <v>0</v>
      </c>
      <c r="G85" s="361">
        <f t="shared" si="11"/>
        <v>108529.33</v>
      </c>
      <c r="H85" s="371">
        <v>0</v>
      </c>
      <c r="I85" s="371">
        <v>0</v>
      </c>
      <c r="J85" s="371">
        <v>0</v>
      </c>
      <c r="K85" s="371">
        <v>0</v>
      </c>
      <c r="L85" s="371">
        <v>0</v>
      </c>
      <c r="M85" s="371">
        <v>0</v>
      </c>
      <c r="N85" s="371">
        <v>0</v>
      </c>
      <c r="O85" s="371">
        <v>0</v>
      </c>
      <c r="P85" s="371">
        <v>0</v>
      </c>
      <c r="Q85" s="371">
        <v>0</v>
      </c>
      <c r="R85" s="371">
        <v>0</v>
      </c>
      <c r="S85" s="371">
        <v>0</v>
      </c>
      <c r="T85" s="371">
        <v>0</v>
      </c>
      <c r="U85" s="371">
        <v>0</v>
      </c>
      <c r="V85" s="371">
        <v>0</v>
      </c>
      <c r="W85" s="371">
        <v>0</v>
      </c>
      <c r="X85" s="371">
        <v>0</v>
      </c>
      <c r="Y85" s="371">
        <v>0</v>
      </c>
      <c r="Z85" s="372">
        <v>0</v>
      </c>
      <c r="AA85" s="367">
        <v>108529.33</v>
      </c>
      <c r="AB85" s="371">
        <v>0</v>
      </c>
      <c r="AC85" s="373">
        <v>108529.33</v>
      </c>
      <c r="AD85" s="373">
        <v>108529.33</v>
      </c>
      <c r="AE85" s="373">
        <v>0</v>
      </c>
      <c r="AF85" s="344">
        <f t="shared" si="6"/>
        <v>1.8705371500261732E-4</v>
      </c>
    </row>
    <row r="86" spans="1:32" ht="25.5">
      <c r="A86" s="390" t="s">
        <v>616</v>
      </c>
      <c r="B86" s="391" t="s">
        <v>617</v>
      </c>
      <c r="C86" s="361">
        <f t="shared" si="7"/>
        <v>0</v>
      </c>
      <c r="D86" s="361">
        <f t="shared" si="8"/>
        <v>0</v>
      </c>
      <c r="E86" s="361">
        <f t="shared" si="9"/>
        <v>0</v>
      </c>
      <c r="F86" s="361">
        <f t="shared" si="10"/>
        <v>0</v>
      </c>
      <c r="G86" s="361">
        <f t="shared" si="11"/>
        <v>2876292.82</v>
      </c>
      <c r="H86" s="394">
        <v>0</v>
      </c>
      <c r="I86" s="394">
        <v>0</v>
      </c>
      <c r="J86" s="394">
        <v>0</v>
      </c>
      <c r="K86" s="394">
        <v>0</v>
      </c>
      <c r="L86" s="394">
        <v>0</v>
      </c>
      <c r="M86" s="394">
        <v>0</v>
      </c>
      <c r="N86" s="394">
        <v>0</v>
      </c>
      <c r="O86" s="394">
        <v>0</v>
      </c>
      <c r="P86" s="394">
        <v>0</v>
      </c>
      <c r="Q86" s="395">
        <v>0</v>
      </c>
      <c r="R86" s="394">
        <v>0</v>
      </c>
      <c r="S86" s="394">
        <v>0</v>
      </c>
      <c r="T86" s="394">
        <v>0</v>
      </c>
      <c r="U86" s="394">
        <v>0</v>
      </c>
      <c r="V86" s="394">
        <v>0</v>
      </c>
      <c r="W86" s="394">
        <v>0</v>
      </c>
      <c r="X86" s="394">
        <v>0</v>
      </c>
      <c r="Y86" s="394">
        <v>0</v>
      </c>
      <c r="Z86" s="394">
        <v>3909.4500000000003</v>
      </c>
      <c r="AA86" s="392">
        <v>2872383.3699999996</v>
      </c>
      <c r="AB86" s="394">
        <v>849126.47</v>
      </c>
      <c r="AC86" s="373">
        <v>2876292.82</v>
      </c>
      <c r="AD86" s="373">
        <v>2979184</v>
      </c>
      <c r="AE86" s="373">
        <v>102891.18</v>
      </c>
      <c r="AF86" s="344">
        <f t="shared" si="6"/>
        <v>4.9573811744378629E-3</v>
      </c>
    </row>
    <row r="87" spans="1:32" ht="25.5">
      <c r="A87" s="370" t="s">
        <v>618</v>
      </c>
      <c r="B87" s="412" t="s">
        <v>619</v>
      </c>
      <c r="C87" s="361">
        <f t="shared" si="7"/>
        <v>0</v>
      </c>
      <c r="D87" s="361">
        <f t="shared" si="8"/>
        <v>0</v>
      </c>
      <c r="E87" s="361">
        <f t="shared" si="9"/>
        <v>0</v>
      </c>
      <c r="F87" s="361">
        <f t="shared" si="10"/>
        <v>0</v>
      </c>
      <c r="G87" s="361">
        <f t="shared" si="11"/>
        <v>1637727.155151515</v>
      </c>
      <c r="H87" s="371">
        <v>0</v>
      </c>
      <c r="I87" s="371">
        <v>0</v>
      </c>
      <c r="J87" s="371">
        <v>0</v>
      </c>
      <c r="K87" s="371">
        <v>0</v>
      </c>
      <c r="L87" s="371">
        <v>0</v>
      </c>
      <c r="M87" s="371">
        <v>0</v>
      </c>
      <c r="N87" s="371">
        <v>0</v>
      </c>
      <c r="O87" s="371">
        <v>0</v>
      </c>
      <c r="P87" s="371">
        <v>0</v>
      </c>
      <c r="Q87" s="371">
        <v>0</v>
      </c>
      <c r="R87" s="371">
        <v>0</v>
      </c>
      <c r="S87" s="371">
        <v>0</v>
      </c>
      <c r="T87" s="371">
        <v>0</v>
      </c>
      <c r="U87" s="371">
        <v>0</v>
      </c>
      <c r="V87" s="371">
        <v>0</v>
      </c>
      <c r="W87" s="371">
        <v>0</v>
      </c>
      <c r="X87" s="371">
        <v>0</v>
      </c>
      <c r="Y87" s="371">
        <v>0</v>
      </c>
      <c r="Z87" s="372">
        <v>2137.8000000000002</v>
      </c>
      <c r="AA87" s="367">
        <v>1635589.355151515</v>
      </c>
      <c r="AB87" s="371">
        <v>665359.64484848478</v>
      </c>
      <c r="AC87" s="373">
        <v>1637727.155151515</v>
      </c>
      <c r="AD87" s="373">
        <v>2022515</v>
      </c>
      <c r="AE87" s="373">
        <v>384787.84</v>
      </c>
      <c r="AF87" s="344">
        <f t="shared" si="6"/>
        <v>2.8226742810607852E-3</v>
      </c>
    </row>
    <row r="88" spans="1:32" ht="25.5">
      <c r="A88" s="370" t="s">
        <v>620</v>
      </c>
      <c r="B88" s="412" t="s">
        <v>621</v>
      </c>
      <c r="C88" s="361">
        <f t="shared" si="7"/>
        <v>0</v>
      </c>
      <c r="D88" s="361">
        <f t="shared" si="8"/>
        <v>0</v>
      </c>
      <c r="E88" s="361">
        <f t="shared" si="9"/>
        <v>0</v>
      </c>
      <c r="F88" s="361">
        <f t="shared" si="10"/>
        <v>0</v>
      </c>
      <c r="G88" s="361">
        <f t="shared" si="11"/>
        <v>1238565.6648484846</v>
      </c>
      <c r="H88" s="371">
        <v>0</v>
      </c>
      <c r="I88" s="371">
        <v>0</v>
      </c>
      <c r="J88" s="371">
        <v>0</v>
      </c>
      <c r="K88" s="371">
        <v>0</v>
      </c>
      <c r="L88" s="371">
        <v>0</v>
      </c>
      <c r="M88" s="371">
        <v>0</v>
      </c>
      <c r="N88" s="371">
        <v>0</v>
      </c>
      <c r="O88" s="371">
        <v>0</v>
      </c>
      <c r="P88" s="371">
        <v>0</v>
      </c>
      <c r="Q88" s="371">
        <v>0</v>
      </c>
      <c r="R88" s="371">
        <v>0</v>
      </c>
      <c r="S88" s="371">
        <v>0</v>
      </c>
      <c r="T88" s="371">
        <v>0</v>
      </c>
      <c r="U88" s="371">
        <v>0</v>
      </c>
      <c r="V88" s="371">
        <v>0</v>
      </c>
      <c r="W88" s="371">
        <v>0</v>
      </c>
      <c r="X88" s="371">
        <v>0</v>
      </c>
      <c r="Y88" s="371">
        <v>0</v>
      </c>
      <c r="Z88" s="372">
        <v>1771.65</v>
      </c>
      <c r="AA88" s="367">
        <v>1236794.0148484847</v>
      </c>
      <c r="AB88" s="371">
        <v>183766.82515151519</v>
      </c>
      <c r="AC88" s="373">
        <v>1238565.6648484846</v>
      </c>
      <c r="AD88" s="373">
        <v>956669</v>
      </c>
      <c r="AE88" s="373">
        <v>-281896.65999999997</v>
      </c>
      <c r="AF88" s="344">
        <f t="shared" si="6"/>
        <v>2.1347068933770773E-3</v>
      </c>
    </row>
    <row r="89" spans="1:32">
      <c r="A89" s="384" t="s">
        <v>535</v>
      </c>
      <c r="B89" s="385">
        <v>0</v>
      </c>
      <c r="C89" s="361">
        <f t="shared" si="7"/>
        <v>0</v>
      </c>
      <c r="D89" s="361">
        <f t="shared" si="8"/>
        <v>0</v>
      </c>
      <c r="E89" s="361">
        <f t="shared" si="9"/>
        <v>0</v>
      </c>
      <c r="F89" s="361">
        <f t="shared" si="10"/>
        <v>0</v>
      </c>
      <c r="G89" s="361">
        <f t="shared" si="11"/>
        <v>0</v>
      </c>
      <c r="H89" s="386">
        <v>0</v>
      </c>
      <c r="I89" s="386">
        <v>0</v>
      </c>
      <c r="J89" s="386">
        <v>0</v>
      </c>
      <c r="K89" s="386">
        <v>0</v>
      </c>
      <c r="L89" s="386">
        <v>0</v>
      </c>
      <c r="M89" s="386">
        <v>0</v>
      </c>
      <c r="N89" s="386">
        <v>0</v>
      </c>
      <c r="O89" s="386">
        <v>0</v>
      </c>
      <c r="P89" s="386">
        <v>0</v>
      </c>
      <c r="Q89" s="386">
        <v>0</v>
      </c>
      <c r="R89" s="386">
        <v>0</v>
      </c>
      <c r="S89" s="386">
        <v>0</v>
      </c>
      <c r="T89" s="386">
        <v>0</v>
      </c>
      <c r="U89" s="386">
        <v>0</v>
      </c>
      <c r="V89" s="386">
        <v>0</v>
      </c>
      <c r="W89" s="386">
        <v>0</v>
      </c>
      <c r="X89" s="386">
        <v>0</v>
      </c>
      <c r="Y89" s="386">
        <v>0</v>
      </c>
      <c r="Z89" s="386">
        <v>0</v>
      </c>
      <c r="AA89" s="387">
        <v>0</v>
      </c>
      <c r="AB89" s="386"/>
      <c r="AC89" s="373">
        <v>0</v>
      </c>
      <c r="AD89" s="373">
        <v>0</v>
      </c>
      <c r="AE89" s="369">
        <v>0</v>
      </c>
      <c r="AF89" s="344">
        <f t="shared" si="6"/>
        <v>0</v>
      </c>
    </row>
    <row r="90" spans="1:32" ht="25.5">
      <c r="A90" s="384" t="s">
        <v>536</v>
      </c>
      <c r="B90" s="385">
        <v>0</v>
      </c>
      <c r="C90" s="361">
        <f t="shared" si="7"/>
        <v>0</v>
      </c>
      <c r="D90" s="361">
        <f t="shared" si="8"/>
        <v>0</v>
      </c>
      <c r="E90" s="361">
        <f t="shared" si="9"/>
        <v>0</v>
      </c>
      <c r="F90" s="361">
        <f t="shared" si="10"/>
        <v>0</v>
      </c>
      <c r="G90" s="361">
        <f t="shared" si="11"/>
        <v>0</v>
      </c>
      <c r="H90" s="386">
        <v>0</v>
      </c>
      <c r="I90" s="386">
        <v>0</v>
      </c>
      <c r="J90" s="386">
        <v>0</v>
      </c>
      <c r="K90" s="386">
        <v>0</v>
      </c>
      <c r="L90" s="386">
        <v>0</v>
      </c>
      <c r="M90" s="386">
        <v>0</v>
      </c>
      <c r="N90" s="386">
        <v>0</v>
      </c>
      <c r="O90" s="386">
        <v>0</v>
      </c>
      <c r="P90" s="386">
        <v>0</v>
      </c>
      <c r="Q90" s="386">
        <v>0</v>
      </c>
      <c r="R90" s="386">
        <v>0</v>
      </c>
      <c r="S90" s="386">
        <v>0</v>
      </c>
      <c r="T90" s="386">
        <v>0</v>
      </c>
      <c r="U90" s="386">
        <v>0</v>
      </c>
      <c r="V90" s="386">
        <v>0</v>
      </c>
      <c r="W90" s="386">
        <v>0</v>
      </c>
      <c r="X90" s="386">
        <v>0</v>
      </c>
      <c r="Y90" s="386">
        <v>0</v>
      </c>
      <c r="Z90" s="386">
        <v>0</v>
      </c>
      <c r="AA90" s="387">
        <v>0</v>
      </c>
      <c r="AB90" s="386">
        <v>66362.329060931719</v>
      </c>
      <c r="AC90" s="373">
        <v>0</v>
      </c>
      <c r="AD90" s="373">
        <v>0</v>
      </c>
      <c r="AE90" s="369">
        <v>0</v>
      </c>
      <c r="AF90" s="344">
        <f t="shared" si="6"/>
        <v>0</v>
      </c>
    </row>
    <row r="91" spans="1:32">
      <c r="A91" s="384" t="s">
        <v>537</v>
      </c>
      <c r="B91" s="385"/>
      <c r="C91" s="361">
        <f t="shared" si="7"/>
        <v>0</v>
      </c>
      <c r="D91" s="361">
        <f t="shared" si="8"/>
        <v>0</v>
      </c>
      <c r="E91" s="361">
        <f t="shared" si="9"/>
        <v>0</v>
      </c>
      <c r="F91" s="361">
        <f t="shared" si="10"/>
        <v>0</v>
      </c>
      <c r="G91" s="361">
        <f t="shared" si="11"/>
        <v>264353.89</v>
      </c>
      <c r="H91" s="386">
        <v>0</v>
      </c>
      <c r="I91" s="386">
        <v>0</v>
      </c>
      <c r="J91" s="386">
        <v>0</v>
      </c>
      <c r="K91" s="386">
        <v>0</v>
      </c>
      <c r="L91" s="386">
        <v>0</v>
      </c>
      <c r="M91" s="386">
        <v>0</v>
      </c>
      <c r="N91" s="386">
        <v>0</v>
      </c>
      <c r="O91" s="386">
        <v>0</v>
      </c>
      <c r="P91" s="386">
        <v>0</v>
      </c>
      <c r="Q91" s="386">
        <v>0</v>
      </c>
      <c r="R91" s="386">
        <v>0</v>
      </c>
      <c r="S91" s="386">
        <v>0</v>
      </c>
      <c r="T91" s="386">
        <v>0</v>
      </c>
      <c r="U91" s="386">
        <v>0</v>
      </c>
      <c r="V91" s="386">
        <v>0</v>
      </c>
      <c r="W91" s="386">
        <v>0</v>
      </c>
      <c r="X91" s="386">
        <v>0</v>
      </c>
      <c r="Y91" s="386">
        <v>0</v>
      </c>
      <c r="Z91" s="386">
        <v>0</v>
      </c>
      <c r="AA91" s="387">
        <v>264353.89</v>
      </c>
      <c r="AB91" s="386"/>
      <c r="AC91" s="373">
        <v>264353.89</v>
      </c>
      <c r="AD91" s="373">
        <v>463361.4</v>
      </c>
      <c r="AE91" s="369">
        <v>199007.51</v>
      </c>
      <c r="AF91" s="344">
        <f t="shared" si="6"/>
        <v>4.556222469989748E-4</v>
      </c>
    </row>
    <row r="92" spans="1:32">
      <c r="A92" s="402" t="s">
        <v>622</v>
      </c>
      <c r="B92" s="361" t="s">
        <v>623</v>
      </c>
      <c r="C92" s="361">
        <f t="shared" si="7"/>
        <v>0</v>
      </c>
      <c r="D92" s="361">
        <f t="shared" si="8"/>
        <v>0</v>
      </c>
      <c r="E92" s="361">
        <f t="shared" si="9"/>
        <v>57762.95</v>
      </c>
      <c r="F92" s="361">
        <f t="shared" si="10"/>
        <v>272552.61</v>
      </c>
      <c r="G92" s="361">
        <f t="shared" si="11"/>
        <v>20344296.289999999</v>
      </c>
      <c r="H92" s="388"/>
      <c r="I92" s="388"/>
      <c r="J92" s="388"/>
      <c r="K92" s="388"/>
      <c r="L92" s="388"/>
      <c r="M92" s="388"/>
      <c r="N92" s="388"/>
      <c r="O92" s="388"/>
      <c r="P92" s="388"/>
      <c r="Q92" s="388"/>
      <c r="R92" s="388"/>
      <c r="S92" s="388">
        <v>57762.95</v>
      </c>
      <c r="T92" s="388">
        <v>46536.18</v>
      </c>
      <c r="U92" s="388">
        <v>0</v>
      </c>
      <c r="V92" s="388">
        <v>2105.29</v>
      </c>
      <c r="W92" s="388">
        <v>223911.14</v>
      </c>
      <c r="X92" s="388">
        <v>318820.47999999998</v>
      </c>
      <c r="Y92" s="388">
        <v>18652401.369999997</v>
      </c>
      <c r="Z92" s="388">
        <v>40238.769999999997</v>
      </c>
      <c r="AA92" s="362">
        <v>1332835.67</v>
      </c>
      <c r="AB92" s="388">
        <v>90385.18</v>
      </c>
      <c r="AC92" s="364">
        <v>20674582.549999997</v>
      </c>
      <c r="AD92" s="388">
        <v>20743491.689999998</v>
      </c>
      <c r="AE92" s="364">
        <v>68909.14</v>
      </c>
      <c r="AF92" s="344">
        <f t="shared" si="6"/>
        <v>3.5633293526328637E-2</v>
      </c>
    </row>
    <row r="93" spans="1:32">
      <c r="A93" s="415" t="s">
        <v>624</v>
      </c>
      <c r="B93" s="366" t="s">
        <v>625</v>
      </c>
      <c r="C93" s="361">
        <f t="shared" si="7"/>
        <v>0</v>
      </c>
      <c r="D93" s="361">
        <f t="shared" si="8"/>
        <v>0</v>
      </c>
      <c r="E93" s="361">
        <f t="shared" si="9"/>
        <v>0</v>
      </c>
      <c r="F93" s="361">
        <f t="shared" si="10"/>
        <v>0</v>
      </c>
      <c r="G93" s="361">
        <f t="shared" si="11"/>
        <v>18603262.52</v>
      </c>
      <c r="H93" s="367"/>
      <c r="I93" s="367"/>
      <c r="J93" s="367"/>
      <c r="K93" s="367"/>
      <c r="L93" s="367"/>
      <c r="M93" s="367"/>
      <c r="N93" s="367"/>
      <c r="O93" s="367"/>
      <c r="P93" s="367"/>
      <c r="Q93" s="367"/>
      <c r="R93" s="367"/>
      <c r="S93" s="367">
        <v>0</v>
      </c>
      <c r="T93" s="367">
        <v>0</v>
      </c>
      <c r="U93" s="367">
        <v>0</v>
      </c>
      <c r="V93" s="367">
        <v>0</v>
      </c>
      <c r="W93" s="367">
        <v>0</v>
      </c>
      <c r="X93" s="367">
        <v>0</v>
      </c>
      <c r="Y93" s="367">
        <v>18603262.52</v>
      </c>
      <c r="Z93" s="367">
        <v>0</v>
      </c>
      <c r="AA93" s="367">
        <v>0</v>
      </c>
      <c r="AB93" s="367">
        <v>0</v>
      </c>
      <c r="AC93" s="369">
        <v>18603262.52</v>
      </c>
      <c r="AD93" s="369">
        <v>18603262.52</v>
      </c>
      <c r="AE93" s="369">
        <v>0</v>
      </c>
      <c r="AF93" s="344">
        <f t="shared" si="6"/>
        <v>3.2063308282977071E-2</v>
      </c>
    </row>
    <row r="94" spans="1:32">
      <c r="A94" s="415" t="s">
        <v>626</v>
      </c>
      <c r="B94" s="366" t="s">
        <v>627</v>
      </c>
      <c r="C94" s="361">
        <f t="shared" si="7"/>
        <v>0</v>
      </c>
      <c r="D94" s="361">
        <f t="shared" si="8"/>
        <v>0</v>
      </c>
      <c r="E94" s="361">
        <f t="shared" si="9"/>
        <v>57762.95</v>
      </c>
      <c r="F94" s="361">
        <f t="shared" si="10"/>
        <v>46536.18</v>
      </c>
      <c r="G94" s="361">
        <f t="shared" si="11"/>
        <v>117001.19</v>
      </c>
      <c r="H94" s="367"/>
      <c r="I94" s="367"/>
      <c r="J94" s="367"/>
      <c r="K94" s="367"/>
      <c r="L94" s="367"/>
      <c r="M94" s="367"/>
      <c r="N94" s="367"/>
      <c r="O94" s="367"/>
      <c r="P94" s="367"/>
      <c r="Q94" s="367">
        <v>0</v>
      </c>
      <c r="R94" s="367">
        <v>0</v>
      </c>
      <c r="S94" s="367">
        <v>57762.95</v>
      </c>
      <c r="T94" s="367">
        <v>46536.18</v>
      </c>
      <c r="U94" s="367">
        <v>0</v>
      </c>
      <c r="V94" s="367">
        <v>0</v>
      </c>
      <c r="W94" s="367">
        <v>0</v>
      </c>
      <c r="X94" s="367">
        <v>34516.11</v>
      </c>
      <c r="Y94" s="367">
        <v>36771.42</v>
      </c>
      <c r="Z94" s="367">
        <v>8217.81</v>
      </c>
      <c r="AA94" s="367">
        <v>37495.85</v>
      </c>
      <c r="AB94" s="367">
        <v>7.2759576141834259E-12</v>
      </c>
      <c r="AC94" s="369">
        <v>221300.32</v>
      </c>
      <c r="AD94" s="369">
        <v>277432.92000000004</v>
      </c>
      <c r="AE94" s="369">
        <v>56132.6</v>
      </c>
      <c r="AF94" s="344">
        <f t="shared" si="6"/>
        <v>3.8141806447407361E-4</v>
      </c>
    </row>
    <row r="95" spans="1:32">
      <c r="A95" s="415" t="s">
        <v>628</v>
      </c>
      <c r="B95" s="366" t="s">
        <v>523</v>
      </c>
      <c r="C95" s="361">
        <f t="shared" si="7"/>
        <v>0</v>
      </c>
      <c r="D95" s="361">
        <f t="shared" si="8"/>
        <v>0</v>
      </c>
      <c r="E95" s="361">
        <f t="shared" si="9"/>
        <v>0</v>
      </c>
      <c r="F95" s="361">
        <f t="shared" si="10"/>
        <v>223911.14</v>
      </c>
      <c r="G95" s="361">
        <f t="shared" si="11"/>
        <v>1480436.7599999998</v>
      </c>
      <c r="H95" s="367"/>
      <c r="I95" s="367"/>
      <c r="J95" s="367"/>
      <c r="K95" s="367"/>
      <c r="L95" s="367"/>
      <c r="M95" s="367"/>
      <c r="N95" s="367"/>
      <c r="O95" s="367"/>
      <c r="P95" s="367"/>
      <c r="Q95" s="367">
        <v>0</v>
      </c>
      <c r="R95" s="367">
        <v>0</v>
      </c>
      <c r="S95" s="367">
        <v>0</v>
      </c>
      <c r="T95" s="367">
        <v>0</v>
      </c>
      <c r="U95" s="367">
        <v>0</v>
      </c>
      <c r="V95" s="367">
        <v>0</v>
      </c>
      <c r="W95" s="367">
        <v>223911.14</v>
      </c>
      <c r="X95" s="367">
        <v>284304.37</v>
      </c>
      <c r="Y95" s="367">
        <v>12042.34</v>
      </c>
      <c r="Z95" s="368">
        <v>0</v>
      </c>
      <c r="AA95" s="367">
        <v>1184090.0499999998</v>
      </c>
      <c r="AB95" s="367">
        <v>0</v>
      </c>
      <c r="AC95" s="369">
        <v>1704347.9</v>
      </c>
      <c r="AD95" s="369">
        <v>1381611.7</v>
      </c>
      <c r="AE95" s="369">
        <v>-322736.2</v>
      </c>
      <c r="AF95" s="344">
        <f t="shared" si="6"/>
        <v>2.9374972309504656E-3</v>
      </c>
    </row>
    <row r="96" spans="1:32">
      <c r="A96" s="415" t="s">
        <v>629</v>
      </c>
      <c r="B96" s="366" t="s">
        <v>630</v>
      </c>
      <c r="C96" s="361">
        <f t="shared" si="7"/>
        <v>0</v>
      </c>
      <c r="D96" s="361">
        <f t="shared" si="8"/>
        <v>0</v>
      </c>
      <c r="E96" s="361">
        <f t="shared" si="9"/>
        <v>0</v>
      </c>
      <c r="F96" s="361">
        <f t="shared" si="10"/>
        <v>0</v>
      </c>
      <c r="G96" s="361">
        <f t="shared" si="11"/>
        <v>107590</v>
      </c>
      <c r="H96" s="367"/>
      <c r="I96" s="367"/>
      <c r="J96" s="367"/>
      <c r="K96" s="367"/>
      <c r="L96" s="367"/>
      <c r="M96" s="367"/>
      <c r="N96" s="367"/>
      <c r="O96" s="367"/>
      <c r="P96" s="367"/>
      <c r="Q96" s="367">
        <v>0</v>
      </c>
      <c r="R96" s="367">
        <v>0</v>
      </c>
      <c r="S96" s="367">
        <v>0</v>
      </c>
      <c r="T96" s="367">
        <v>0</v>
      </c>
      <c r="U96" s="367">
        <v>0</v>
      </c>
      <c r="V96" s="367">
        <v>0</v>
      </c>
      <c r="W96" s="367">
        <v>0</v>
      </c>
      <c r="X96" s="367">
        <v>0</v>
      </c>
      <c r="Y96" s="367">
        <v>0</v>
      </c>
      <c r="Z96" s="368">
        <v>0</v>
      </c>
      <c r="AA96" s="367">
        <v>107590</v>
      </c>
      <c r="AB96" s="367">
        <v>90385.18</v>
      </c>
      <c r="AC96" s="369">
        <v>107590</v>
      </c>
      <c r="AD96" s="369">
        <v>243783.47</v>
      </c>
      <c r="AE96" s="369">
        <v>136193.47</v>
      </c>
      <c r="AF96" s="344">
        <f t="shared" si="6"/>
        <v>1.8543475019270456E-4</v>
      </c>
    </row>
    <row r="97" spans="1:32">
      <c r="A97" s="415" t="s">
        <v>631</v>
      </c>
      <c r="B97" s="366" t="s">
        <v>632</v>
      </c>
      <c r="C97" s="361">
        <f t="shared" si="7"/>
        <v>0</v>
      </c>
      <c r="D97" s="361">
        <f t="shared" si="8"/>
        <v>0</v>
      </c>
      <c r="E97" s="361">
        <f t="shared" si="9"/>
        <v>0</v>
      </c>
      <c r="F97" s="361">
        <f t="shared" si="10"/>
        <v>0</v>
      </c>
      <c r="G97" s="361">
        <f t="shared" si="11"/>
        <v>0</v>
      </c>
      <c r="H97" s="367"/>
      <c r="I97" s="367"/>
      <c r="J97" s="367"/>
      <c r="K97" s="367"/>
      <c r="L97" s="367"/>
      <c r="M97" s="367"/>
      <c r="N97" s="367"/>
      <c r="O97" s="367"/>
      <c r="P97" s="367"/>
      <c r="Q97" s="367"/>
      <c r="R97" s="367"/>
      <c r="S97" s="367">
        <v>0</v>
      </c>
      <c r="T97" s="367">
        <v>0</v>
      </c>
      <c r="U97" s="367">
        <v>0</v>
      </c>
      <c r="V97" s="367">
        <v>0</v>
      </c>
      <c r="W97" s="367">
        <v>0</v>
      </c>
      <c r="X97" s="367">
        <v>0</v>
      </c>
      <c r="Y97" s="367">
        <v>0</v>
      </c>
      <c r="Z97" s="367">
        <v>0</v>
      </c>
      <c r="AA97" s="367">
        <v>0</v>
      </c>
      <c r="AB97" s="367">
        <v>0</v>
      </c>
      <c r="AC97" s="369">
        <v>0</v>
      </c>
      <c r="AD97" s="369">
        <v>0</v>
      </c>
      <c r="AE97" s="369">
        <v>0</v>
      </c>
      <c r="AF97" s="344">
        <f t="shared" si="6"/>
        <v>0</v>
      </c>
    </row>
    <row r="98" spans="1:32">
      <c r="A98" s="415" t="s">
        <v>633</v>
      </c>
      <c r="B98" s="366" t="s">
        <v>632</v>
      </c>
      <c r="C98" s="361">
        <f t="shared" si="7"/>
        <v>0</v>
      </c>
      <c r="D98" s="361">
        <f t="shared" si="8"/>
        <v>0</v>
      </c>
      <c r="E98" s="361">
        <f t="shared" si="9"/>
        <v>0</v>
      </c>
      <c r="F98" s="361">
        <f t="shared" si="10"/>
        <v>2105.29</v>
      </c>
      <c r="G98" s="361">
        <f t="shared" si="11"/>
        <v>325.08999999999997</v>
      </c>
      <c r="H98" s="367"/>
      <c r="I98" s="367"/>
      <c r="J98" s="367"/>
      <c r="K98" s="367"/>
      <c r="L98" s="367"/>
      <c r="M98" s="367"/>
      <c r="N98" s="367"/>
      <c r="O98" s="367"/>
      <c r="P98" s="367"/>
      <c r="Q98" s="367"/>
      <c r="R98" s="367"/>
      <c r="S98" s="367">
        <v>0</v>
      </c>
      <c r="T98" s="367">
        <v>0</v>
      </c>
      <c r="U98" s="367">
        <v>0</v>
      </c>
      <c r="V98" s="367">
        <v>2105.29</v>
      </c>
      <c r="W98" s="367">
        <v>0</v>
      </c>
      <c r="X98" s="367">
        <v>0</v>
      </c>
      <c r="Y98" s="367">
        <v>325.08999999999997</v>
      </c>
      <c r="Z98" s="367">
        <v>0</v>
      </c>
      <c r="AA98" s="367">
        <v>0</v>
      </c>
      <c r="AB98" s="367">
        <v>-1.8118839761882555E-13</v>
      </c>
      <c r="AC98" s="369">
        <v>2401.08</v>
      </c>
      <c r="AD98" s="369">
        <v>2401.08</v>
      </c>
      <c r="AE98" s="369">
        <v>0</v>
      </c>
      <c r="AF98" s="344">
        <f t="shared" si="6"/>
        <v>4.1383369271558605E-6</v>
      </c>
    </row>
    <row r="99" spans="1:32">
      <c r="A99" s="415" t="s">
        <v>634</v>
      </c>
      <c r="B99" s="366" t="s">
        <v>632</v>
      </c>
      <c r="C99" s="361">
        <f t="shared" si="7"/>
        <v>0</v>
      </c>
      <c r="D99" s="361">
        <f t="shared" si="8"/>
        <v>0</v>
      </c>
      <c r="E99" s="361">
        <f t="shared" si="9"/>
        <v>0</v>
      </c>
      <c r="F99" s="361">
        <f t="shared" si="10"/>
        <v>0</v>
      </c>
      <c r="G99" s="361">
        <f t="shared" si="11"/>
        <v>0</v>
      </c>
      <c r="H99" s="367"/>
      <c r="I99" s="367"/>
      <c r="J99" s="367"/>
      <c r="K99" s="367"/>
      <c r="L99" s="367"/>
      <c r="M99" s="367"/>
      <c r="N99" s="367"/>
      <c r="O99" s="367"/>
      <c r="P99" s="367"/>
      <c r="Q99" s="367"/>
      <c r="R99" s="367"/>
      <c r="S99" s="367">
        <v>0</v>
      </c>
      <c r="T99" s="367">
        <v>0</v>
      </c>
      <c r="U99" s="367">
        <v>0</v>
      </c>
      <c r="V99" s="367">
        <v>0</v>
      </c>
      <c r="W99" s="367">
        <v>0</v>
      </c>
      <c r="X99" s="367">
        <v>0</v>
      </c>
      <c r="Y99" s="367">
        <v>0</v>
      </c>
      <c r="Z99" s="416">
        <v>0</v>
      </c>
      <c r="AA99" s="367">
        <v>0</v>
      </c>
      <c r="AB99" s="367">
        <v>0</v>
      </c>
      <c r="AC99" s="369">
        <v>0</v>
      </c>
      <c r="AD99" s="369">
        <v>0</v>
      </c>
      <c r="AE99" s="369">
        <v>0</v>
      </c>
      <c r="AF99" s="344">
        <f t="shared" si="6"/>
        <v>0</v>
      </c>
    </row>
    <row r="100" spans="1:32">
      <c r="A100" s="415" t="s">
        <v>635</v>
      </c>
      <c r="B100" s="366" t="s">
        <v>632</v>
      </c>
      <c r="C100" s="361">
        <f t="shared" si="7"/>
        <v>0</v>
      </c>
      <c r="D100" s="361">
        <f t="shared" si="8"/>
        <v>0</v>
      </c>
      <c r="E100" s="361">
        <f t="shared" si="9"/>
        <v>0</v>
      </c>
      <c r="F100" s="361">
        <f t="shared" si="10"/>
        <v>0</v>
      </c>
      <c r="G100" s="361">
        <f t="shared" si="11"/>
        <v>32020.959999999999</v>
      </c>
      <c r="H100" s="367"/>
      <c r="I100" s="367"/>
      <c r="J100" s="367"/>
      <c r="K100" s="367"/>
      <c r="L100" s="367"/>
      <c r="M100" s="367"/>
      <c r="N100" s="367"/>
      <c r="O100" s="367"/>
      <c r="P100" s="367"/>
      <c r="Q100" s="367"/>
      <c r="R100" s="367"/>
      <c r="S100" s="367">
        <v>0</v>
      </c>
      <c r="T100" s="367">
        <v>0</v>
      </c>
      <c r="U100" s="367">
        <v>0</v>
      </c>
      <c r="V100" s="367">
        <v>0</v>
      </c>
      <c r="W100" s="367">
        <v>0</v>
      </c>
      <c r="X100" s="367">
        <v>0</v>
      </c>
      <c r="Y100" s="367">
        <v>0</v>
      </c>
      <c r="Z100" s="367">
        <v>32020.959999999999</v>
      </c>
      <c r="AA100" s="367">
        <v>0</v>
      </c>
      <c r="AB100" s="367">
        <v>0</v>
      </c>
      <c r="AC100" s="369">
        <v>32020.959999999999</v>
      </c>
      <c r="AD100" s="369">
        <v>150000</v>
      </c>
      <c r="AE100" s="369">
        <v>117979.04</v>
      </c>
      <c r="AF100" s="344">
        <f t="shared" si="6"/>
        <v>5.5189132061814151E-5</v>
      </c>
    </row>
    <row r="101" spans="1:32">
      <c r="A101" s="415" t="s">
        <v>636</v>
      </c>
      <c r="B101" s="366" t="s">
        <v>632</v>
      </c>
      <c r="C101" s="361">
        <f t="shared" si="7"/>
        <v>0</v>
      </c>
      <c r="D101" s="361">
        <f t="shared" si="8"/>
        <v>0</v>
      </c>
      <c r="E101" s="361">
        <f t="shared" si="9"/>
        <v>0</v>
      </c>
      <c r="F101" s="361">
        <f t="shared" si="10"/>
        <v>0</v>
      </c>
      <c r="G101" s="361">
        <f t="shared" si="11"/>
        <v>3659.77</v>
      </c>
      <c r="H101" s="367"/>
      <c r="I101" s="367"/>
      <c r="J101" s="367"/>
      <c r="K101" s="367"/>
      <c r="L101" s="367"/>
      <c r="M101" s="367"/>
      <c r="N101" s="367"/>
      <c r="O101" s="367"/>
      <c r="P101" s="367"/>
      <c r="Q101" s="367"/>
      <c r="R101" s="367"/>
      <c r="S101" s="367">
        <v>0</v>
      </c>
      <c r="T101" s="367">
        <v>0</v>
      </c>
      <c r="U101" s="367">
        <v>0</v>
      </c>
      <c r="V101" s="367">
        <v>0</v>
      </c>
      <c r="W101" s="367">
        <v>0</v>
      </c>
      <c r="X101" s="367">
        <v>0</v>
      </c>
      <c r="Y101" s="367">
        <v>0</v>
      </c>
      <c r="Z101" s="367">
        <v>0</v>
      </c>
      <c r="AA101" s="367">
        <v>3659.77</v>
      </c>
      <c r="AB101" s="367">
        <v>0</v>
      </c>
      <c r="AC101" s="369">
        <v>3659.77</v>
      </c>
      <c r="AD101" s="369">
        <v>85000</v>
      </c>
      <c r="AE101" s="369">
        <v>81340.23</v>
      </c>
      <c r="AF101" s="344">
        <f t="shared" si="6"/>
        <v>6.3077287453550916E-6</v>
      </c>
    </row>
    <row r="102" spans="1:32" ht="25.5">
      <c r="A102" s="384" t="s">
        <v>536</v>
      </c>
      <c r="B102" s="385"/>
      <c r="C102" s="361">
        <f t="shared" si="7"/>
        <v>0</v>
      </c>
      <c r="D102" s="361">
        <f t="shared" si="8"/>
        <v>0</v>
      </c>
      <c r="E102" s="361">
        <f t="shared" si="9"/>
        <v>0</v>
      </c>
      <c r="F102" s="361">
        <f t="shared" si="10"/>
        <v>0</v>
      </c>
      <c r="G102" s="361">
        <f t="shared" si="11"/>
        <v>0</v>
      </c>
      <c r="H102" s="386"/>
      <c r="I102" s="386"/>
      <c r="J102" s="386"/>
      <c r="K102" s="386"/>
      <c r="L102" s="386"/>
      <c r="M102" s="386"/>
      <c r="N102" s="386"/>
      <c r="O102" s="386"/>
      <c r="P102" s="386"/>
      <c r="Q102" s="386"/>
      <c r="R102" s="386"/>
      <c r="S102" s="386"/>
      <c r="T102" s="386"/>
      <c r="U102" s="386"/>
      <c r="V102" s="386"/>
      <c r="W102" s="386"/>
      <c r="X102" s="386"/>
      <c r="Y102" s="386"/>
      <c r="Z102" s="386">
        <v>0</v>
      </c>
      <c r="AA102" s="387">
        <v>0</v>
      </c>
      <c r="AB102" s="386">
        <v>0</v>
      </c>
      <c r="AC102" s="369">
        <v>0</v>
      </c>
      <c r="AD102" s="369">
        <v>0</v>
      </c>
      <c r="AE102" s="369">
        <v>0</v>
      </c>
      <c r="AF102" s="344">
        <f t="shared" si="6"/>
        <v>0</v>
      </c>
    </row>
    <row r="103" spans="1:32">
      <c r="A103" s="384" t="s">
        <v>537</v>
      </c>
      <c r="B103" s="385"/>
      <c r="C103" s="361">
        <f t="shared" si="7"/>
        <v>0</v>
      </c>
      <c r="D103" s="361">
        <f t="shared" si="8"/>
        <v>0</v>
      </c>
      <c r="E103" s="361">
        <f t="shared" si="9"/>
        <v>0</v>
      </c>
      <c r="F103" s="361">
        <f t="shared" si="10"/>
        <v>0</v>
      </c>
      <c r="G103" s="361">
        <f t="shared" si="11"/>
        <v>0</v>
      </c>
      <c r="H103" s="386"/>
      <c r="I103" s="386"/>
      <c r="J103" s="386"/>
      <c r="K103" s="386"/>
      <c r="L103" s="386"/>
      <c r="M103" s="386"/>
      <c r="N103" s="386"/>
      <c r="O103" s="386"/>
      <c r="P103" s="386"/>
      <c r="Q103" s="386"/>
      <c r="R103" s="386"/>
      <c r="S103" s="386">
        <v>0</v>
      </c>
      <c r="T103" s="386">
        <v>0</v>
      </c>
      <c r="U103" s="386">
        <v>0</v>
      </c>
      <c r="V103" s="386">
        <v>0</v>
      </c>
      <c r="W103" s="386">
        <v>0</v>
      </c>
      <c r="X103" s="386">
        <v>0</v>
      </c>
      <c r="Y103" s="386">
        <v>0</v>
      </c>
      <c r="Z103" s="386">
        <v>0</v>
      </c>
      <c r="AA103" s="387">
        <v>0</v>
      </c>
      <c r="AB103" s="386"/>
      <c r="AC103" s="373">
        <v>0</v>
      </c>
      <c r="AD103" s="373">
        <v>0</v>
      </c>
      <c r="AE103" s="369">
        <v>0</v>
      </c>
      <c r="AF103" s="344">
        <f t="shared" si="6"/>
        <v>0</v>
      </c>
    </row>
    <row r="104" spans="1:32">
      <c r="A104" s="402" t="s">
        <v>637</v>
      </c>
      <c r="B104" s="361" t="s">
        <v>638</v>
      </c>
      <c r="C104" s="361">
        <f t="shared" si="7"/>
        <v>0</v>
      </c>
      <c r="D104" s="361">
        <f t="shared" si="8"/>
        <v>0</v>
      </c>
      <c r="E104" s="361">
        <f t="shared" si="9"/>
        <v>0</v>
      </c>
      <c r="F104" s="361">
        <f t="shared" si="10"/>
        <v>644107.24999999837</v>
      </c>
      <c r="G104" s="361">
        <f t="shared" si="11"/>
        <v>1517347.3907424239</v>
      </c>
      <c r="H104" s="388">
        <v>0</v>
      </c>
      <c r="I104" s="388">
        <v>0</v>
      </c>
      <c r="J104" s="388">
        <v>0</v>
      </c>
      <c r="K104" s="388">
        <v>0</v>
      </c>
      <c r="L104" s="388">
        <v>0</v>
      </c>
      <c r="M104" s="388">
        <v>0</v>
      </c>
      <c r="N104" s="388">
        <v>0</v>
      </c>
      <c r="O104" s="388">
        <v>0</v>
      </c>
      <c r="P104" s="388">
        <v>0</v>
      </c>
      <c r="Q104" s="388">
        <v>0</v>
      </c>
      <c r="R104" s="388">
        <v>0</v>
      </c>
      <c r="S104" s="388">
        <v>0</v>
      </c>
      <c r="T104" s="388">
        <v>0</v>
      </c>
      <c r="U104" s="388">
        <v>185936.34000000011</v>
      </c>
      <c r="V104" s="388">
        <v>231126.30999999831</v>
      </c>
      <c r="W104" s="388">
        <v>227044.6</v>
      </c>
      <c r="X104" s="388">
        <v>315739.52999999997</v>
      </c>
      <c r="Y104" s="388">
        <v>267436.68</v>
      </c>
      <c r="Z104" s="388">
        <v>209471.43</v>
      </c>
      <c r="AA104" s="362">
        <v>724699.75074242405</v>
      </c>
      <c r="AB104" s="388">
        <v>182522.77429555467</v>
      </c>
      <c r="AC104" s="364">
        <v>2152863.0207424238</v>
      </c>
      <c r="AD104" s="388">
        <v>2532960.15</v>
      </c>
      <c r="AE104" s="364">
        <v>380097.13</v>
      </c>
      <c r="AF104" s="344">
        <f t="shared" si="6"/>
        <v>3.7105271535503551E-3</v>
      </c>
    </row>
    <row r="105" spans="1:32">
      <c r="A105" s="417" t="s">
        <v>639</v>
      </c>
      <c r="B105" s="418"/>
      <c r="C105" s="361">
        <f t="shared" si="7"/>
        <v>0</v>
      </c>
      <c r="D105" s="361">
        <f t="shared" si="8"/>
        <v>0</v>
      </c>
      <c r="E105" s="361">
        <f t="shared" si="9"/>
        <v>0</v>
      </c>
      <c r="F105" s="361">
        <f t="shared" si="10"/>
        <v>361386.49</v>
      </c>
      <c r="G105" s="361">
        <f t="shared" si="11"/>
        <v>667313.47437878791</v>
      </c>
      <c r="H105" s="367"/>
      <c r="I105" s="367">
        <v>0</v>
      </c>
      <c r="J105" s="367">
        <v>0</v>
      </c>
      <c r="K105" s="367">
        <v>0</v>
      </c>
      <c r="L105" s="367">
        <v>0</v>
      </c>
      <c r="M105" s="367">
        <v>0</v>
      </c>
      <c r="N105" s="367">
        <v>0</v>
      </c>
      <c r="O105" s="367">
        <v>0</v>
      </c>
      <c r="P105" s="367">
        <v>0</v>
      </c>
      <c r="Q105" s="367">
        <v>0</v>
      </c>
      <c r="R105" s="371">
        <v>0</v>
      </c>
      <c r="S105" s="371">
        <v>0</v>
      </c>
      <c r="T105" s="371">
        <v>0</v>
      </c>
      <c r="U105" s="371">
        <v>94685.02</v>
      </c>
      <c r="V105" s="371">
        <v>136063.10999999999</v>
      </c>
      <c r="W105" s="371">
        <v>130638.36</v>
      </c>
      <c r="X105" s="371">
        <v>167146.60999999999</v>
      </c>
      <c r="Y105" s="371">
        <v>106035.89</v>
      </c>
      <c r="Z105" s="372">
        <v>135334.37</v>
      </c>
      <c r="AA105" s="367">
        <v>258796.60437878786</v>
      </c>
      <c r="AB105" s="371">
        <v>-0.37999999994644895</v>
      </c>
      <c r="AC105" s="369">
        <v>1028699.9643787879</v>
      </c>
      <c r="AD105" s="369">
        <v>964050.82</v>
      </c>
      <c r="AE105" s="369">
        <v>-64649.14</v>
      </c>
      <c r="AF105" s="344">
        <f t="shared" si="6"/>
        <v>1.7729967554403253E-3</v>
      </c>
    </row>
    <row r="106" spans="1:32">
      <c r="A106" s="417" t="s">
        <v>640</v>
      </c>
      <c r="B106" s="418"/>
      <c r="C106" s="361">
        <f t="shared" si="7"/>
        <v>0</v>
      </c>
      <c r="D106" s="361">
        <f t="shared" si="8"/>
        <v>0</v>
      </c>
      <c r="E106" s="361">
        <f t="shared" si="9"/>
        <v>0</v>
      </c>
      <c r="F106" s="361">
        <f t="shared" si="10"/>
        <v>282720.75999999844</v>
      </c>
      <c r="G106" s="361">
        <f t="shared" si="11"/>
        <v>825397.93636363628</v>
      </c>
      <c r="H106" s="367"/>
      <c r="I106" s="367">
        <v>0</v>
      </c>
      <c r="J106" s="367">
        <v>0</v>
      </c>
      <c r="K106" s="367">
        <v>0</v>
      </c>
      <c r="L106" s="367">
        <v>0</v>
      </c>
      <c r="M106" s="367">
        <v>0</v>
      </c>
      <c r="N106" s="367">
        <v>0</v>
      </c>
      <c r="O106" s="367">
        <v>0</v>
      </c>
      <c r="P106" s="367">
        <v>0</v>
      </c>
      <c r="Q106" s="367">
        <v>0</v>
      </c>
      <c r="R106" s="371">
        <v>0</v>
      </c>
      <c r="S106" s="371">
        <v>0</v>
      </c>
      <c r="T106" s="371">
        <v>0</v>
      </c>
      <c r="U106" s="371">
        <v>91251.320000000123</v>
      </c>
      <c r="V106" s="371">
        <v>95063.199999998324</v>
      </c>
      <c r="W106" s="371">
        <v>96406.24</v>
      </c>
      <c r="X106" s="371">
        <v>148592.92000000001</v>
      </c>
      <c r="Y106" s="371">
        <v>161400.79</v>
      </c>
      <c r="Z106" s="372">
        <v>74137.06</v>
      </c>
      <c r="AA106" s="367">
        <v>441267.16636363626</v>
      </c>
      <c r="AB106" s="371">
        <v>0</v>
      </c>
      <c r="AC106" s="369">
        <v>1099527.0763636362</v>
      </c>
      <c r="AD106" s="369">
        <v>1528498.8</v>
      </c>
      <c r="AE106" s="369">
        <v>428971.72</v>
      </c>
      <c r="AF106" s="344">
        <f t="shared" si="6"/>
        <v>1.8950695114379186E-3</v>
      </c>
    </row>
    <row r="107" spans="1:32" ht="25.5">
      <c r="A107" s="384" t="s">
        <v>536</v>
      </c>
      <c r="B107" s="385"/>
      <c r="C107" s="361">
        <f t="shared" si="7"/>
        <v>0</v>
      </c>
      <c r="D107" s="361">
        <f t="shared" si="8"/>
        <v>0</v>
      </c>
      <c r="E107" s="361">
        <f t="shared" si="9"/>
        <v>0</v>
      </c>
      <c r="F107" s="361">
        <f t="shared" si="10"/>
        <v>0</v>
      </c>
      <c r="G107" s="361">
        <f t="shared" si="11"/>
        <v>0</v>
      </c>
      <c r="H107" s="386"/>
      <c r="I107" s="386"/>
      <c r="J107" s="386"/>
      <c r="K107" s="386"/>
      <c r="L107" s="386"/>
      <c r="M107" s="386"/>
      <c r="N107" s="386"/>
      <c r="O107" s="386"/>
      <c r="P107" s="386"/>
      <c r="Q107" s="386"/>
      <c r="R107" s="386"/>
      <c r="S107" s="386"/>
      <c r="T107" s="386"/>
      <c r="U107" s="386"/>
      <c r="V107" s="386"/>
      <c r="W107" s="386"/>
      <c r="X107" s="386"/>
      <c r="Y107" s="386"/>
      <c r="Z107" s="386">
        <v>0</v>
      </c>
      <c r="AA107" s="387">
        <v>0</v>
      </c>
      <c r="AB107" s="386">
        <v>182523.15429555462</v>
      </c>
      <c r="AC107" s="369">
        <v>0</v>
      </c>
      <c r="AD107" s="369">
        <v>0</v>
      </c>
      <c r="AE107" s="369">
        <v>0</v>
      </c>
      <c r="AF107" s="344">
        <f t="shared" si="6"/>
        <v>0</v>
      </c>
    </row>
    <row r="108" spans="1:32">
      <c r="A108" s="384" t="s">
        <v>537</v>
      </c>
      <c r="B108" s="385"/>
      <c r="C108" s="361">
        <f t="shared" si="7"/>
        <v>0</v>
      </c>
      <c r="D108" s="361">
        <f t="shared" si="8"/>
        <v>0</v>
      </c>
      <c r="E108" s="361">
        <f t="shared" si="9"/>
        <v>0</v>
      </c>
      <c r="F108" s="361">
        <f t="shared" si="10"/>
        <v>0</v>
      </c>
      <c r="G108" s="361">
        <f t="shared" si="11"/>
        <v>24635.98</v>
      </c>
      <c r="H108" s="386"/>
      <c r="I108" s="386"/>
      <c r="J108" s="386"/>
      <c r="K108" s="386"/>
      <c r="L108" s="386"/>
      <c r="M108" s="386"/>
      <c r="N108" s="386"/>
      <c r="O108" s="386">
        <v>0</v>
      </c>
      <c r="P108" s="386">
        <v>0</v>
      </c>
      <c r="Q108" s="386">
        <v>0</v>
      </c>
      <c r="R108" s="386">
        <v>0</v>
      </c>
      <c r="S108" s="386">
        <v>0</v>
      </c>
      <c r="T108" s="386">
        <v>0</v>
      </c>
      <c r="U108" s="386">
        <v>0</v>
      </c>
      <c r="V108" s="386">
        <v>0</v>
      </c>
      <c r="W108" s="386">
        <v>0</v>
      </c>
      <c r="X108" s="386">
        <v>0</v>
      </c>
      <c r="Y108" s="386">
        <v>0</v>
      </c>
      <c r="Z108" s="387">
        <v>0</v>
      </c>
      <c r="AA108" s="387">
        <v>24635.98</v>
      </c>
      <c r="AB108" s="386"/>
      <c r="AC108" s="373">
        <v>24635.98</v>
      </c>
      <c r="AD108" s="373">
        <v>40410.53</v>
      </c>
      <c r="AE108" s="369">
        <v>15774.55</v>
      </c>
      <c r="AF108" s="344">
        <f t="shared" si="6"/>
        <v>4.2460886672111401E-5</v>
      </c>
    </row>
    <row r="109" spans="1:32">
      <c r="A109" s="419" t="s">
        <v>641</v>
      </c>
      <c r="B109" s="420">
        <v>0</v>
      </c>
      <c r="C109" s="361">
        <f t="shared" si="7"/>
        <v>4262830.17</v>
      </c>
      <c r="D109" s="361">
        <f t="shared" si="8"/>
        <v>24769158.800000001</v>
      </c>
      <c r="E109" s="361">
        <f t="shared" si="9"/>
        <v>80467407.569999993</v>
      </c>
      <c r="F109" s="361">
        <f t="shared" si="10"/>
        <v>87034095.049999997</v>
      </c>
      <c r="G109" s="361">
        <f t="shared" si="11"/>
        <v>70605468.670000002</v>
      </c>
      <c r="H109" s="421">
        <v>0</v>
      </c>
      <c r="I109" s="421">
        <v>0</v>
      </c>
      <c r="J109" s="421">
        <v>1070796</v>
      </c>
      <c r="K109" s="421">
        <v>3192034.17</v>
      </c>
      <c r="L109" s="421">
        <v>3315364.75</v>
      </c>
      <c r="M109" s="421">
        <v>6240855.4499999993</v>
      </c>
      <c r="N109" s="421">
        <v>6118960.9000000013</v>
      </c>
      <c r="O109" s="421">
        <v>9093977.6999999993</v>
      </c>
      <c r="P109" s="421">
        <v>11522921.27</v>
      </c>
      <c r="Q109" s="422">
        <v>21978921.280000001</v>
      </c>
      <c r="R109" s="421">
        <v>32008732.469999999</v>
      </c>
      <c r="S109" s="421">
        <v>14956832.550000001</v>
      </c>
      <c r="T109" s="421">
        <v>18752648.309999999</v>
      </c>
      <c r="U109" s="421">
        <v>25684596.359999999</v>
      </c>
      <c r="V109" s="421">
        <v>25876100.379999995</v>
      </c>
      <c r="W109" s="421">
        <v>16720749.999999998</v>
      </c>
      <c r="X109" s="421">
        <v>11994066.939999999</v>
      </c>
      <c r="Y109" s="421">
        <v>34432299.780000001</v>
      </c>
      <c r="Z109" s="421">
        <v>24179101.950000003</v>
      </c>
      <c r="AA109" s="421"/>
      <c r="AB109" s="421">
        <v>14625721.50983247</v>
      </c>
      <c r="AC109" s="423"/>
      <c r="AD109" s="421">
        <v>337713268.30999994</v>
      </c>
      <c r="AE109" s="424"/>
      <c r="AF109" s="344">
        <f t="shared" si="6"/>
        <v>0</v>
      </c>
    </row>
    <row r="110" spans="1:32">
      <c r="A110" s="425" t="s">
        <v>642</v>
      </c>
      <c r="B110" s="426"/>
      <c r="C110" s="361">
        <f t="shared" si="7"/>
        <v>0</v>
      </c>
      <c r="D110" s="361">
        <f t="shared" si="8"/>
        <v>0</v>
      </c>
      <c r="E110" s="361">
        <f t="shared" si="9"/>
        <v>0</v>
      </c>
      <c r="F110" s="361">
        <f t="shared" si="10"/>
        <v>0</v>
      </c>
      <c r="G110" s="361">
        <f t="shared" si="11"/>
        <v>0</v>
      </c>
      <c r="H110" s="357"/>
      <c r="I110" s="357"/>
      <c r="J110" s="357"/>
      <c r="K110" s="357"/>
      <c r="L110" s="357"/>
      <c r="M110" s="357"/>
      <c r="N110" s="357"/>
      <c r="O110" s="357"/>
      <c r="P110" s="357">
        <v>0</v>
      </c>
      <c r="Q110" s="358">
        <v>0</v>
      </c>
      <c r="R110" s="357">
        <v>0</v>
      </c>
      <c r="S110" s="357">
        <v>0</v>
      </c>
      <c r="T110" s="357">
        <v>0</v>
      </c>
      <c r="U110" s="357">
        <v>0</v>
      </c>
      <c r="V110" s="357">
        <v>0</v>
      </c>
      <c r="W110" s="357">
        <v>0</v>
      </c>
      <c r="X110" s="357">
        <v>0</v>
      </c>
      <c r="Y110" s="357">
        <v>0</v>
      </c>
      <c r="Z110" s="357">
        <v>0</v>
      </c>
      <c r="AA110" s="357">
        <v>0</v>
      </c>
      <c r="AB110" s="357"/>
      <c r="AC110" s="357"/>
      <c r="AD110" s="357">
        <v>0</v>
      </c>
      <c r="AE110" s="357"/>
      <c r="AF110" s="344">
        <f t="shared" si="6"/>
        <v>0</v>
      </c>
    </row>
    <row r="111" spans="1:32" ht="25.5">
      <c r="A111" s="360" t="s">
        <v>643</v>
      </c>
      <c r="B111" s="427" t="s">
        <v>644</v>
      </c>
      <c r="C111" s="361">
        <f t="shared" si="7"/>
        <v>790150.39658958046</v>
      </c>
      <c r="D111" s="361">
        <f t="shared" si="8"/>
        <v>3354245.8</v>
      </c>
      <c r="E111" s="361">
        <f t="shared" si="9"/>
        <v>7984729.5200000014</v>
      </c>
      <c r="F111" s="361">
        <f t="shared" si="10"/>
        <v>14497221.559999999</v>
      </c>
      <c r="G111" s="361">
        <f>SUM(X111:AA111)</f>
        <v>27390843.340000004</v>
      </c>
      <c r="H111" s="388">
        <v>0</v>
      </c>
      <c r="I111" s="388">
        <v>0</v>
      </c>
      <c r="J111" s="388">
        <v>400271.88658958045</v>
      </c>
      <c r="K111" s="388">
        <v>389878.51</v>
      </c>
      <c r="L111" s="388">
        <v>7733</v>
      </c>
      <c r="M111" s="388">
        <v>1223873.17</v>
      </c>
      <c r="N111" s="388">
        <v>1000880.3500000001</v>
      </c>
      <c r="O111" s="388">
        <v>1121759.28</v>
      </c>
      <c r="P111" s="388">
        <v>539448.28</v>
      </c>
      <c r="Q111" s="389">
        <v>2406972.8200000003</v>
      </c>
      <c r="R111" s="388">
        <v>1025856.35</v>
      </c>
      <c r="S111" s="388">
        <v>4012452.0700000003</v>
      </c>
      <c r="T111" s="388">
        <v>578674.02</v>
      </c>
      <c r="U111" s="388">
        <v>3984280.83</v>
      </c>
      <c r="V111" s="388">
        <v>5323351.9800000004</v>
      </c>
      <c r="W111" s="388">
        <v>4610914.7299999995</v>
      </c>
      <c r="X111" s="388">
        <v>7569584.5699999994</v>
      </c>
      <c r="Y111" s="388">
        <v>9354057.7100000009</v>
      </c>
      <c r="Z111" s="388">
        <v>10467201.060000001</v>
      </c>
      <c r="AA111" s="362"/>
      <c r="AB111" s="388">
        <v>4185352.9230521144</v>
      </c>
      <c r="AC111" s="364"/>
      <c r="AD111" s="388">
        <v>70894407.479999974</v>
      </c>
      <c r="AE111" s="364"/>
      <c r="AF111" s="344">
        <f t="shared" si="6"/>
        <v>0</v>
      </c>
    </row>
    <row r="112" spans="1:32">
      <c r="A112" s="393" t="s">
        <v>645</v>
      </c>
      <c r="B112" s="391" t="s">
        <v>646</v>
      </c>
      <c r="C112" s="361">
        <f t="shared" si="7"/>
        <v>641579.44316859497</v>
      </c>
      <c r="D112" s="361">
        <f t="shared" si="8"/>
        <v>1149081.97</v>
      </c>
      <c r="E112" s="361">
        <f t="shared" si="9"/>
        <v>6093127.6699999999</v>
      </c>
      <c r="F112" s="361">
        <f t="shared" si="10"/>
        <v>12871487.689999999</v>
      </c>
      <c r="G112" s="361">
        <f t="shared" si="11"/>
        <v>45458942.857251652</v>
      </c>
      <c r="H112" s="394">
        <v>0</v>
      </c>
      <c r="I112" s="394">
        <v>0</v>
      </c>
      <c r="J112" s="394">
        <v>315306.19316859497</v>
      </c>
      <c r="K112" s="394">
        <v>326273.25</v>
      </c>
      <c r="L112" s="394">
        <v>5862</v>
      </c>
      <c r="M112" s="394">
        <v>266475.39</v>
      </c>
      <c r="N112" s="394">
        <v>745302.04</v>
      </c>
      <c r="O112" s="394">
        <v>131442.53999999998</v>
      </c>
      <c r="P112" s="394">
        <v>529767.56000000006</v>
      </c>
      <c r="Q112" s="395">
        <v>1580683.62</v>
      </c>
      <c r="R112" s="394">
        <v>1025856.35</v>
      </c>
      <c r="S112" s="394">
        <v>2956820.14</v>
      </c>
      <c r="T112" s="394">
        <v>577487.52999999991</v>
      </c>
      <c r="U112" s="394">
        <v>3110749.65</v>
      </c>
      <c r="V112" s="394">
        <v>4764451.6399999997</v>
      </c>
      <c r="W112" s="394">
        <v>4418798.8699999992</v>
      </c>
      <c r="X112" s="394">
        <v>6839831.4699999997</v>
      </c>
      <c r="Y112" s="394">
        <v>9147499.3499999996</v>
      </c>
      <c r="Z112" s="394">
        <v>9084733.1099999994</v>
      </c>
      <c r="AA112" s="392">
        <v>20386878.927251652</v>
      </c>
      <c r="AB112" s="394">
        <v>3401661.6836581752</v>
      </c>
      <c r="AC112" s="373">
        <v>66214219.627251655</v>
      </c>
      <c r="AD112" s="373">
        <v>67893620.689999983</v>
      </c>
      <c r="AE112" s="373">
        <v>1679401.06</v>
      </c>
      <c r="AF112" s="344">
        <f t="shared" si="6"/>
        <v>0.11412229088004727</v>
      </c>
    </row>
    <row r="113" spans="1:32">
      <c r="A113" s="370" t="s">
        <v>647</v>
      </c>
      <c r="B113" s="366" t="s">
        <v>648</v>
      </c>
      <c r="C113" s="361">
        <f t="shared" si="7"/>
        <v>641579.44316859497</v>
      </c>
      <c r="D113" s="361">
        <f t="shared" si="8"/>
        <v>1130342.97</v>
      </c>
      <c r="E113" s="361">
        <f t="shared" si="9"/>
        <v>3519576.8200000003</v>
      </c>
      <c r="F113" s="361">
        <f t="shared" si="10"/>
        <v>1207312.76</v>
      </c>
      <c r="G113" s="361">
        <f t="shared" si="11"/>
        <v>4927912.3854334652</v>
      </c>
      <c r="H113" s="374">
        <v>0</v>
      </c>
      <c r="I113" s="374">
        <v>0</v>
      </c>
      <c r="J113" s="374">
        <v>315306.19316859497</v>
      </c>
      <c r="K113" s="374">
        <v>326273.25</v>
      </c>
      <c r="L113" s="374">
        <v>5862</v>
      </c>
      <c r="M113" s="374">
        <v>238685.39</v>
      </c>
      <c r="N113" s="374">
        <v>745475.02</v>
      </c>
      <c r="O113" s="374">
        <v>140320.56</v>
      </c>
      <c r="P113" s="374">
        <v>529767.56000000006</v>
      </c>
      <c r="Q113" s="374">
        <v>1033136.31</v>
      </c>
      <c r="R113" s="374">
        <v>13446.65</v>
      </c>
      <c r="S113" s="374">
        <v>1943226.3</v>
      </c>
      <c r="T113" s="374">
        <v>313546.68</v>
      </c>
      <c r="U113" s="374">
        <v>149577.47</v>
      </c>
      <c r="V113" s="374">
        <v>269786.87</v>
      </c>
      <c r="W113" s="374">
        <v>474401.74</v>
      </c>
      <c r="X113" s="374">
        <v>217392.9</v>
      </c>
      <c r="Y113" s="374">
        <v>450543.35999999999</v>
      </c>
      <c r="Z113" s="383">
        <v>1868719.6600000001</v>
      </c>
      <c r="AA113" s="367">
        <v>2391256.4654334658</v>
      </c>
      <c r="AB113" s="374">
        <v>450922.46547635552</v>
      </c>
      <c r="AC113" s="373">
        <v>11426724.375433465</v>
      </c>
      <c r="AD113" s="373">
        <v>10835588.620000001</v>
      </c>
      <c r="AE113" s="373">
        <v>-591135.76</v>
      </c>
      <c r="AF113" s="344">
        <f t="shared" si="6"/>
        <v>1.9694318989491519E-2</v>
      </c>
    </row>
    <row r="114" spans="1:32">
      <c r="A114" s="428" t="s">
        <v>649</v>
      </c>
      <c r="B114" s="366" t="s">
        <v>650</v>
      </c>
      <c r="C114" s="361">
        <f t="shared" si="7"/>
        <v>0</v>
      </c>
      <c r="D114" s="361">
        <f t="shared" si="8"/>
        <v>18738.999999999993</v>
      </c>
      <c r="E114" s="361">
        <f t="shared" si="9"/>
        <v>0</v>
      </c>
      <c r="F114" s="361">
        <f t="shared" si="10"/>
        <v>121968.42</v>
      </c>
      <c r="G114" s="361">
        <f t="shared" si="11"/>
        <v>191715.32</v>
      </c>
      <c r="H114" s="374">
        <v>0</v>
      </c>
      <c r="I114" s="374">
        <v>0</v>
      </c>
      <c r="J114" s="374">
        <v>0</v>
      </c>
      <c r="K114" s="374">
        <v>0</v>
      </c>
      <c r="L114" s="374">
        <v>0</v>
      </c>
      <c r="M114" s="374">
        <v>27790</v>
      </c>
      <c r="N114" s="374">
        <v>-172.98</v>
      </c>
      <c r="O114" s="374">
        <v>-8878.0200000000095</v>
      </c>
      <c r="P114" s="374">
        <v>0</v>
      </c>
      <c r="Q114" s="374">
        <v>0</v>
      </c>
      <c r="R114" s="374">
        <v>0</v>
      </c>
      <c r="S114" s="374">
        <v>0</v>
      </c>
      <c r="T114" s="374">
        <v>55932</v>
      </c>
      <c r="U114" s="374">
        <v>0</v>
      </c>
      <c r="V114" s="374">
        <v>66036.42</v>
      </c>
      <c r="W114" s="374">
        <v>0</v>
      </c>
      <c r="X114" s="374">
        <v>50264.86</v>
      </c>
      <c r="Y114" s="374">
        <v>0</v>
      </c>
      <c r="Z114" s="383">
        <v>44232.1</v>
      </c>
      <c r="AA114" s="367">
        <v>97218.36</v>
      </c>
      <c r="AB114" s="374">
        <v>20756.169999999955</v>
      </c>
      <c r="AC114" s="373">
        <v>332422.74</v>
      </c>
      <c r="AD114" s="373">
        <v>383334.85</v>
      </c>
      <c r="AE114" s="373">
        <v>50912.11</v>
      </c>
      <c r="AF114" s="344">
        <f t="shared" si="6"/>
        <v>5.7294105168021543E-4</v>
      </c>
    </row>
    <row r="115" spans="1:32">
      <c r="A115" s="370" t="s">
        <v>651</v>
      </c>
      <c r="B115" s="366" t="s">
        <v>652</v>
      </c>
      <c r="C115" s="361">
        <f t="shared" si="7"/>
        <v>0</v>
      </c>
      <c r="D115" s="361">
        <f t="shared" si="8"/>
        <v>0</v>
      </c>
      <c r="E115" s="361">
        <f t="shared" si="9"/>
        <v>2573550.8500000006</v>
      </c>
      <c r="F115" s="361">
        <f t="shared" si="10"/>
        <v>2127949.0700000003</v>
      </c>
      <c r="G115" s="361">
        <f t="shared" si="11"/>
        <v>532795.43121212127</v>
      </c>
      <c r="H115" s="374">
        <v>0</v>
      </c>
      <c r="I115" s="374">
        <v>0</v>
      </c>
      <c r="J115" s="374">
        <v>0</v>
      </c>
      <c r="K115" s="374">
        <v>0</v>
      </c>
      <c r="L115" s="374">
        <v>0</v>
      </c>
      <c r="M115" s="374">
        <v>0</v>
      </c>
      <c r="N115" s="374">
        <v>0</v>
      </c>
      <c r="O115" s="374">
        <v>0</v>
      </c>
      <c r="P115" s="374">
        <v>0</v>
      </c>
      <c r="Q115" s="374">
        <v>547547.31000000006</v>
      </c>
      <c r="R115" s="374">
        <v>1012409.7000000001</v>
      </c>
      <c r="S115" s="374">
        <v>1013593.8400000001</v>
      </c>
      <c r="T115" s="374">
        <v>208008.80999999997</v>
      </c>
      <c r="U115" s="374">
        <v>883028.59000000008</v>
      </c>
      <c r="V115" s="374">
        <v>1036911.6699999999</v>
      </c>
      <c r="W115" s="374">
        <v>0</v>
      </c>
      <c r="X115" s="374">
        <v>0</v>
      </c>
      <c r="Y115" s="374">
        <v>0</v>
      </c>
      <c r="Z115" s="429">
        <v>0</v>
      </c>
      <c r="AA115" s="367">
        <v>532795.43121212127</v>
      </c>
      <c r="AB115" s="374">
        <v>447113.35878787877</v>
      </c>
      <c r="AC115" s="373">
        <v>5234295.3512121215</v>
      </c>
      <c r="AD115" s="373">
        <v>5705830.6699999999</v>
      </c>
      <c r="AE115" s="373">
        <v>471535.32</v>
      </c>
      <c r="AF115" s="344">
        <f t="shared" si="6"/>
        <v>9.0214727287559679E-3</v>
      </c>
    </row>
    <row r="116" spans="1:32">
      <c r="A116" s="370" t="s">
        <v>653</v>
      </c>
      <c r="B116" s="366" t="s">
        <v>654</v>
      </c>
      <c r="C116" s="361">
        <f t="shared" si="7"/>
        <v>0</v>
      </c>
      <c r="D116" s="361">
        <f t="shared" si="8"/>
        <v>0</v>
      </c>
      <c r="E116" s="361">
        <f t="shared" si="9"/>
        <v>0</v>
      </c>
      <c r="F116" s="361">
        <f t="shared" si="10"/>
        <v>3948715.78</v>
      </c>
      <c r="G116" s="361">
        <f t="shared" si="11"/>
        <v>8770136.1318181828</v>
      </c>
      <c r="H116" s="374">
        <v>0</v>
      </c>
      <c r="I116" s="374">
        <v>0</v>
      </c>
      <c r="J116" s="374">
        <v>0</v>
      </c>
      <c r="K116" s="374">
        <v>0</v>
      </c>
      <c r="L116" s="374">
        <v>0</v>
      </c>
      <c r="M116" s="374">
        <v>0</v>
      </c>
      <c r="N116" s="374">
        <v>0</v>
      </c>
      <c r="O116" s="374">
        <v>0</v>
      </c>
      <c r="P116" s="374">
        <v>0</v>
      </c>
      <c r="Q116" s="374">
        <v>0</v>
      </c>
      <c r="R116" s="374">
        <v>0</v>
      </c>
      <c r="S116" s="374">
        <v>0</v>
      </c>
      <c r="T116" s="374">
        <v>0.38000000000465661</v>
      </c>
      <c r="U116" s="374">
        <v>696238.87</v>
      </c>
      <c r="V116" s="374">
        <v>1934585.7100000002</v>
      </c>
      <c r="W116" s="374">
        <v>1317890.8199999998</v>
      </c>
      <c r="X116" s="374">
        <v>3226324.21</v>
      </c>
      <c r="Y116" s="374">
        <v>3169642.8600000003</v>
      </c>
      <c r="Z116" s="383">
        <v>63717.99</v>
      </c>
      <c r="AA116" s="367">
        <v>2310451.0718181818</v>
      </c>
      <c r="AB116" s="374">
        <v>1270255.1381818196</v>
      </c>
      <c r="AC116" s="373">
        <v>12718851.911818182</v>
      </c>
      <c r="AD116" s="373">
        <v>14113576.77</v>
      </c>
      <c r="AE116" s="373">
        <v>1394724.86</v>
      </c>
      <c r="AF116" s="344">
        <f t="shared" si="6"/>
        <v>2.1921341453722532E-2</v>
      </c>
    </row>
    <row r="117" spans="1:32">
      <c r="A117" s="370" t="s">
        <v>655</v>
      </c>
      <c r="B117" s="366" t="s">
        <v>656</v>
      </c>
      <c r="C117" s="361">
        <f t="shared" si="7"/>
        <v>0</v>
      </c>
      <c r="D117" s="361">
        <f t="shared" si="8"/>
        <v>0</v>
      </c>
      <c r="E117" s="361">
        <f t="shared" si="9"/>
        <v>0</v>
      </c>
      <c r="F117" s="361">
        <f t="shared" si="10"/>
        <v>2259448.9</v>
      </c>
      <c r="G117" s="361">
        <f t="shared" si="11"/>
        <v>3989372.5754545457</v>
      </c>
      <c r="H117" s="374">
        <v>0</v>
      </c>
      <c r="I117" s="374">
        <v>0</v>
      </c>
      <c r="J117" s="374">
        <v>0</v>
      </c>
      <c r="K117" s="374">
        <v>0</v>
      </c>
      <c r="L117" s="374">
        <v>0</v>
      </c>
      <c r="M117" s="374">
        <v>0</v>
      </c>
      <c r="N117" s="374">
        <v>0</v>
      </c>
      <c r="O117" s="374">
        <v>0</v>
      </c>
      <c r="P117" s="374">
        <v>0</v>
      </c>
      <c r="Q117" s="374">
        <v>0</v>
      </c>
      <c r="R117" s="374">
        <v>0</v>
      </c>
      <c r="S117" s="374">
        <v>0</v>
      </c>
      <c r="T117" s="374">
        <v>-0.33999999999650754</v>
      </c>
      <c r="U117" s="374">
        <v>1052169.4100000001</v>
      </c>
      <c r="V117" s="374">
        <v>357310.23</v>
      </c>
      <c r="W117" s="374">
        <v>849969.6</v>
      </c>
      <c r="X117" s="374">
        <v>589982.92000000004</v>
      </c>
      <c r="Y117" s="374">
        <v>1139400.6000000001</v>
      </c>
      <c r="Z117" s="383">
        <v>658439.02</v>
      </c>
      <c r="AA117" s="367">
        <v>1601550.0354545456</v>
      </c>
      <c r="AB117" s="374">
        <v>458934.48454545485</v>
      </c>
      <c r="AC117" s="373">
        <v>6248821.4754545446</v>
      </c>
      <c r="AD117" s="373">
        <v>6675202.6699999999</v>
      </c>
      <c r="AE117" s="373">
        <v>426381.19</v>
      </c>
      <c r="AF117" s="344">
        <f t="shared" si="6"/>
        <v>1.0770040424758072E-2</v>
      </c>
    </row>
    <row r="118" spans="1:32">
      <c r="A118" s="370" t="s">
        <v>657</v>
      </c>
      <c r="B118" s="366" t="s">
        <v>658</v>
      </c>
      <c r="C118" s="361">
        <f t="shared" si="7"/>
        <v>0</v>
      </c>
      <c r="D118" s="361">
        <f t="shared" si="8"/>
        <v>0</v>
      </c>
      <c r="E118" s="361">
        <f t="shared" si="9"/>
        <v>0</v>
      </c>
      <c r="F118" s="361">
        <f t="shared" si="10"/>
        <v>0</v>
      </c>
      <c r="G118" s="361">
        <f t="shared" si="11"/>
        <v>2125557.33</v>
      </c>
      <c r="H118" s="374">
        <v>0</v>
      </c>
      <c r="I118" s="374">
        <v>0</v>
      </c>
      <c r="J118" s="374">
        <v>0</v>
      </c>
      <c r="K118" s="374">
        <v>0</v>
      </c>
      <c r="L118" s="374">
        <v>0</v>
      </c>
      <c r="M118" s="374">
        <v>0</v>
      </c>
      <c r="N118" s="374">
        <v>0</v>
      </c>
      <c r="O118" s="374">
        <v>0</v>
      </c>
      <c r="P118" s="374">
        <v>0</v>
      </c>
      <c r="Q118" s="374">
        <v>0</v>
      </c>
      <c r="R118" s="374">
        <v>0</v>
      </c>
      <c r="S118" s="374">
        <v>0</v>
      </c>
      <c r="T118" s="374">
        <v>0</v>
      </c>
      <c r="U118" s="374">
        <v>0</v>
      </c>
      <c r="V118" s="374">
        <v>0</v>
      </c>
      <c r="W118" s="374">
        <v>0</v>
      </c>
      <c r="X118" s="374">
        <v>303708.65999999997</v>
      </c>
      <c r="Y118" s="374">
        <v>441734.18</v>
      </c>
      <c r="Z118" s="383">
        <v>462527.08999999997</v>
      </c>
      <c r="AA118" s="367">
        <v>917587.4</v>
      </c>
      <c r="AB118" s="374">
        <v>269435.71999999997</v>
      </c>
      <c r="AC118" s="373">
        <v>2125557.33</v>
      </c>
      <c r="AD118" s="373">
        <v>2376132.41</v>
      </c>
      <c r="AE118" s="373">
        <v>250575.08</v>
      </c>
      <c r="AF118" s="344">
        <f t="shared" si="6"/>
        <v>3.66346493641437E-3</v>
      </c>
    </row>
    <row r="119" spans="1:32">
      <c r="A119" s="370" t="s">
        <v>659</v>
      </c>
      <c r="B119" s="366" t="s">
        <v>660</v>
      </c>
      <c r="C119" s="361">
        <f t="shared" si="7"/>
        <v>0</v>
      </c>
      <c r="D119" s="361">
        <f t="shared" si="8"/>
        <v>0</v>
      </c>
      <c r="E119" s="361">
        <f t="shared" si="9"/>
        <v>0</v>
      </c>
      <c r="F119" s="361">
        <f t="shared" si="10"/>
        <v>2118990.81</v>
      </c>
      <c r="G119" s="361">
        <f t="shared" si="11"/>
        <v>8422956.9406060614</v>
      </c>
      <c r="H119" s="374"/>
      <c r="I119" s="374"/>
      <c r="J119" s="374"/>
      <c r="K119" s="374"/>
      <c r="L119" s="374"/>
      <c r="M119" s="374"/>
      <c r="N119" s="374"/>
      <c r="O119" s="374"/>
      <c r="P119" s="374"/>
      <c r="Q119" s="374"/>
      <c r="R119" s="374"/>
      <c r="S119" s="374"/>
      <c r="T119" s="374"/>
      <c r="U119" s="374">
        <v>329735.31</v>
      </c>
      <c r="V119" s="374">
        <v>1099820.74</v>
      </c>
      <c r="W119" s="374">
        <v>689434.76</v>
      </c>
      <c r="X119" s="374">
        <v>603689.61</v>
      </c>
      <c r="Y119" s="374">
        <v>1493887.0299999998</v>
      </c>
      <c r="Z119" s="383">
        <v>3541650.8</v>
      </c>
      <c r="AA119" s="367">
        <v>2783729.500606061</v>
      </c>
      <c r="AB119" s="374">
        <v>-0.39060606062412262</v>
      </c>
      <c r="AC119" s="373">
        <v>10541947.75060606</v>
      </c>
      <c r="AD119" s="373">
        <v>10538932.65</v>
      </c>
      <c r="AE119" s="373">
        <v>-3015.1</v>
      </c>
      <c r="AF119" s="344">
        <f t="shared" si="6"/>
        <v>1.8169378638146466E-2</v>
      </c>
    </row>
    <row r="120" spans="1:32">
      <c r="A120" s="370" t="s">
        <v>661</v>
      </c>
      <c r="B120" s="366" t="s">
        <v>662</v>
      </c>
      <c r="C120" s="361">
        <f t="shared" si="7"/>
        <v>0</v>
      </c>
      <c r="D120" s="361">
        <f t="shared" si="8"/>
        <v>0</v>
      </c>
      <c r="E120" s="361">
        <f t="shared" si="9"/>
        <v>0</v>
      </c>
      <c r="F120" s="361">
        <f t="shared" si="10"/>
        <v>792955.33000000007</v>
      </c>
      <c r="G120" s="361">
        <f t="shared" si="11"/>
        <v>10235370.698484849</v>
      </c>
      <c r="H120" s="374"/>
      <c r="I120" s="374"/>
      <c r="J120" s="374"/>
      <c r="K120" s="374"/>
      <c r="L120" s="374"/>
      <c r="M120" s="374"/>
      <c r="N120" s="374"/>
      <c r="O120" s="374"/>
      <c r="P120" s="374"/>
      <c r="Q120" s="374"/>
      <c r="R120" s="374"/>
      <c r="S120" s="374"/>
      <c r="T120" s="374"/>
      <c r="U120" s="374">
        <v>0</v>
      </c>
      <c r="V120" s="374">
        <v>0</v>
      </c>
      <c r="W120" s="374">
        <v>792955.33000000007</v>
      </c>
      <c r="X120" s="374">
        <v>1380030.46</v>
      </c>
      <c r="Y120" s="374">
        <v>1787149.1</v>
      </c>
      <c r="Z120" s="383">
        <v>1506518.1400000001</v>
      </c>
      <c r="AA120" s="367">
        <v>5561672.9984848481</v>
      </c>
      <c r="AB120" s="374">
        <v>147495.94151515141</v>
      </c>
      <c r="AC120" s="373">
        <v>11028326.028484847</v>
      </c>
      <c r="AD120" s="373">
        <v>10312788.35</v>
      </c>
      <c r="AE120" s="373">
        <v>-715537.68</v>
      </c>
      <c r="AF120" s="344">
        <f t="shared" si="6"/>
        <v>1.9007666903390549E-2</v>
      </c>
    </row>
    <row r="121" spans="1:32">
      <c r="A121" s="370" t="s">
        <v>663</v>
      </c>
      <c r="B121" s="366" t="s">
        <v>664</v>
      </c>
      <c r="C121" s="361">
        <f t="shared" si="7"/>
        <v>0</v>
      </c>
      <c r="D121" s="361">
        <f t="shared" si="8"/>
        <v>0</v>
      </c>
      <c r="E121" s="361">
        <f t="shared" si="9"/>
        <v>0</v>
      </c>
      <c r="F121" s="361">
        <f t="shared" si="10"/>
        <v>294146.62</v>
      </c>
      <c r="G121" s="361">
        <f t="shared" si="11"/>
        <v>2019043.3542424245</v>
      </c>
      <c r="H121" s="374"/>
      <c r="I121" s="374"/>
      <c r="J121" s="374"/>
      <c r="K121" s="374"/>
      <c r="L121" s="374"/>
      <c r="M121" s="374"/>
      <c r="N121" s="374"/>
      <c r="O121" s="374"/>
      <c r="P121" s="374"/>
      <c r="Q121" s="374"/>
      <c r="R121" s="374"/>
      <c r="S121" s="374"/>
      <c r="T121" s="374"/>
      <c r="U121" s="374">
        <v>0</v>
      </c>
      <c r="V121" s="374">
        <v>0</v>
      </c>
      <c r="W121" s="374">
        <v>294146.62</v>
      </c>
      <c r="X121" s="374">
        <v>291199.66000000003</v>
      </c>
      <c r="Y121" s="374">
        <v>453244.23000000004</v>
      </c>
      <c r="Z121" s="383">
        <v>573240.26</v>
      </c>
      <c r="AA121" s="367">
        <v>701359.20424242434</v>
      </c>
      <c r="AB121" s="374">
        <v>396825.42575757555</v>
      </c>
      <c r="AC121" s="373">
        <v>2313189.9742424246</v>
      </c>
      <c r="AD121" s="373">
        <v>2711381.26</v>
      </c>
      <c r="AE121" s="373">
        <v>398191.29</v>
      </c>
      <c r="AF121" s="344">
        <f t="shared" si="6"/>
        <v>3.9868557024064751E-3</v>
      </c>
    </row>
    <row r="122" spans="1:32">
      <c r="A122" s="430" t="s">
        <v>665</v>
      </c>
      <c r="B122" s="431" t="s">
        <v>666</v>
      </c>
      <c r="C122" s="361">
        <f t="shared" si="7"/>
        <v>0</v>
      </c>
      <c r="D122" s="361">
        <f t="shared" si="8"/>
        <v>0</v>
      </c>
      <c r="E122" s="361">
        <f t="shared" si="9"/>
        <v>0</v>
      </c>
      <c r="F122" s="361">
        <f t="shared" si="10"/>
        <v>0</v>
      </c>
      <c r="G122" s="361">
        <f t="shared" si="11"/>
        <v>51958.91</v>
      </c>
      <c r="H122" s="374">
        <v>0</v>
      </c>
      <c r="I122" s="374">
        <v>0</v>
      </c>
      <c r="J122" s="374">
        <v>0</v>
      </c>
      <c r="K122" s="374">
        <v>0</v>
      </c>
      <c r="L122" s="374">
        <v>0</v>
      </c>
      <c r="M122" s="374">
        <v>0</v>
      </c>
      <c r="N122" s="374">
        <v>0</v>
      </c>
      <c r="O122" s="374">
        <v>0</v>
      </c>
      <c r="P122" s="374">
        <v>0</v>
      </c>
      <c r="Q122" s="374">
        <v>0</v>
      </c>
      <c r="R122" s="374">
        <v>0</v>
      </c>
      <c r="S122" s="374">
        <v>0</v>
      </c>
      <c r="T122" s="374">
        <v>0</v>
      </c>
      <c r="U122" s="374">
        <v>0</v>
      </c>
      <c r="V122" s="374">
        <v>0</v>
      </c>
      <c r="W122" s="374">
        <v>0</v>
      </c>
      <c r="X122" s="374">
        <v>0</v>
      </c>
      <c r="Y122" s="374">
        <v>0</v>
      </c>
      <c r="Z122" s="374">
        <v>0</v>
      </c>
      <c r="AA122" s="367">
        <v>51958.91</v>
      </c>
      <c r="AB122" s="374">
        <v>9.9999999998544808E-2</v>
      </c>
      <c r="AC122" s="373">
        <v>51958.91</v>
      </c>
      <c r="AD122" s="373">
        <v>0</v>
      </c>
      <c r="AE122" s="373">
        <v>-51958.91</v>
      </c>
      <c r="AF122" s="344">
        <f t="shared" si="6"/>
        <v>8.9552816210941715E-5</v>
      </c>
    </row>
    <row r="123" spans="1:32">
      <c r="A123" s="370" t="s">
        <v>667</v>
      </c>
      <c r="B123" s="382" t="s">
        <v>668</v>
      </c>
      <c r="C123" s="361">
        <f t="shared" si="7"/>
        <v>0</v>
      </c>
      <c r="D123" s="361">
        <f t="shared" si="8"/>
        <v>0</v>
      </c>
      <c r="E123" s="361">
        <f t="shared" si="9"/>
        <v>0</v>
      </c>
      <c r="F123" s="361">
        <f t="shared" si="10"/>
        <v>0</v>
      </c>
      <c r="G123" s="361">
        <f t="shared" si="11"/>
        <v>651224.12</v>
      </c>
      <c r="H123" s="374">
        <v>0</v>
      </c>
      <c r="I123" s="374">
        <v>0</v>
      </c>
      <c r="J123" s="374">
        <v>0</v>
      </c>
      <c r="K123" s="374">
        <v>0</v>
      </c>
      <c r="L123" s="374">
        <v>0</v>
      </c>
      <c r="M123" s="374">
        <v>0</v>
      </c>
      <c r="N123" s="374">
        <v>0</v>
      </c>
      <c r="O123" s="374">
        <v>0</v>
      </c>
      <c r="P123" s="374">
        <v>0</v>
      </c>
      <c r="Q123" s="374">
        <v>0</v>
      </c>
      <c r="R123" s="374">
        <v>0</v>
      </c>
      <c r="S123" s="374">
        <v>0</v>
      </c>
      <c r="T123" s="374">
        <v>0</v>
      </c>
      <c r="U123" s="374">
        <v>0</v>
      </c>
      <c r="V123" s="374">
        <v>0</v>
      </c>
      <c r="W123" s="374">
        <v>0</v>
      </c>
      <c r="X123" s="374">
        <v>175455.47</v>
      </c>
      <c r="Y123" s="374">
        <v>211897.99</v>
      </c>
      <c r="Z123" s="374">
        <v>132114.51</v>
      </c>
      <c r="AA123" s="367">
        <v>131756.15000000002</v>
      </c>
      <c r="AB123" s="374">
        <v>-60078.789999999979</v>
      </c>
      <c r="AC123" s="373">
        <v>651224.12000000011</v>
      </c>
      <c r="AD123" s="373">
        <v>565390.48</v>
      </c>
      <c r="AE123" s="373">
        <v>-85833.64</v>
      </c>
      <c r="AF123" s="344">
        <f t="shared" si="6"/>
        <v>1.1224052608203724E-3</v>
      </c>
    </row>
    <row r="124" spans="1:32">
      <c r="A124" s="370" t="s">
        <v>669</v>
      </c>
      <c r="B124" s="382" t="s">
        <v>670</v>
      </c>
      <c r="C124" s="361">
        <f t="shared" si="7"/>
        <v>0</v>
      </c>
      <c r="D124" s="361">
        <f t="shared" si="8"/>
        <v>0</v>
      </c>
      <c r="E124" s="361">
        <f t="shared" si="9"/>
        <v>0</v>
      </c>
      <c r="F124" s="361">
        <f t="shared" si="10"/>
        <v>0</v>
      </c>
      <c r="G124" s="361">
        <f t="shared" si="11"/>
        <v>3441504.9499999997</v>
      </c>
      <c r="H124" s="374">
        <v>0</v>
      </c>
      <c r="I124" s="374">
        <v>0</v>
      </c>
      <c r="J124" s="374">
        <v>0</v>
      </c>
      <c r="K124" s="374">
        <v>0</v>
      </c>
      <c r="L124" s="374">
        <v>0</v>
      </c>
      <c r="M124" s="374">
        <v>0</v>
      </c>
      <c r="N124" s="374">
        <v>0</v>
      </c>
      <c r="O124" s="374">
        <v>0</v>
      </c>
      <c r="P124" s="374">
        <v>0</v>
      </c>
      <c r="Q124" s="374">
        <v>0</v>
      </c>
      <c r="R124" s="374">
        <v>0</v>
      </c>
      <c r="S124" s="374">
        <v>0</v>
      </c>
      <c r="T124" s="374">
        <v>0</v>
      </c>
      <c r="U124" s="374">
        <v>0</v>
      </c>
      <c r="V124" s="374">
        <v>0</v>
      </c>
      <c r="W124" s="374">
        <v>0</v>
      </c>
      <c r="X124" s="374">
        <v>1782.72</v>
      </c>
      <c r="Y124" s="374">
        <v>0</v>
      </c>
      <c r="Z124" s="383">
        <v>233573.53999999998</v>
      </c>
      <c r="AA124" s="367">
        <v>3206148.69</v>
      </c>
      <c r="AB124" s="374">
        <v>2.5100000002421439</v>
      </c>
      <c r="AC124" s="373">
        <v>3441504.9499999997</v>
      </c>
      <c r="AD124" s="373">
        <v>3557814.96</v>
      </c>
      <c r="AE124" s="373">
        <v>116310.01</v>
      </c>
      <c r="AF124" s="344">
        <f t="shared" si="6"/>
        <v>5.9315420642272153E-3</v>
      </c>
    </row>
    <row r="125" spans="1:32">
      <c r="A125" s="370" t="s">
        <v>671</v>
      </c>
      <c r="B125" s="382" t="s">
        <v>672</v>
      </c>
      <c r="C125" s="361">
        <f t="shared" si="7"/>
        <v>0</v>
      </c>
      <c r="D125" s="361">
        <f t="shared" si="8"/>
        <v>0</v>
      </c>
      <c r="E125" s="361">
        <f t="shared" si="9"/>
        <v>0</v>
      </c>
      <c r="F125" s="361">
        <f t="shared" si="10"/>
        <v>0</v>
      </c>
      <c r="G125" s="361">
        <f t="shared" si="11"/>
        <v>23246.44</v>
      </c>
      <c r="H125" s="374"/>
      <c r="I125" s="374"/>
      <c r="J125" s="374"/>
      <c r="K125" s="374"/>
      <c r="L125" s="374"/>
      <c r="M125" s="374"/>
      <c r="N125" s="374"/>
      <c r="O125" s="374"/>
      <c r="P125" s="374"/>
      <c r="Q125" s="374"/>
      <c r="R125" s="374"/>
      <c r="S125" s="374"/>
      <c r="T125" s="374"/>
      <c r="U125" s="374"/>
      <c r="V125" s="374"/>
      <c r="W125" s="374"/>
      <c r="X125" s="374"/>
      <c r="Y125" s="374">
        <v>0</v>
      </c>
      <c r="Z125" s="383">
        <v>0</v>
      </c>
      <c r="AA125" s="367">
        <v>23246.44</v>
      </c>
      <c r="AB125" s="374">
        <v>-0.44999999999708962</v>
      </c>
      <c r="AC125" s="373">
        <v>23246.44</v>
      </c>
      <c r="AD125" s="373">
        <v>17647</v>
      </c>
      <c r="AE125" s="373">
        <v>-5599.44</v>
      </c>
      <c r="AF125" s="344">
        <f t="shared" si="6"/>
        <v>4.0065970761870944E-5</v>
      </c>
    </row>
    <row r="126" spans="1:32">
      <c r="A126" s="370" t="s">
        <v>673</v>
      </c>
      <c r="B126" s="382" t="s">
        <v>674</v>
      </c>
      <c r="C126" s="361">
        <f t="shared" si="7"/>
        <v>0</v>
      </c>
      <c r="D126" s="361">
        <f t="shared" si="8"/>
        <v>0</v>
      </c>
      <c r="E126" s="361">
        <f t="shared" si="9"/>
        <v>0</v>
      </c>
      <c r="F126" s="361">
        <f t="shared" si="10"/>
        <v>0</v>
      </c>
      <c r="G126" s="361">
        <f t="shared" si="11"/>
        <v>76148.27</v>
      </c>
      <c r="H126" s="374"/>
      <c r="I126" s="374"/>
      <c r="J126" s="374"/>
      <c r="K126" s="374"/>
      <c r="L126" s="374"/>
      <c r="M126" s="374"/>
      <c r="N126" s="374"/>
      <c r="O126" s="374"/>
      <c r="P126" s="374"/>
      <c r="Q126" s="374"/>
      <c r="R126" s="374"/>
      <c r="S126" s="374"/>
      <c r="T126" s="374"/>
      <c r="U126" s="374"/>
      <c r="V126" s="374"/>
      <c r="W126" s="374"/>
      <c r="X126" s="374"/>
      <c r="Y126" s="374">
        <v>0</v>
      </c>
      <c r="Z126" s="383">
        <v>0</v>
      </c>
      <c r="AA126" s="367">
        <v>76148.27</v>
      </c>
      <c r="AB126" s="374">
        <v>0</v>
      </c>
      <c r="AC126" s="373">
        <v>76148.27</v>
      </c>
      <c r="AD126" s="373">
        <v>41176.5</v>
      </c>
      <c r="AE126" s="373">
        <v>-34971.769999999997</v>
      </c>
      <c r="AF126" s="344">
        <f t="shared" si="6"/>
        <v>1.3124393926068053E-4</v>
      </c>
    </row>
    <row r="127" spans="1:32">
      <c r="A127" s="370" t="s">
        <v>675</v>
      </c>
      <c r="B127" s="382" t="s">
        <v>676</v>
      </c>
      <c r="C127" s="361">
        <f t="shared" si="7"/>
        <v>0</v>
      </c>
      <c r="D127" s="361">
        <f t="shared" si="8"/>
        <v>0</v>
      </c>
      <c r="E127" s="361">
        <f t="shared" si="9"/>
        <v>0</v>
      </c>
      <c r="F127" s="361">
        <f t="shared" si="10"/>
        <v>0</v>
      </c>
      <c r="G127" s="361">
        <f t="shared" si="11"/>
        <v>0</v>
      </c>
      <c r="H127" s="374"/>
      <c r="I127" s="374"/>
      <c r="J127" s="374"/>
      <c r="K127" s="374"/>
      <c r="L127" s="374"/>
      <c r="M127" s="374"/>
      <c r="N127" s="374"/>
      <c r="O127" s="374"/>
      <c r="P127" s="374"/>
      <c r="Q127" s="374"/>
      <c r="R127" s="374"/>
      <c r="S127" s="374"/>
      <c r="T127" s="374"/>
      <c r="U127" s="374"/>
      <c r="V127" s="374"/>
      <c r="W127" s="374"/>
      <c r="X127" s="374"/>
      <c r="Y127" s="374">
        <v>0</v>
      </c>
      <c r="Z127" s="383">
        <v>0</v>
      </c>
      <c r="AA127" s="367">
        <v>0</v>
      </c>
      <c r="AB127" s="374">
        <v>0</v>
      </c>
      <c r="AC127" s="373">
        <v>0</v>
      </c>
      <c r="AD127" s="373">
        <v>58823.5</v>
      </c>
      <c r="AE127" s="373">
        <v>58823.5</v>
      </c>
      <c r="AF127" s="344">
        <f t="shared" si="6"/>
        <v>0</v>
      </c>
    </row>
    <row r="128" spans="1:32">
      <c r="A128" s="393" t="s">
        <v>677</v>
      </c>
      <c r="B128" s="391" t="s">
        <v>678</v>
      </c>
      <c r="C128" s="361">
        <f t="shared" si="7"/>
        <v>148570.95342098549</v>
      </c>
      <c r="D128" s="361">
        <f t="shared" si="8"/>
        <v>267896.07</v>
      </c>
      <c r="E128" s="361">
        <f t="shared" si="9"/>
        <v>0</v>
      </c>
      <c r="F128" s="361">
        <f t="shared" si="10"/>
        <v>0</v>
      </c>
      <c r="G128" s="361">
        <f t="shared" si="11"/>
        <v>0</v>
      </c>
      <c r="H128" s="394">
        <v>0</v>
      </c>
      <c r="I128" s="394">
        <v>0</v>
      </c>
      <c r="J128" s="394">
        <v>84965.693420985495</v>
      </c>
      <c r="K128" s="394">
        <v>63605.26</v>
      </c>
      <c r="L128" s="394">
        <v>1871</v>
      </c>
      <c r="M128" s="394">
        <v>73791.759999999995</v>
      </c>
      <c r="N128" s="394">
        <v>192233.31000000003</v>
      </c>
      <c r="O128" s="394">
        <v>0</v>
      </c>
      <c r="P128" s="394">
        <v>0</v>
      </c>
      <c r="Q128" s="395">
        <v>0</v>
      </c>
      <c r="R128" s="394">
        <v>0</v>
      </c>
      <c r="S128" s="394">
        <v>0</v>
      </c>
      <c r="T128" s="394">
        <v>0</v>
      </c>
      <c r="U128" s="394">
        <v>0</v>
      </c>
      <c r="V128" s="394">
        <v>0</v>
      </c>
      <c r="W128" s="394">
        <v>0</v>
      </c>
      <c r="X128" s="394">
        <v>0</v>
      </c>
      <c r="Y128" s="394">
        <v>0</v>
      </c>
      <c r="Z128" s="394">
        <v>0</v>
      </c>
      <c r="AA128" s="392">
        <v>0</v>
      </c>
      <c r="AB128" s="394">
        <v>-2.0000000018626451E-2</v>
      </c>
      <c r="AC128" s="373">
        <v>416467.02</v>
      </c>
      <c r="AD128" s="373">
        <v>416467</v>
      </c>
      <c r="AE128" s="373">
        <v>-0.02</v>
      </c>
      <c r="AF128" s="344">
        <f t="shared" si="6"/>
        <v>7.1779401261455611E-4</v>
      </c>
    </row>
    <row r="129" spans="1:32">
      <c r="A129" s="370" t="s">
        <v>647</v>
      </c>
      <c r="B129" s="366" t="s">
        <v>648</v>
      </c>
      <c r="C129" s="361">
        <f t="shared" si="7"/>
        <v>148570.95342098549</v>
      </c>
      <c r="D129" s="361">
        <f t="shared" si="8"/>
        <v>267896.07</v>
      </c>
      <c r="E129" s="361">
        <f t="shared" si="9"/>
        <v>0</v>
      </c>
      <c r="F129" s="361">
        <f t="shared" si="10"/>
        <v>0</v>
      </c>
      <c r="G129" s="361">
        <f t="shared" si="11"/>
        <v>0</v>
      </c>
      <c r="H129" s="374">
        <v>0</v>
      </c>
      <c r="I129" s="374">
        <v>0</v>
      </c>
      <c r="J129" s="374">
        <v>84965.693420985495</v>
      </c>
      <c r="K129" s="374">
        <v>63605.26</v>
      </c>
      <c r="L129" s="374">
        <v>1871</v>
      </c>
      <c r="M129" s="374">
        <v>73791.759999999995</v>
      </c>
      <c r="N129" s="374">
        <v>192233.31000000003</v>
      </c>
      <c r="O129" s="374">
        <v>0</v>
      </c>
      <c r="P129" s="374">
        <v>0</v>
      </c>
      <c r="Q129" s="374">
        <v>0</v>
      </c>
      <c r="R129" s="374">
        <v>0</v>
      </c>
      <c r="S129" s="374">
        <v>0</v>
      </c>
      <c r="T129" s="374">
        <v>0</v>
      </c>
      <c r="U129" s="374">
        <v>0</v>
      </c>
      <c r="V129" s="374">
        <v>0</v>
      </c>
      <c r="W129" s="374">
        <v>0</v>
      </c>
      <c r="X129" s="374">
        <v>0</v>
      </c>
      <c r="Y129" s="374">
        <v>0</v>
      </c>
      <c r="Z129" s="374">
        <v>0</v>
      </c>
      <c r="AA129" s="367">
        <v>0</v>
      </c>
      <c r="AB129" s="374">
        <v>-2.0000000018626451E-2</v>
      </c>
      <c r="AC129" s="373">
        <v>416467.02</v>
      </c>
      <c r="AD129" s="373">
        <v>416467</v>
      </c>
      <c r="AE129" s="373">
        <v>-0.02</v>
      </c>
      <c r="AF129" s="344">
        <f t="shared" si="6"/>
        <v>7.1779401261455611E-4</v>
      </c>
    </row>
    <row r="130" spans="1:32">
      <c r="A130" s="390" t="s">
        <v>679</v>
      </c>
      <c r="B130" s="391" t="s">
        <v>680</v>
      </c>
      <c r="C130" s="361">
        <f t="shared" si="7"/>
        <v>0</v>
      </c>
      <c r="D130" s="361">
        <f t="shared" si="8"/>
        <v>8102.77</v>
      </c>
      <c r="E130" s="361">
        <f t="shared" si="9"/>
        <v>1075853.52</v>
      </c>
      <c r="F130" s="361">
        <f t="shared" si="10"/>
        <v>992025.40999999992</v>
      </c>
      <c r="G130" s="361">
        <f t="shared" si="11"/>
        <v>2046182.1099999999</v>
      </c>
      <c r="H130" s="394">
        <v>0</v>
      </c>
      <c r="I130" s="394">
        <v>0</v>
      </c>
      <c r="J130" s="394">
        <v>0</v>
      </c>
      <c r="K130" s="394">
        <v>0</v>
      </c>
      <c r="L130" s="394">
        <v>0</v>
      </c>
      <c r="M130" s="394">
        <v>0</v>
      </c>
      <c r="N130" s="394">
        <v>0</v>
      </c>
      <c r="O130" s="394">
        <v>8102.77</v>
      </c>
      <c r="P130" s="394">
        <v>9680.7199999999993</v>
      </c>
      <c r="Q130" s="395">
        <v>10540.87</v>
      </c>
      <c r="R130" s="394">
        <v>0</v>
      </c>
      <c r="S130" s="394">
        <v>1055631.93</v>
      </c>
      <c r="T130" s="394">
        <v>0.32000000000698492</v>
      </c>
      <c r="U130" s="394">
        <v>620946.09</v>
      </c>
      <c r="V130" s="394">
        <v>371079</v>
      </c>
      <c r="W130" s="394">
        <v>0</v>
      </c>
      <c r="X130" s="394">
        <v>614663.59</v>
      </c>
      <c r="Y130" s="394">
        <v>0</v>
      </c>
      <c r="Z130" s="394">
        <v>847692.80000000005</v>
      </c>
      <c r="AA130" s="392">
        <v>583825.71999999974</v>
      </c>
      <c r="AB130" s="394">
        <v>0.13999999989755452</v>
      </c>
      <c r="AC130" s="373">
        <v>4122163.8099999996</v>
      </c>
      <c r="AD130" s="373">
        <v>4167909.4899999998</v>
      </c>
      <c r="AE130" s="373">
        <v>45745.68</v>
      </c>
      <c r="AF130" s="344">
        <f t="shared" si="6"/>
        <v>7.1046790255670338E-3</v>
      </c>
    </row>
    <row r="131" spans="1:32">
      <c r="A131" s="432" t="s">
        <v>681</v>
      </c>
      <c r="B131" s="382" t="s">
        <v>682</v>
      </c>
      <c r="C131" s="361">
        <f t="shared" si="7"/>
        <v>0</v>
      </c>
      <c r="D131" s="361">
        <f t="shared" si="8"/>
        <v>8102.77</v>
      </c>
      <c r="E131" s="361">
        <f t="shared" si="9"/>
        <v>20221.59</v>
      </c>
      <c r="F131" s="361">
        <f t="shared" si="10"/>
        <v>0</v>
      </c>
      <c r="G131" s="361">
        <f t="shared" si="11"/>
        <v>0</v>
      </c>
      <c r="H131" s="371">
        <v>0</v>
      </c>
      <c r="I131" s="371">
        <v>0</v>
      </c>
      <c r="J131" s="371">
        <v>0</v>
      </c>
      <c r="K131" s="371">
        <v>0</v>
      </c>
      <c r="L131" s="371">
        <v>0</v>
      </c>
      <c r="M131" s="371">
        <v>0</v>
      </c>
      <c r="N131" s="371">
        <v>0</v>
      </c>
      <c r="O131" s="371">
        <v>8102.77</v>
      </c>
      <c r="P131" s="371">
        <v>9680.7199999999993</v>
      </c>
      <c r="Q131" s="371">
        <v>10540.87</v>
      </c>
      <c r="R131" s="371">
        <v>0</v>
      </c>
      <c r="S131" s="371">
        <v>0</v>
      </c>
      <c r="T131" s="371">
        <v>0</v>
      </c>
      <c r="U131" s="371">
        <v>0</v>
      </c>
      <c r="V131" s="371">
        <v>0</v>
      </c>
      <c r="W131" s="371">
        <v>0</v>
      </c>
      <c r="X131" s="371">
        <v>0</v>
      </c>
      <c r="Y131" s="371">
        <v>0</v>
      </c>
      <c r="Z131" s="371">
        <v>0</v>
      </c>
      <c r="AA131" s="367">
        <v>0</v>
      </c>
      <c r="AB131" s="371">
        <v>0</v>
      </c>
      <c r="AC131" s="373">
        <v>28324.36</v>
      </c>
      <c r="AD131" s="373">
        <v>28324.36</v>
      </c>
      <c r="AE131" s="373">
        <v>0</v>
      </c>
      <c r="AF131" s="344">
        <f t="shared" si="6"/>
        <v>4.8817925652646462E-5</v>
      </c>
    </row>
    <row r="132" spans="1:32">
      <c r="A132" s="370" t="s">
        <v>679</v>
      </c>
      <c r="B132" s="382" t="s">
        <v>683</v>
      </c>
      <c r="C132" s="361">
        <f t="shared" si="7"/>
        <v>0</v>
      </c>
      <c r="D132" s="361">
        <f t="shared" si="8"/>
        <v>0</v>
      </c>
      <c r="E132" s="361">
        <f t="shared" si="9"/>
        <v>1055631.93</v>
      </c>
      <c r="F132" s="361">
        <f t="shared" si="10"/>
        <v>992025.40999999992</v>
      </c>
      <c r="G132" s="361">
        <f t="shared" si="11"/>
        <v>2046182.1099999999</v>
      </c>
      <c r="H132" s="371">
        <v>0</v>
      </c>
      <c r="I132" s="371">
        <v>0</v>
      </c>
      <c r="J132" s="371">
        <v>0</v>
      </c>
      <c r="K132" s="371">
        <v>0</v>
      </c>
      <c r="L132" s="371">
        <v>0</v>
      </c>
      <c r="M132" s="371">
        <v>0</v>
      </c>
      <c r="N132" s="371">
        <v>0</v>
      </c>
      <c r="O132" s="371">
        <v>0</v>
      </c>
      <c r="P132" s="371">
        <v>0</v>
      </c>
      <c r="Q132" s="371">
        <v>0</v>
      </c>
      <c r="R132" s="371">
        <v>0</v>
      </c>
      <c r="S132" s="371">
        <v>1055631.93</v>
      </c>
      <c r="T132" s="371">
        <v>0.32000000000698492</v>
      </c>
      <c r="U132" s="371">
        <v>620946.09</v>
      </c>
      <c r="V132" s="371">
        <v>371079</v>
      </c>
      <c r="W132" s="371">
        <v>0</v>
      </c>
      <c r="X132" s="371">
        <v>614663.59</v>
      </c>
      <c r="Y132" s="371">
        <v>0</v>
      </c>
      <c r="Z132" s="372">
        <v>847692.80000000005</v>
      </c>
      <c r="AA132" s="367">
        <v>583825.71999999974</v>
      </c>
      <c r="AB132" s="371">
        <v>0.13999999989755452</v>
      </c>
      <c r="AC132" s="373">
        <v>4093839.45</v>
      </c>
      <c r="AD132" s="373">
        <v>4139585.13</v>
      </c>
      <c r="AE132" s="373">
        <v>45745.68</v>
      </c>
      <c r="AF132" s="344">
        <f t="shared" si="6"/>
        <v>7.0558610999143885E-3</v>
      </c>
    </row>
    <row r="133" spans="1:32">
      <c r="A133" s="370" t="s">
        <v>684</v>
      </c>
      <c r="B133" s="433" t="s">
        <v>685</v>
      </c>
      <c r="C133" s="361">
        <f t="shared" si="7"/>
        <v>0</v>
      </c>
      <c r="D133" s="361">
        <f t="shared" si="8"/>
        <v>0</v>
      </c>
      <c r="E133" s="361">
        <f t="shared" si="9"/>
        <v>0</v>
      </c>
      <c r="F133" s="361">
        <f t="shared" si="10"/>
        <v>0</v>
      </c>
      <c r="G133" s="361">
        <f t="shared" si="11"/>
        <v>0</v>
      </c>
      <c r="H133" s="371"/>
      <c r="I133" s="371"/>
      <c r="J133" s="371"/>
      <c r="K133" s="371"/>
      <c r="L133" s="371"/>
      <c r="M133" s="371"/>
      <c r="N133" s="371"/>
      <c r="O133" s="371"/>
      <c r="P133" s="371"/>
      <c r="Q133" s="371"/>
      <c r="R133" s="371"/>
      <c r="S133" s="371"/>
      <c r="T133" s="371"/>
      <c r="U133" s="371"/>
      <c r="V133" s="371"/>
      <c r="W133" s="371"/>
      <c r="X133" s="371"/>
      <c r="Y133" s="371"/>
      <c r="Z133" s="372">
        <v>0</v>
      </c>
      <c r="AA133" s="367">
        <v>0</v>
      </c>
      <c r="AB133" s="371">
        <v>0</v>
      </c>
      <c r="AC133" s="373">
        <v>0</v>
      </c>
      <c r="AD133" s="373"/>
      <c r="AE133" s="373">
        <v>0</v>
      </c>
      <c r="AF133" s="344">
        <f t="shared" ref="AF133:AF196" si="12">AC133/$AC$556</f>
        <v>0</v>
      </c>
    </row>
    <row r="134" spans="1:32">
      <c r="A134" s="393" t="s">
        <v>686</v>
      </c>
      <c r="B134" s="391" t="s">
        <v>687</v>
      </c>
      <c r="C134" s="361">
        <f t="shared" ref="C134:C197" si="13">SUM(H134:K134)</f>
        <v>0</v>
      </c>
      <c r="D134" s="361">
        <f t="shared" ref="D134:D197" si="14">SUM(L134:O134)</f>
        <v>0</v>
      </c>
      <c r="E134" s="361">
        <f t="shared" ref="E134:E197" si="15">SUM(P134:S134)</f>
        <v>0</v>
      </c>
      <c r="F134" s="361">
        <f t="shared" ref="F134:F197" si="16">SUM(T134:W134)</f>
        <v>57406.979999999996</v>
      </c>
      <c r="G134" s="361">
        <f t="shared" ref="G134:G197" si="17">SUM(X134:AA134)</f>
        <v>2057159.6260606064</v>
      </c>
      <c r="H134" s="394">
        <v>0</v>
      </c>
      <c r="I134" s="394">
        <v>0</v>
      </c>
      <c r="J134" s="394">
        <v>0</v>
      </c>
      <c r="K134" s="394">
        <v>0</v>
      </c>
      <c r="L134" s="394">
        <v>0</v>
      </c>
      <c r="M134" s="394">
        <v>0</v>
      </c>
      <c r="N134" s="394">
        <v>0</v>
      </c>
      <c r="O134" s="394">
        <v>0</v>
      </c>
      <c r="P134" s="394">
        <v>0</v>
      </c>
      <c r="Q134" s="395">
        <v>0</v>
      </c>
      <c r="R134" s="394">
        <v>0</v>
      </c>
      <c r="S134" s="394">
        <v>0</v>
      </c>
      <c r="T134" s="394">
        <v>0</v>
      </c>
      <c r="U134" s="394">
        <v>14296.31</v>
      </c>
      <c r="V134" s="394">
        <v>43110.67</v>
      </c>
      <c r="W134" s="394">
        <v>0</v>
      </c>
      <c r="X134" s="394">
        <v>86240.25</v>
      </c>
      <c r="Y134" s="394">
        <v>0</v>
      </c>
      <c r="Z134" s="394">
        <v>201978.12</v>
      </c>
      <c r="AA134" s="392">
        <v>1768941.2560606063</v>
      </c>
      <c r="AB134" s="394">
        <v>333801.853939394</v>
      </c>
      <c r="AC134" s="373">
        <v>2114566.6060606064</v>
      </c>
      <c r="AD134" s="373">
        <v>2241788</v>
      </c>
      <c r="AE134" s="373">
        <v>127221.39</v>
      </c>
      <c r="AF134" s="344">
        <f t="shared" si="12"/>
        <v>3.6445220778946338E-3</v>
      </c>
    </row>
    <row r="135" spans="1:32">
      <c r="A135" s="370" t="s">
        <v>688</v>
      </c>
      <c r="B135" s="366" t="s">
        <v>689</v>
      </c>
      <c r="C135" s="361">
        <f t="shared" si="13"/>
        <v>0</v>
      </c>
      <c r="D135" s="361">
        <f t="shared" si="14"/>
        <v>0</v>
      </c>
      <c r="E135" s="361">
        <f t="shared" si="15"/>
        <v>0</v>
      </c>
      <c r="F135" s="361">
        <f t="shared" si="16"/>
        <v>57406.979999999996</v>
      </c>
      <c r="G135" s="361">
        <f t="shared" si="17"/>
        <v>86240.25</v>
      </c>
      <c r="H135" s="374">
        <v>0</v>
      </c>
      <c r="I135" s="374">
        <v>0</v>
      </c>
      <c r="J135" s="374">
        <v>0</v>
      </c>
      <c r="K135" s="374">
        <v>0</v>
      </c>
      <c r="L135" s="374">
        <v>0</v>
      </c>
      <c r="M135" s="374">
        <v>0</v>
      </c>
      <c r="N135" s="374">
        <v>0</v>
      </c>
      <c r="O135" s="374">
        <v>0</v>
      </c>
      <c r="P135" s="374">
        <v>0</v>
      </c>
      <c r="Q135" s="374">
        <v>0</v>
      </c>
      <c r="R135" s="374">
        <v>0</v>
      </c>
      <c r="S135" s="374">
        <v>0</v>
      </c>
      <c r="T135" s="374">
        <v>0</v>
      </c>
      <c r="U135" s="374">
        <v>14296.31</v>
      </c>
      <c r="V135" s="374">
        <v>43110.67</v>
      </c>
      <c r="W135" s="374">
        <v>0</v>
      </c>
      <c r="X135" s="374">
        <v>86240.25</v>
      </c>
      <c r="Y135" s="374">
        <v>0</v>
      </c>
      <c r="Z135" s="383">
        <v>0</v>
      </c>
      <c r="AA135" s="367">
        <v>0</v>
      </c>
      <c r="AB135" s="374">
        <v>143376.76999999999</v>
      </c>
      <c r="AC135" s="373">
        <v>143647.23000000001</v>
      </c>
      <c r="AD135" s="373">
        <v>294780</v>
      </c>
      <c r="AE135" s="373">
        <v>151132.76999999999</v>
      </c>
      <c r="AF135" s="344">
        <f t="shared" si="12"/>
        <v>2.4758052059600311E-4</v>
      </c>
    </row>
    <row r="136" spans="1:32">
      <c r="A136" s="428" t="s">
        <v>690</v>
      </c>
      <c r="B136" s="366" t="s">
        <v>691</v>
      </c>
      <c r="C136" s="361">
        <f t="shared" si="13"/>
        <v>0</v>
      </c>
      <c r="D136" s="361">
        <f t="shared" si="14"/>
        <v>0</v>
      </c>
      <c r="E136" s="361">
        <f t="shared" si="15"/>
        <v>0</v>
      </c>
      <c r="F136" s="361">
        <f t="shared" si="16"/>
        <v>0</v>
      </c>
      <c r="G136" s="361">
        <f t="shared" si="17"/>
        <v>13543.65</v>
      </c>
      <c r="H136" s="374">
        <v>0</v>
      </c>
      <c r="I136" s="374">
        <v>0</v>
      </c>
      <c r="J136" s="374">
        <v>0</v>
      </c>
      <c r="K136" s="374">
        <v>0</v>
      </c>
      <c r="L136" s="374">
        <v>0</v>
      </c>
      <c r="M136" s="374">
        <v>0</v>
      </c>
      <c r="N136" s="374">
        <v>0</v>
      </c>
      <c r="O136" s="374">
        <v>0</v>
      </c>
      <c r="P136" s="374">
        <v>0</v>
      </c>
      <c r="Q136" s="374">
        <v>0</v>
      </c>
      <c r="R136" s="374">
        <v>0</v>
      </c>
      <c r="S136" s="374">
        <v>0</v>
      </c>
      <c r="T136" s="374">
        <v>0</v>
      </c>
      <c r="U136" s="374">
        <v>0</v>
      </c>
      <c r="V136" s="374">
        <v>0</v>
      </c>
      <c r="W136" s="374">
        <v>0</v>
      </c>
      <c r="X136" s="374">
        <v>0</v>
      </c>
      <c r="Y136" s="374">
        <v>0</v>
      </c>
      <c r="Z136" s="374">
        <v>0</v>
      </c>
      <c r="AA136" s="367">
        <v>13543.65</v>
      </c>
      <c r="AB136" s="374">
        <v>0</v>
      </c>
      <c r="AC136" s="373">
        <v>13543.65</v>
      </c>
      <c r="AD136" s="373">
        <v>71624</v>
      </c>
      <c r="AE136" s="373">
        <v>58080.35</v>
      </c>
      <c r="AF136" s="344">
        <f t="shared" si="12"/>
        <v>2.3342906910004859E-5</v>
      </c>
    </row>
    <row r="137" spans="1:32">
      <c r="A137" s="428" t="s">
        <v>692</v>
      </c>
      <c r="B137" s="366" t="s">
        <v>693</v>
      </c>
      <c r="C137" s="361">
        <f t="shared" si="13"/>
        <v>0</v>
      </c>
      <c r="D137" s="361">
        <f t="shared" si="14"/>
        <v>0</v>
      </c>
      <c r="E137" s="361">
        <f t="shared" si="15"/>
        <v>0</v>
      </c>
      <c r="F137" s="361">
        <f t="shared" si="16"/>
        <v>0</v>
      </c>
      <c r="G137" s="361">
        <f t="shared" si="17"/>
        <v>1411755.5099999998</v>
      </c>
      <c r="H137" s="374"/>
      <c r="I137" s="374"/>
      <c r="J137" s="374"/>
      <c r="K137" s="374"/>
      <c r="L137" s="374"/>
      <c r="M137" s="374"/>
      <c r="N137" s="374"/>
      <c r="O137" s="374"/>
      <c r="P137" s="374"/>
      <c r="Q137" s="374"/>
      <c r="R137" s="374"/>
      <c r="S137" s="374"/>
      <c r="T137" s="374"/>
      <c r="U137" s="374"/>
      <c r="V137" s="374"/>
      <c r="W137" s="374"/>
      <c r="X137" s="374"/>
      <c r="Y137" s="374">
        <v>0</v>
      </c>
      <c r="Z137" s="374">
        <v>201978.12</v>
      </c>
      <c r="AA137" s="367">
        <v>1209777.3899999999</v>
      </c>
      <c r="AB137" s="374">
        <v>65019.979999999981</v>
      </c>
      <c r="AC137" s="373">
        <v>1411755.5099999998</v>
      </c>
      <c r="AD137" s="373">
        <v>1325384</v>
      </c>
      <c r="AE137" s="373">
        <v>-86371.51</v>
      </c>
      <c r="AF137" s="344">
        <f t="shared" si="12"/>
        <v>2.4332050407103278E-3</v>
      </c>
    </row>
    <row r="138" spans="1:32">
      <c r="A138" s="428" t="s">
        <v>694</v>
      </c>
      <c r="B138" s="366" t="s">
        <v>695</v>
      </c>
      <c r="C138" s="361">
        <f t="shared" si="13"/>
        <v>0</v>
      </c>
      <c r="D138" s="361">
        <f t="shared" si="14"/>
        <v>0</v>
      </c>
      <c r="E138" s="361">
        <f t="shared" si="15"/>
        <v>0</v>
      </c>
      <c r="F138" s="361">
        <f t="shared" si="16"/>
        <v>0</v>
      </c>
      <c r="G138" s="361">
        <f t="shared" si="17"/>
        <v>545620.21606060606</v>
      </c>
      <c r="H138" s="374"/>
      <c r="I138" s="374"/>
      <c r="J138" s="374"/>
      <c r="K138" s="374"/>
      <c r="L138" s="374"/>
      <c r="M138" s="374"/>
      <c r="N138" s="374"/>
      <c r="O138" s="374"/>
      <c r="P138" s="374"/>
      <c r="Q138" s="374"/>
      <c r="R138" s="374"/>
      <c r="S138" s="374"/>
      <c r="T138" s="374"/>
      <c r="U138" s="374"/>
      <c r="V138" s="374"/>
      <c r="W138" s="374"/>
      <c r="X138" s="374"/>
      <c r="Y138" s="374">
        <v>0</v>
      </c>
      <c r="Z138" s="374">
        <v>0</v>
      </c>
      <c r="AA138" s="367">
        <v>545620.21606060606</v>
      </c>
      <c r="AB138" s="374">
        <v>125405.103939394</v>
      </c>
      <c r="AC138" s="373">
        <v>545620.21606060606</v>
      </c>
      <c r="AD138" s="373">
        <v>550000</v>
      </c>
      <c r="AE138" s="373">
        <v>4379.78</v>
      </c>
      <c r="AF138" s="344">
        <f t="shared" si="12"/>
        <v>9.4039360967829698E-4</v>
      </c>
    </row>
    <row r="139" spans="1:32">
      <c r="A139" s="393" t="s">
        <v>696</v>
      </c>
      <c r="B139" s="391" t="s">
        <v>697</v>
      </c>
      <c r="C139" s="361">
        <f t="shared" si="13"/>
        <v>0</v>
      </c>
      <c r="D139" s="361">
        <f t="shared" si="14"/>
        <v>0</v>
      </c>
      <c r="E139" s="361">
        <f t="shared" si="15"/>
        <v>0</v>
      </c>
      <c r="F139" s="361">
        <f t="shared" si="16"/>
        <v>49441.05</v>
      </c>
      <c r="G139" s="361">
        <f t="shared" si="17"/>
        <v>91953.95</v>
      </c>
      <c r="H139" s="394">
        <v>0</v>
      </c>
      <c r="I139" s="394">
        <v>0</v>
      </c>
      <c r="J139" s="394">
        <v>0</v>
      </c>
      <c r="K139" s="394">
        <v>0</v>
      </c>
      <c r="L139" s="394">
        <v>0</v>
      </c>
      <c r="M139" s="394">
        <v>0</v>
      </c>
      <c r="N139" s="394">
        <v>0</v>
      </c>
      <c r="O139" s="394">
        <v>0</v>
      </c>
      <c r="P139" s="394">
        <v>0</v>
      </c>
      <c r="Q139" s="395">
        <v>0</v>
      </c>
      <c r="R139" s="394">
        <v>0</v>
      </c>
      <c r="S139" s="394">
        <v>0</v>
      </c>
      <c r="T139" s="394">
        <v>0</v>
      </c>
      <c r="U139" s="394">
        <v>0</v>
      </c>
      <c r="V139" s="394">
        <v>21654.05</v>
      </c>
      <c r="W139" s="394">
        <v>27787</v>
      </c>
      <c r="X139" s="394">
        <v>28849.26</v>
      </c>
      <c r="Y139" s="394">
        <v>0</v>
      </c>
      <c r="Z139" s="394">
        <v>0</v>
      </c>
      <c r="AA139" s="392">
        <v>63104.69</v>
      </c>
      <c r="AB139" s="394">
        <v>0</v>
      </c>
      <c r="AC139" s="373">
        <v>141395</v>
      </c>
      <c r="AD139" s="373">
        <v>141395</v>
      </c>
      <c r="AE139" s="373">
        <v>0</v>
      </c>
      <c r="AF139" s="344">
        <f t="shared" si="12"/>
        <v>2.4369873132723728E-4</v>
      </c>
    </row>
    <row r="140" spans="1:32">
      <c r="A140" s="428" t="s">
        <v>698</v>
      </c>
      <c r="B140" s="382" t="s">
        <v>697</v>
      </c>
      <c r="C140" s="361">
        <f t="shared" si="13"/>
        <v>0</v>
      </c>
      <c r="D140" s="361">
        <f t="shared" si="14"/>
        <v>0</v>
      </c>
      <c r="E140" s="361">
        <f t="shared" si="15"/>
        <v>0</v>
      </c>
      <c r="F140" s="361">
        <f t="shared" si="16"/>
        <v>49441.05</v>
      </c>
      <c r="G140" s="361">
        <f t="shared" si="17"/>
        <v>91953.95</v>
      </c>
      <c r="H140" s="374">
        <v>0</v>
      </c>
      <c r="I140" s="374">
        <v>0</v>
      </c>
      <c r="J140" s="374">
        <v>0</v>
      </c>
      <c r="K140" s="374">
        <v>0</v>
      </c>
      <c r="L140" s="374">
        <v>0</v>
      </c>
      <c r="M140" s="374">
        <v>0</v>
      </c>
      <c r="N140" s="374">
        <v>0</v>
      </c>
      <c r="O140" s="374">
        <v>0</v>
      </c>
      <c r="P140" s="374">
        <v>0</v>
      </c>
      <c r="Q140" s="374">
        <v>0</v>
      </c>
      <c r="R140" s="374">
        <v>0</v>
      </c>
      <c r="S140" s="374">
        <v>0</v>
      </c>
      <c r="T140" s="374">
        <v>0</v>
      </c>
      <c r="U140" s="374">
        <v>0</v>
      </c>
      <c r="V140" s="374">
        <v>21654.05</v>
      </c>
      <c r="W140" s="374">
        <v>27787</v>
      </c>
      <c r="X140" s="374">
        <v>28849.26</v>
      </c>
      <c r="Y140" s="374">
        <v>0</v>
      </c>
      <c r="Z140" s="383">
        <v>0</v>
      </c>
      <c r="AA140" s="367">
        <v>63104.69</v>
      </c>
      <c r="AB140" s="374">
        <v>0</v>
      </c>
      <c r="AC140" s="373">
        <v>141395</v>
      </c>
      <c r="AD140" s="373">
        <v>141395</v>
      </c>
      <c r="AE140" s="373">
        <v>0</v>
      </c>
      <c r="AF140" s="344">
        <f t="shared" si="12"/>
        <v>2.4369873132723728E-4</v>
      </c>
    </row>
    <row r="141" spans="1:32">
      <c r="A141" s="393" t="s">
        <v>699</v>
      </c>
      <c r="B141" s="391" t="s">
        <v>700</v>
      </c>
      <c r="C141" s="361">
        <f t="shared" si="13"/>
        <v>0</v>
      </c>
      <c r="D141" s="361">
        <f t="shared" si="14"/>
        <v>1929164.99</v>
      </c>
      <c r="E141" s="361">
        <f t="shared" si="15"/>
        <v>815748.33000000007</v>
      </c>
      <c r="F141" s="361">
        <f t="shared" si="16"/>
        <v>526860.42999999993</v>
      </c>
      <c r="G141" s="361">
        <f t="shared" si="17"/>
        <v>1769745.3345454545</v>
      </c>
      <c r="H141" s="394">
        <v>0</v>
      </c>
      <c r="I141" s="394">
        <v>0</v>
      </c>
      <c r="J141" s="394">
        <v>0</v>
      </c>
      <c r="K141" s="394">
        <v>0</v>
      </c>
      <c r="L141" s="394">
        <v>0</v>
      </c>
      <c r="M141" s="394">
        <v>883606.02</v>
      </c>
      <c r="N141" s="394">
        <v>63345</v>
      </c>
      <c r="O141" s="394">
        <v>982213.97</v>
      </c>
      <c r="P141" s="394">
        <v>0</v>
      </c>
      <c r="Q141" s="395">
        <v>815748.33000000007</v>
      </c>
      <c r="R141" s="394">
        <v>0</v>
      </c>
      <c r="S141" s="394">
        <v>0</v>
      </c>
      <c r="T141" s="394">
        <v>1186.17</v>
      </c>
      <c r="U141" s="394">
        <v>238288.78</v>
      </c>
      <c r="V141" s="394">
        <v>123056.62</v>
      </c>
      <c r="W141" s="394">
        <v>164328.85999999999</v>
      </c>
      <c r="X141" s="394">
        <v>0</v>
      </c>
      <c r="Y141" s="394">
        <v>206558.36</v>
      </c>
      <c r="Z141" s="394">
        <v>332797.03000000003</v>
      </c>
      <c r="AA141" s="392">
        <v>1230389.9445454543</v>
      </c>
      <c r="AB141" s="394">
        <v>284150.42545454536</v>
      </c>
      <c r="AC141" s="373">
        <v>5041474.7845454542</v>
      </c>
      <c r="AD141" s="373">
        <v>5339734.2699999996</v>
      </c>
      <c r="AE141" s="373">
        <v>298259.49</v>
      </c>
      <c r="AF141" s="344">
        <f t="shared" si="12"/>
        <v>8.6891404152338071E-3</v>
      </c>
    </row>
    <row r="142" spans="1:32">
      <c r="A142" s="365" t="s">
        <v>701</v>
      </c>
      <c r="B142" s="366" t="s">
        <v>702</v>
      </c>
      <c r="C142" s="361">
        <f t="shared" si="13"/>
        <v>0</v>
      </c>
      <c r="D142" s="361">
        <f t="shared" si="14"/>
        <v>0</v>
      </c>
      <c r="E142" s="361">
        <f t="shared" si="15"/>
        <v>218390.18</v>
      </c>
      <c r="F142" s="361">
        <f t="shared" si="16"/>
        <v>401956.53</v>
      </c>
      <c r="G142" s="361">
        <f t="shared" si="17"/>
        <v>893869.7333333334</v>
      </c>
      <c r="H142" s="374">
        <v>0</v>
      </c>
      <c r="I142" s="374">
        <v>0</v>
      </c>
      <c r="J142" s="374">
        <v>0</v>
      </c>
      <c r="K142" s="374">
        <v>0</v>
      </c>
      <c r="L142" s="374">
        <v>0</v>
      </c>
      <c r="M142" s="374">
        <v>0</v>
      </c>
      <c r="N142" s="374">
        <v>0</v>
      </c>
      <c r="O142" s="374">
        <v>0</v>
      </c>
      <c r="P142" s="374">
        <v>0</v>
      </c>
      <c r="Q142" s="374">
        <v>218390.18</v>
      </c>
      <c r="R142" s="374">
        <v>0</v>
      </c>
      <c r="S142" s="374">
        <v>0</v>
      </c>
      <c r="T142" s="374">
        <v>0</v>
      </c>
      <c r="U142" s="374">
        <v>178155.54</v>
      </c>
      <c r="V142" s="374">
        <v>122608.61</v>
      </c>
      <c r="W142" s="374">
        <v>101192.38</v>
      </c>
      <c r="X142" s="374">
        <v>0</v>
      </c>
      <c r="Y142" s="374">
        <v>206558.36</v>
      </c>
      <c r="Z142" s="383">
        <v>196941.79</v>
      </c>
      <c r="AA142" s="367">
        <v>490369.58333333331</v>
      </c>
      <c r="AB142" s="374">
        <v>-2.3333333316259086E-2</v>
      </c>
      <c r="AC142" s="373">
        <v>1514216.4433333334</v>
      </c>
      <c r="AD142" s="373">
        <v>1527955.75</v>
      </c>
      <c r="AE142" s="373">
        <v>13739.31</v>
      </c>
      <c r="AF142" s="344">
        <f t="shared" si="12"/>
        <v>2.6097996831229878E-3</v>
      </c>
    </row>
    <row r="143" spans="1:32">
      <c r="A143" s="365" t="s">
        <v>703</v>
      </c>
      <c r="B143" s="366" t="s">
        <v>704</v>
      </c>
      <c r="C143" s="361">
        <f t="shared" si="13"/>
        <v>0</v>
      </c>
      <c r="D143" s="361">
        <f t="shared" si="14"/>
        <v>0</v>
      </c>
      <c r="E143" s="361">
        <f t="shared" si="15"/>
        <v>0</v>
      </c>
      <c r="F143" s="361">
        <f t="shared" si="16"/>
        <v>61550.38</v>
      </c>
      <c r="G143" s="361">
        <f t="shared" si="17"/>
        <v>875875.6012121212</v>
      </c>
      <c r="H143" s="374">
        <v>0</v>
      </c>
      <c r="I143" s="374">
        <v>0</v>
      </c>
      <c r="J143" s="374">
        <v>0</v>
      </c>
      <c r="K143" s="374">
        <v>0</v>
      </c>
      <c r="L143" s="374">
        <v>0</v>
      </c>
      <c r="M143" s="374">
        <v>0</v>
      </c>
      <c r="N143" s="374">
        <v>0</v>
      </c>
      <c r="O143" s="374">
        <v>0</v>
      </c>
      <c r="P143" s="374">
        <v>0</v>
      </c>
      <c r="Q143" s="374">
        <v>0</v>
      </c>
      <c r="R143" s="374">
        <v>0</v>
      </c>
      <c r="S143" s="374">
        <v>0</v>
      </c>
      <c r="T143" s="374">
        <v>1186.17</v>
      </c>
      <c r="U143" s="374">
        <v>60133.24</v>
      </c>
      <c r="V143" s="374">
        <v>448.01000000000005</v>
      </c>
      <c r="W143" s="374">
        <v>-217.04</v>
      </c>
      <c r="X143" s="374">
        <v>0</v>
      </c>
      <c r="Y143" s="374">
        <v>0</v>
      </c>
      <c r="Z143" s="383">
        <v>135855.24</v>
      </c>
      <c r="AA143" s="367">
        <v>740020.36121212121</v>
      </c>
      <c r="AB143" s="374">
        <v>104650.3187878788</v>
      </c>
      <c r="AC143" s="373">
        <v>937381.68121212116</v>
      </c>
      <c r="AD143" s="373">
        <v>981439.66999999993</v>
      </c>
      <c r="AE143" s="373">
        <v>44057.99</v>
      </c>
      <c r="AF143" s="344">
        <f t="shared" si="12"/>
        <v>1.6156068211802873E-3</v>
      </c>
    </row>
    <row r="144" spans="1:32">
      <c r="A144" s="415" t="s">
        <v>705</v>
      </c>
      <c r="B144" s="366" t="s">
        <v>706</v>
      </c>
      <c r="C144" s="361">
        <f t="shared" si="13"/>
        <v>0</v>
      </c>
      <c r="D144" s="361">
        <f t="shared" si="14"/>
        <v>63345</v>
      </c>
      <c r="E144" s="361">
        <f t="shared" si="15"/>
        <v>0</v>
      </c>
      <c r="F144" s="361">
        <f t="shared" si="16"/>
        <v>0</v>
      </c>
      <c r="G144" s="361">
        <f t="shared" si="17"/>
        <v>0</v>
      </c>
      <c r="H144" s="374">
        <v>0</v>
      </c>
      <c r="I144" s="374">
        <v>0</v>
      </c>
      <c r="J144" s="374">
        <v>0</v>
      </c>
      <c r="K144" s="374">
        <v>0</v>
      </c>
      <c r="L144" s="374">
        <v>0</v>
      </c>
      <c r="M144" s="374">
        <v>0</v>
      </c>
      <c r="N144" s="374">
        <v>63345</v>
      </c>
      <c r="O144" s="374">
        <v>0</v>
      </c>
      <c r="P144" s="374">
        <v>0</v>
      </c>
      <c r="Q144" s="374">
        <v>0</v>
      </c>
      <c r="R144" s="374">
        <v>0</v>
      </c>
      <c r="S144" s="374">
        <v>0</v>
      </c>
      <c r="T144" s="374">
        <v>0</v>
      </c>
      <c r="U144" s="374">
        <v>0</v>
      </c>
      <c r="V144" s="374">
        <v>0</v>
      </c>
      <c r="W144" s="374">
        <v>0</v>
      </c>
      <c r="X144" s="374">
        <v>0</v>
      </c>
      <c r="Y144" s="374">
        <v>0</v>
      </c>
      <c r="Z144" s="374">
        <v>0</v>
      </c>
      <c r="AA144" s="367">
        <v>0</v>
      </c>
      <c r="AB144" s="374">
        <v>0</v>
      </c>
      <c r="AC144" s="373">
        <v>63345</v>
      </c>
      <c r="AD144" s="373">
        <v>63345</v>
      </c>
      <c r="AE144" s="373">
        <v>0</v>
      </c>
      <c r="AF144" s="344">
        <f t="shared" si="12"/>
        <v>1.0917710057586086E-4</v>
      </c>
    </row>
    <row r="145" spans="1:32">
      <c r="A145" s="365" t="s">
        <v>707</v>
      </c>
      <c r="B145" s="366" t="s">
        <v>708</v>
      </c>
      <c r="C145" s="361">
        <f t="shared" si="13"/>
        <v>0</v>
      </c>
      <c r="D145" s="361">
        <f t="shared" si="14"/>
        <v>1865819.99</v>
      </c>
      <c r="E145" s="361">
        <f t="shared" si="15"/>
        <v>597358.15</v>
      </c>
      <c r="F145" s="361">
        <f t="shared" si="16"/>
        <v>63353.52</v>
      </c>
      <c r="G145" s="361">
        <f t="shared" si="17"/>
        <v>0</v>
      </c>
      <c r="H145" s="374">
        <v>0</v>
      </c>
      <c r="I145" s="374">
        <v>0</v>
      </c>
      <c r="J145" s="374">
        <v>0</v>
      </c>
      <c r="K145" s="374">
        <v>0</v>
      </c>
      <c r="L145" s="374">
        <v>0</v>
      </c>
      <c r="M145" s="374">
        <v>883606.02</v>
      </c>
      <c r="N145" s="374">
        <v>0</v>
      </c>
      <c r="O145" s="374">
        <v>982213.97</v>
      </c>
      <c r="P145" s="374">
        <v>0</v>
      </c>
      <c r="Q145" s="374">
        <v>597358.15</v>
      </c>
      <c r="R145" s="374">
        <v>0</v>
      </c>
      <c r="S145" s="374">
        <v>0</v>
      </c>
      <c r="T145" s="374">
        <v>0</v>
      </c>
      <c r="U145" s="374">
        <v>0</v>
      </c>
      <c r="V145" s="374">
        <v>0</v>
      </c>
      <c r="W145" s="374">
        <v>63353.52</v>
      </c>
      <c r="X145" s="374">
        <v>0</v>
      </c>
      <c r="Y145" s="374">
        <v>0</v>
      </c>
      <c r="Z145" s="374">
        <v>0</v>
      </c>
      <c r="AA145" s="367">
        <v>0</v>
      </c>
      <c r="AB145" s="374">
        <v>179500.12999999989</v>
      </c>
      <c r="AC145" s="373">
        <v>2526531.66</v>
      </c>
      <c r="AD145" s="373">
        <v>2766993.85</v>
      </c>
      <c r="AE145" s="373">
        <v>240462.19</v>
      </c>
      <c r="AF145" s="344">
        <f t="shared" si="12"/>
        <v>4.3545568103546721E-3</v>
      </c>
    </row>
    <row r="146" spans="1:32">
      <c r="A146" s="384" t="s">
        <v>535</v>
      </c>
      <c r="B146" s="385">
        <v>0</v>
      </c>
      <c r="C146" s="361">
        <f t="shared" si="13"/>
        <v>0</v>
      </c>
      <c r="D146" s="361">
        <f t="shared" si="14"/>
        <v>0</v>
      </c>
      <c r="E146" s="361">
        <f t="shared" si="15"/>
        <v>0</v>
      </c>
      <c r="F146" s="361">
        <f t="shared" si="16"/>
        <v>0</v>
      </c>
      <c r="G146" s="361">
        <f t="shared" si="17"/>
        <v>0</v>
      </c>
      <c r="H146" s="386">
        <v>0</v>
      </c>
      <c r="I146" s="386">
        <v>0</v>
      </c>
      <c r="J146" s="386">
        <v>0</v>
      </c>
      <c r="K146" s="386">
        <v>0</v>
      </c>
      <c r="L146" s="386">
        <v>0</v>
      </c>
      <c r="M146" s="386">
        <v>0</v>
      </c>
      <c r="N146" s="386">
        <v>0</v>
      </c>
      <c r="O146" s="386">
        <v>0</v>
      </c>
      <c r="P146" s="386">
        <v>0</v>
      </c>
      <c r="Q146" s="386">
        <v>0</v>
      </c>
      <c r="R146" s="386">
        <v>0</v>
      </c>
      <c r="S146" s="386">
        <v>0</v>
      </c>
      <c r="T146" s="386">
        <v>0</v>
      </c>
      <c r="U146" s="386">
        <v>0</v>
      </c>
      <c r="V146" s="386">
        <v>0</v>
      </c>
      <c r="W146" s="386">
        <v>0</v>
      </c>
      <c r="X146" s="386">
        <v>0</v>
      </c>
      <c r="Y146" s="386">
        <v>0</v>
      </c>
      <c r="Z146" s="386">
        <v>0</v>
      </c>
      <c r="AA146" s="387">
        <v>0</v>
      </c>
      <c r="AB146" s="386"/>
      <c r="AC146" s="373">
        <v>-12000000</v>
      </c>
      <c r="AD146" s="373">
        <v>-12000000</v>
      </c>
      <c r="AE146" s="369">
        <v>0</v>
      </c>
      <c r="AF146" s="344">
        <f t="shared" si="12"/>
        <v>-2.0682377565874658E-2</v>
      </c>
    </row>
    <row r="147" spans="1:32" ht="25.5">
      <c r="A147" s="384" t="s">
        <v>536</v>
      </c>
      <c r="B147" s="385">
        <v>0</v>
      </c>
      <c r="C147" s="361">
        <f t="shared" si="13"/>
        <v>0</v>
      </c>
      <c r="D147" s="361">
        <f t="shared" si="14"/>
        <v>0</v>
      </c>
      <c r="E147" s="361">
        <f t="shared" si="15"/>
        <v>0</v>
      </c>
      <c r="F147" s="361">
        <f t="shared" si="16"/>
        <v>0</v>
      </c>
      <c r="G147" s="361">
        <f t="shared" si="17"/>
        <v>0</v>
      </c>
      <c r="H147" s="386">
        <v>0</v>
      </c>
      <c r="I147" s="386">
        <v>0</v>
      </c>
      <c r="J147" s="386">
        <v>0</v>
      </c>
      <c r="K147" s="386">
        <v>0</v>
      </c>
      <c r="L147" s="386">
        <v>0</v>
      </c>
      <c r="M147" s="386">
        <v>0</v>
      </c>
      <c r="N147" s="386">
        <v>0</v>
      </c>
      <c r="O147" s="386">
        <v>0</v>
      </c>
      <c r="P147" s="386">
        <v>0</v>
      </c>
      <c r="Q147" s="386">
        <v>0</v>
      </c>
      <c r="R147" s="386">
        <v>0</v>
      </c>
      <c r="S147" s="386">
        <v>0</v>
      </c>
      <c r="T147" s="386">
        <v>0</v>
      </c>
      <c r="U147" s="386">
        <v>0</v>
      </c>
      <c r="V147" s="386">
        <v>0</v>
      </c>
      <c r="W147" s="386">
        <v>0</v>
      </c>
      <c r="X147" s="386">
        <v>0</v>
      </c>
      <c r="Y147" s="386">
        <v>0</v>
      </c>
      <c r="Z147" s="386">
        <v>0</v>
      </c>
      <c r="AA147" s="387">
        <v>0</v>
      </c>
      <c r="AB147" s="386">
        <v>165738.84</v>
      </c>
      <c r="AC147" s="373">
        <v>0</v>
      </c>
      <c r="AD147" s="373">
        <v>0</v>
      </c>
      <c r="AE147" s="369">
        <v>0</v>
      </c>
      <c r="AF147" s="344">
        <f t="shared" si="12"/>
        <v>0</v>
      </c>
    </row>
    <row r="148" spans="1:32">
      <c r="A148" s="384" t="s">
        <v>537</v>
      </c>
      <c r="B148" s="385">
        <v>0</v>
      </c>
      <c r="C148" s="361">
        <f t="shared" si="13"/>
        <v>0</v>
      </c>
      <c r="D148" s="361">
        <f t="shared" si="14"/>
        <v>0</v>
      </c>
      <c r="E148" s="361">
        <f t="shared" si="15"/>
        <v>0</v>
      </c>
      <c r="F148" s="361">
        <f t="shared" si="16"/>
        <v>0</v>
      </c>
      <c r="G148" s="361">
        <f t="shared" si="17"/>
        <v>0</v>
      </c>
      <c r="H148" s="386">
        <v>0</v>
      </c>
      <c r="I148" s="386">
        <v>0</v>
      </c>
      <c r="J148" s="386">
        <v>0</v>
      </c>
      <c r="K148" s="386">
        <v>0</v>
      </c>
      <c r="L148" s="386">
        <v>0</v>
      </c>
      <c r="M148" s="386">
        <v>0</v>
      </c>
      <c r="N148" s="386">
        <v>0</v>
      </c>
      <c r="O148" s="386">
        <v>0</v>
      </c>
      <c r="P148" s="386">
        <v>0</v>
      </c>
      <c r="Q148" s="386">
        <v>0</v>
      </c>
      <c r="R148" s="386">
        <v>0</v>
      </c>
      <c r="S148" s="386">
        <v>0</v>
      </c>
      <c r="T148" s="386">
        <v>0</v>
      </c>
      <c r="U148" s="386">
        <v>0</v>
      </c>
      <c r="V148" s="386">
        <v>0</v>
      </c>
      <c r="W148" s="386">
        <v>0</v>
      </c>
      <c r="X148" s="386">
        <v>0</v>
      </c>
      <c r="Y148" s="386">
        <v>0</v>
      </c>
      <c r="Z148" s="386">
        <v>0</v>
      </c>
      <c r="AA148" s="387"/>
      <c r="AB148" s="386"/>
      <c r="AC148" s="373"/>
      <c r="AD148" s="373">
        <v>2693493.03</v>
      </c>
      <c r="AE148" s="369"/>
      <c r="AF148" s="344">
        <f t="shared" si="12"/>
        <v>0</v>
      </c>
    </row>
    <row r="149" spans="1:32">
      <c r="A149" s="360" t="s">
        <v>709</v>
      </c>
      <c r="B149" s="427" t="s">
        <v>710</v>
      </c>
      <c r="C149" s="361">
        <f t="shared" si="13"/>
        <v>277937.29341041902</v>
      </c>
      <c r="D149" s="361">
        <f t="shared" si="14"/>
        <v>833550.31</v>
      </c>
      <c r="E149" s="361">
        <f t="shared" si="15"/>
        <v>1501440.25</v>
      </c>
      <c r="F149" s="361">
        <f t="shared" si="16"/>
        <v>11366728.16</v>
      </c>
      <c r="G149" s="361">
        <f>SUM(X149:AA149)</f>
        <v>25794753.117293809</v>
      </c>
      <c r="H149" s="388">
        <v>0</v>
      </c>
      <c r="I149" s="388">
        <v>0</v>
      </c>
      <c r="J149" s="388">
        <v>140934.113410419</v>
      </c>
      <c r="K149" s="388">
        <v>137003.18</v>
      </c>
      <c r="L149" s="388">
        <v>2717</v>
      </c>
      <c r="M149" s="388">
        <v>150790.03</v>
      </c>
      <c r="N149" s="388">
        <v>354360.6</v>
      </c>
      <c r="O149" s="388">
        <v>325682.68</v>
      </c>
      <c r="P149" s="388">
        <v>253675.6</v>
      </c>
      <c r="Q149" s="389">
        <v>356730.21</v>
      </c>
      <c r="R149" s="388">
        <v>4640.7</v>
      </c>
      <c r="S149" s="388">
        <v>886393.74</v>
      </c>
      <c r="T149" s="388">
        <v>1994928.62</v>
      </c>
      <c r="U149" s="388">
        <v>4370057.4800000004</v>
      </c>
      <c r="V149" s="388">
        <v>2968987.7800000003</v>
      </c>
      <c r="W149" s="388">
        <v>2032754.2799999998</v>
      </c>
      <c r="X149" s="388">
        <v>3124824.9499999997</v>
      </c>
      <c r="Y149" s="388">
        <v>4821929.1399999997</v>
      </c>
      <c r="Z149" s="388">
        <v>4631605.6900000004</v>
      </c>
      <c r="AA149" s="362">
        <f>AA150+AA164</f>
        <v>13216393.337293807</v>
      </c>
      <c r="AB149" s="388">
        <v>3833440.0636145519</v>
      </c>
      <c r="AC149" s="364">
        <f>AC150+AC164</f>
        <v>39774409.12729381</v>
      </c>
      <c r="AD149" s="388">
        <v>43961951.07</v>
      </c>
      <c r="AE149" s="364"/>
      <c r="AF149" s="344">
        <f t="shared" si="12"/>
        <v>6.8552445585855146E-2</v>
      </c>
    </row>
    <row r="150" spans="1:32">
      <c r="A150" s="390" t="s">
        <v>711</v>
      </c>
      <c r="B150" s="391" t="s">
        <v>712</v>
      </c>
      <c r="C150" s="361">
        <f t="shared" si="13"/>
        <v>277937.29341041902</v>
      </c>
      <c r="D150" s="361">
        <f t="shared" si="14"/>
        <v>833550.31</v>
      </c>
      <c r="E150" s="361">
        <f t="shared" si="15"/>
        <v>1430293.47</v>
      </c>
      <c r="F150" s="361">
        <f t="shared" si="16"/>
        <v>11177582.559999999</v>
      </c>
      <c r="G150" s="361">
        <f t="shared" si="17"/>
        <v>25621807.797293808</v>
      </c>
      <c r="H150" s="394">
        <v>0</v>
      </c>
      <c r="I150" s="394">
        <v>0</v>
      </c>
      <c r="J150" s="394">
        <v>140934.113410419</v>
      </c>
      <c r="K150" s="394">
        <v>137003.18</v>
      </c>
      <c r="L150" s="394">
        <v>2717</v>
      </c>
      <c r="M150" s="394">
        <v>150790.03</v>
      </c>
      <c r="N150" s="394">
        <v>354360.6</v>
      </c>
      <c r="O150" s="394">
        <v>325682.68</v>
      </c>
      <c r="P150" s="394">
        <v>182528.82</v>
      </c>
      <c r="Q150" s="395">
        <v>356730.21</v>
      </c>
      <c r="R150" s="394">
        <v>4640.7</v>
      </c>
      <c r="S150" s="394">
        <v>886393.74</v>
      </c>
      <c r="T150" s="394">
        <v>1994928.62</v>
      </c>
      <c r="U150" s="394">
        <v>4309260.879999999</v>
      </c>
      <c r="V150" s="394">
        <v>2897789.34</v>
      </c>
      <c r="W150" s="394">
        <v>1975603.7199999997</v>
      </c>
      <c r="X150" s="394">
        <v>3107414.5999999996</v>
      </c>
      <c r="Y150" s="394">
        <v>4779833.37</v>
      </c>
      <c r="Z150" s="394">
        <v>4605808.0100000007</v>
      </c>
      <c r="AA150" s="392">
        <v>13128751.817293808</v>
      </c>
      <c r="AB150" s="394">
        <v>713091.82361455192</v>
      </c>
      <c r="AC150" s="369">
        <v>39341171.427293807</v>
      </c>
      <c r="AD150" s="369">
        <v>41435988.050000004</v>
      </c>
      <c r="AE150" s="369">
        <v>2094816.62</v>
      </c>
      <c r="AF150" s="344">
        <f t="shared" si="12"/>
        <v>6.7805746778590886E-2</v>
      </c>
    </row>
    <row r="151" spans="1:32">
      <c r="A151" s="365" t="s">
        <v>647</v>
      </c>
      <c r="B151" s="366" t="s">
        <v>648</v>
      </c>
      <c r="C151" s="361">
        <f t="shared" si="13"/>
        <v>277937.29341041902</v>
      </c>
      <c r="D151" s="361">
        <f t="shared" si="14"/>
        <v>824672.29</v>
      </c>
      <c r="E151" s="361">
        <f t="shared" si="15"/>
        <v>1430293.47</v>
      </c>
      <c r="F151" s="361">
        <f t="shared" si="16"/>
        <v>849741.28</v>
      </c>
      <c r="G151" s="361">
        <f t="shared" si="17"/>
        <v>1265279.5945665343</v>
      </c>
      <c r="H151" s="374">
        <v>0</v>
      </c>
      <c r="I151" s="374">
        <v>0</v>
      </c>
      <c r="J151" s="374">
        <v>140934.113410419</v>
      </c>
      <c r="K151" s="374">
        <v>137003.18</v>
      </c>
      <c r="L151" s="374">
        <v>2717</v>
      </c>
      <c r="M151" s="374">
        <v>150790.03</v>
      </c>
      <c r="N151" s="374">
        <v>354360.6</v>
      </c>
      <c r="O151" s="374">
        <v>316804.65999999997</v>
      </c>
      <c r="P151" s="374">
        <v>182528.82</v>
      </c>
      <c r="Q151" s="374">
        <v>356730.21</v>
      </c>
      <c r="R151" s="374">
        <v>4640.7</v>
      </c>
      <c r="S151" s="374">
        <v>886393.74</v>
      </c>
      <c r="T151" s="374">
        <v>118090.31</v>
      </c>
      <c r="U151" s="374">
        <v>377712.33999999997</v>
      </c>
      <c r="V151" s="374">
        <v>238301.44</v>
      </c>
      <c r="W151" s="374">
        <v>115637.19</v>
      </c>
      <c r="X151" s="374">
        <v>208258.3</v>
      </c>
      <c r="Y151" s="374">
        <v>58171.08</v>
      </c>
      <c r="Z151" s="383">
        <v>216427.88</v>
      </c>
      <c r="AA151" s="367">
        <v>782422.33456653438</v>
      </c>
      <c r="AB151" s="374">
        <v>246151.31452364475</v>
      </c>
      <c r="AC151" s="373">
        <v>4647923.9245665343</v>
      </c>
      <c r="AD151" s="373">
        <v>5424061</v>
      </c>
      <c r="AE151" s="373">
        <v>776137.08</v>
      </c>
      <c r="AF151" s="344">
        <f t="shared" si="12"/>
        <v>8.0108431254455829E-3</v>
      </c>
    </row>
    <row r="152" spans="1:32">
      <c r="A152" s="428" t="s">
        <v>649</v>
      </c>
      <c r="B152" s="382" t="s">
        <v>650</v>
      </c>
      <c r="C152" s="361">
        <f t="shared" si="13"/>
        <v>0</v>
      </c>
      <c r="D152" s="361">
        <f t="shared" si="14"/>
        <v>8878.0200000000095</v>
      </c>
      <c r="E152" s="361">
        <f t="shared" si="15"/>
        <v>0</v>
      </c>
      <c r="F152" s="361">
        <f t="shared" si="16"/>
        <v>57396.91</v>
      </c>
      <c r="G152" s="361">
        <f t="shared" si="17"/>
        <v>34158.22</v>
      </c>
      <c r="H152" s="374">
        <v>0</v>
      </c>
      <c r="I152" s="374">
        <v>0</v>
      </c>
      <c r="J152" s="374">
        <v>0</v>
      </c>
      <c r="K152" s="374">
        <v>0</v>
      </c>
      <c r="L152" s="374">
        <v>0</v>
      </c>
      <c r="M152" s="374">
        <v>0</v>
      </c>
      <c r="N152" s="374">
        <v>0</v>
      </c>
      <c r="O152" s="374">
        <v>8878.0200000000095</v>
      </c>
      <c r="P152" s="374">
        <v>0</v>
      </c>
      <c r="Q152" s="374">
        <v>0</v>
      </c>
      <c r="R152" s="374">
        <v>0</v>
      </c>
      <c r="S152" s="374">
        <v>0</v>
      </c>
      <c r="T152" s="374">
        <v>26320.93</v>
      </c>
      <c r="U152" s="374">
        <v>0</v>
      </c>
      <c r="V152" s="374">
        <v>31075.98</v>
      </c>
      <c r="W152" s="374">
        <v>0</v>
      </c>
      <c r="X152" s="374">
        <v>7704.14</v>
      </c>
      <c r="Y152" s="374">
        <v>0</v>
      </c>
      <c r="Z152" s="383">
        <v>6744.64</v>
      </c>
      <c r="AA152" s="367">
        <v>19709.440000000002</v>
      </c>
      <c r="AB152" s="374">
        <v>3927.5399999999936</v>
      </c>
      <c r="AC152" s="373">
        <v>100433.15000000001</v>
      </c>
      <c r="AD152" s="373">
        <v>192563.95</v>
      </c>
      <c r="AE152" s="373">
        <v>92130.8</v>
      </c>
      <c r="AF152" s="344">
        <f t="shared" si="12"/>
        <v>1.7309969403584373E-4</v>
      </c>
    </row>
    <row r="153" spans="1:32">
      <c r="A153" s="370" t="s">
        <v>651</v>
      </c>
      <c r="B153" s="366" t="s">
        <v>652</v>
      </c>
      <c r="C153" s="361">
        <f t="shared" si="13"/>
        <v>0</v>
      </c>
      <c r="D153" s="361">
        <f t="shared" si="14"/>
        <v>0</v>
      </c>
      <c r="E153" s="361">
        <f t="shared" si="15"/>
        <v>0</v>
      </c>
      <c r="F153" s="361">
        <f t="shared" si="16"/>
        <v>3799875.29</v>
      </c>
      <c r="G153" s="361">
        <f t="shared" si="17"/>
        <v>1935032.2266666666</v>
      </c>
      <c r="H153" s="374">
        <v>0</v>
      </c>
      <c r="I153" s="374">
        <v>0</v>
      </c>
      <c r="J153" s="374">
        <v>0</v>
      </c>
      <c r="K153" s="374">
        <v>0</v>
      </c>
      <c r="L153" s="374">
        <v>0</v>
      </c>
      <c r="M153" s="374">
        <v>0</v>
      </c>
      <c r="N153" s="374">
        <v>0</v>
      </c>
      <c r="O153" s="374">
        <v>0</v>
      </c>
      <c r="P153" s="374">
        <v>0</v>
      </c>
      <c r="Q153" s="374">
        <v>0</v>
      </c>
      <c r="R153" s="374">
        <v>0</v>
      </c>
      <c r="S153" s="374">
        <v>0</v>
      </c>
      <c r="T153" s="374">
        <v>548781.70000000007</v>
      </c>
      <c r="U153" s="374">
        <v>1893901.7</v>
      </c>
      <c r="V153" s="374">
        <v>722867.56</v>
      </c>
      <c r="W153" s="374">
        <v>634324.32999999996</v>
      </c>
      <c r="X153" s="374">
        <v>906707.68</v>
      </c>
      <c r="Y153" s="374">
        <v>0</v>
      </c>
      <c r="Z153" s="383">
        <v>0</v>
      </c>
      <c r="AA153" s="367">
        <v>1028324.5466666666</v>
      </c>
      <c r="AB153" s="374">
        <v>50920.425151515054</v>
      </c>
      <c r="AC153" s="373">
        <v>5734907.5166666666</v>
      </c>
      <c r="AD153" s="373">
        <v>5761648.7000000002</v>
      </c>
      <c r="AE153" s="373">
        <v>26741.18</v>
      </c>
      <c r="AF153" s="344">
        <f t="shared" si="12"/>
        <v>9.8842935470893848E-3</v>
      </c>
    </row>
    <row r="154" spans="1:32">
      <c r="A154" s="370" t="s">
        <v>653</v>
      </c>
      <c r="B154" s="366" t="s">
        <v>654</v>
      </c>
      <c r="C154" s="361">
        <f t="shared" si="13"/>
        <v>0</v>
      </c>
      <c r="D154" s="361">
        <f t="shared" si="14"/>
        <v>0</v>
      </c>
      <c r="E154" s="361">
        <f t="shared" si="15"/>
        <v>0</v>
      </c>
      <c r="F154" s="361">
        <f t="shared" si="16"/>
        <v>4265812.540000001</v>
      </c>
      <c r="G154" s="361">
        <f t="shared" si="17"/>
        <v>9143527.0915151499</v>
      </c>
      <c r="H154" s="374">
        <v>0</v>
      </c>
      <c r="I154" s="374">
        <v>0</v>
      </c>
      <c r="J154" s="374">
        <v>0</v>
      </c>
      <c r="K154" s="374">
        <v>0</v>
      </c>
      <c r="L154" s="374">
        <v>0</v>
      </c>
      <c r="M154" s="374">
        <v>0</v>
      </c>
      <c r="N154" s="374">
        <v>0</v>
      </c>
      <c r="O154" s="374">
        <v>0</v>
      </c>
      <c r="P154" s="374">
        <v>0</v>
      </c>
      <c r="Q154" s="374">
        <v>0</v>
      </c>
      <c r="R154" s="374">
        <v>0</v>
      </c>
      <c r="S154" s="374">
        <v>0</v>
      </c>
      <c r="T154" s="374">
        <v>1301736.01</v>
      </c>
      <c r="U154" s="374">
        <v>1391331.69</v>
      </c>
      <c r="V154" s="374">
        <v>832307.74</v>
      </c>
      <c r="W154" s="374">
        <v>740437.10000000009</v>
      </c>
      <c r="X154" s="374">
        <v>915602.41</v>
      </c>
      <c r="Y154" s="374">
        <v>2729433.76</v>
      </c>
      <c r="Z154" s="383">
        <v>2305204.9699999997</v>
      </c>
      <c r="AA154" s="367">
        <v>3193285.9515151512</v>
      </c>
      <c r="AB154" s="374">
        <v>201894.99848484807</v>
      </c>
      <c r="AC154" s="373">
        <v>13409339.631515151</v>
      </c>
      <c r="AD154" s="373">
        <v>13772558.93</v>
      </c>
      <c r="AE154" s="373">
        <v>363219.3</v>
      </c>
      <c r="AF154" s="344">
        <f t="shared" si="12"/>
        <v>2.3111418764003577E-2</v>
      </c>
    </row>
    <row r="155" spans="1:32">
      <c r="A155" s="370" t="s">
        <v>655</v>
      </c>
      <c r="B155" s="366" t="s">
        <v>656</v>
      </c>
      <c r="C155" s="361">
        <f t="shared" si="13"/>
        <v>0</v>
      </c>
      <c r="D155" s="361">
        <f t="shared" si="14"/>
        <v>0</v>
      </c>
      <c r="E155" s="361">
        <f t="shared" si="15"/>
        <v>0</v>
      </c>
      <c r="F155" s="361">
        <f t="shared" si="16"/>
        <v>1189213.52</v>
      </c>
      <c r="G155" s="361">
        <f t="shared" si="17"/>
        <v>3697976.9096969697</v>
      </c>
      <c r="H155" s="374">
        <v>0</v>
      </c>
      <c r="I155" s="374">
        <v>0</v>
      </c>
      <c r="J155" s="374">
        <v>0</v>
      </c>
      <c r="K155" s="374">
        <v>0</v>
      </c>
      <c r="L155" s="374">
        <v>0</v>
      </c>
      <c r="M155" s="374">
        <v>0</v>
      </c>
      <c r="N155" s="374">
        <v>0</v>
      </c>
      <c r="O155" s="374">
        <v>0</v>
      </c>
      <c r="P155" s="374">
        <v>0</v>
      </c>
      <c r="Q155" s="374">
        <v>0</v>
      </c>
      <c r="R155" s="374">
        <v>0</v>
      </c>
      <c r="S155" s="374">
        <v>0</v>
      </c>
      <c r="T155" s="374">
        <v>-0.32999999998719431</v>
      </c>
      <c r="U155" s="374">
        <v>646315.15</v>
      </c>
      <c r="V155" s="374">
        <v>374323.95</v>
      </c>
      <c r="W155" s="374">
        <v>168574.75</v>
      </c>
      <c r="X155" s="374">
        <v>317217.32</v>
      </c>
      <c r="Y155" s="374">
        <v>1282551.17</v>
      </c>
      <c r="Z155" s="383">
        <v>781313.01</v>
      </c>
      <c r="AA155" s="367">
        <v>1316895.4096969697</v>
      </c>
      <c r="AB155" s="374">
        <v>150120.51030302979</v>
      </c>
      <c r="AC155" s="373">
        <v>4887190.4296969697</v>
      </c>
      <c r="AD155" s="373">
        <v>6006381.0499999998</v>
      </c>
      <c r="AE155" s="373">
        <v>1119190.6200000001</v>
      </c>
      <c r="AF155" s="344">
        <f t="shared" si="12"/>
        <v>8.423226475276829E-3</v>
      </c>
    </row>
    <row r="156" spans="1:32">
      <c r="A156" s="370" t="s">
        <v>657</v>
      </c>
      <c r="B156" s="366" t="s">
        <v>658</v>
      </c>
      <c r="C156" s="361">
        <f t="shared" si="13"/>
        <v>0</v>
      </c>
      <c r="D156" s="361">
        <f t="shared" si="14"/>
        <v>0</v>
      </c>
      <c r="E156" s="361">
        <f t="shared" si="15"/>
        <v>0</v>
      </c>
      <c r="F156" s="361">
        <f t="shared" si="16"/>
        <v>1015543.0199999999</v>
      </c>
      <c r="G156" s="361">
        <f t="shared" si="17"/>
        <v>6004454.6848484846</v>
      </c>
      <c r="H156" s="374">
        <v>0</v>
      </c>
      <c r="I156" s="374">
        <v>0</v>
      </c>
      <c r="J156" s="374">
        <v>0</v>
      </c>
      <c r="K156" s="374">
        <v>0</v>
      </c>
      <c r="L156" s="374">
        <v>0</v>
      </c>
      <c r="M156" s="374">
        <v>0</v>
      </c>
      <c r="N156" s="374">
        <v>0</v>
      </c>
      <c r="O156" s="374">
        <v>0</v>
      </c>
      <c r="P156" s="374">
        <v>0</v>
      </c>
      <c r="Q156" s="374">
        <v>0</v>
      </c>
      <c r="R156" s="374">
        <v>0</v>
      </c>
      <c r="S156" s="374">
        <v>0</v>
      </c>
      <c r="T156" s="374">
        <v>0</v>
      </c>
      <c r="U156" s="374">
        <v>0</v>
      </c>
      <c r="V156" s="374">
        <v>698912.66999999993</v>
      </c>
      <c r="W156" s="374">
        <v>316630.34999999998</v>
      </c>
      <c r="X156" s="374">
        <v>751924.75</v>
      </c>
      <c r="Y156" s="374">
        <v>352120.31</v>
      </c>
      <c r="Z156" s="383">
        <v>1089676.53</v>
      </c>
      <c r="AA156" s="367">
        <v>3810733.0948484847</v>
      </c>
      <c r="AB156" s="374">
        <v>0.14515151455998421</v>
      </c>
      <c r="AC156" s="373">
        <v>7019997.7048484851</v>
      </c>
      <c r="AD156" s="373">
        <v>7192848.4699999997</v>
      </c>
      <c r="AE156" s="373">
        <v>172850.77</v>
      </c>
      <c r="AF156" s="344">
        <f t="shared" si="12"/>
        <v>1.2099186920270826E-2</v>
      </c>
    </row>
    <row r="157" spans="1:32">
      <c r="A157" s="428" t="s">
        <v>713</v>
      </c>
      <c r="B157" s="366" t="s">
        <v>666</v>
      </c>
      <c r="C157" s="361">
        <f t="shared" si="13"/>
        <v>0</v>
      </c>
      <c r="D157" s="361">
        <f t="shared" si="14"/>
        <v>0</v>
      </c>
      <c r="E157" s="361">
        <f t="shared" si="15"/>
        <v>0</v>
      </c>
      <c r="F157" s="361">
        <f t="shared" si="16"/>
        <v>0</v>
      </c>
      <c r="G157" s="361">
        <f t="shared" si="17"/>
        <v>0</v>
      </c>
      <c r="H157" s="374">
        <v>0</v>
      </c>
      <c r="I157" s="374">
        <v>0</v>
      </c>
      <c r="J157" s="374">
        <v>0</v>
      </c>
      <c r="K157" s="374">
        <v>0</v>
      </c>
      <c r="L157" s="374">
        <v>0</v>
      </c>
      <c r="M157" s="374">
        <v>0</v>
      </c>
      <c r="N157" s="374">
        <v>0</v>
      </c>
      <c r="O157" s="374">
        <v>0</v>
      </c>
      <c r="P157" s="374">
        <v>0</v>
      </c>
      <c r="Q157" s="374">
        <v>0</v>
      </c>
      <c r="R157" s="374">
        <v>0</v>
      </c>
      <c r="S157" s="374">
        <v>0</v>
      </c>
      <c r="T157" s="374">
        <v>0</v>
      </c>
      <c r="U157" s="374">
        <v>0</v>
      </c>
      <c r="V157" s="374">
        <v>0</v>
      </c>
      <c r="W157" s="374">
        <v>0</v>
      </c>
      <c r="X157" s="374">
        <v>0</v>
      </c>
      <c r="Y157" s="374">
        <v>0</v>
      </c>
      <c r="Z157" s="374">
        <v>0</v>
      </c>
      <c r="AA157" s="367">
        <v>0</v>
      </c>
      <c r="AB157" s="374">
        <v>0</v>
      </c>
      <c r="AC157" s="373">
        <v>0</v>
      </c>
      <c r="AD157" s="373">
        <v>0</v>
      </c>
      <c r="AE157" s="373">
        <v>0</v>
      </c>
      <c r="AF157" s="344">
        <f t="shared" si="12"/>
        <v>0</v>
      </c>
    </row>
    <row r="158" spans="1:32">
      <c r="A158" s="370" t="s">
        <v>667</v>
      </c>
      <c r="B158" s="382" t="s">
        <v>668</v>
      </c>
      <c r="C158" s="361">
        <f t="shared" si="13"/>
        <v>0</v>
      </c>
      <c r="D158" s="361">
        <f t="shared" si="14"/>
        <v>0</v>
      </c>
      <c r="E158" s="361">
        <f t="shared" si="15"/>
        <v>0</v>
      </c>
      <c r="F158" s="361">
        <f t="shared" si="16"/>
        <v>0</v>
      </c>
      <c r="G158" s="361">
        <f t="shared" si="17"/>
        <v>432248.22</v>
      </c>
      <c r="H158" s="374">
        <v>0</v>
      </c>
      <c r="I158" s="374">
        <v>0</v>
      </c>
      <c r="J158" s="374">
        <v>0</v>
      </c>
      <c r="K158" s="374">
        <v>0</v>
      </c>
      <c r="L158" s="374">
        <v>0</v>
      </c>
      <c r="M158" s="374">
        <v>0</v>
      </c>
      <c r="N158" s="374">
        <v>0</v>
      </c>
      <c r="O158" s="374">
        <v>0</v>
      </c>
      <c r="P158" s="374">
        <v>0</v>
      </c>
      <c r="Q158" s="374">
        <v>0</v>
      </c>
      <c r="R158" s="374">
        <v>0</v>
      </c>
      <c r="S158" s="374">
        <v>0</v>
      </c>
      <c r="T158" s="374">
        <v>0</v>
      </c>
      <c r="U158" s="374">
        <v>0</v>
      </c>
      <c r="V158" s="374">
        <v>0</v>
      </c>
      <c r="W158" s="374">
        <v>0</v>
      </c>
      <c r="X158" s="374">
        <v>0</v>
      </c>
      <c r="Y158" s="374">
        <v>357557.05</v>
      </c>
      <c r="Z158" s="374">
        <v>42683.88</v>
      </c>
      <c r="AA158" s="367">
        <v>32007.29</v>
      </c>
      <c r="AB158" s="374">
        <v>60078.549999999988</v>
      </c>
      <c r="AC158" s="373">
        <v>432248.22</v>
      </c>
      <c r="AD158" s="373">
        <v>523823.44999999995</v>
      </c>
      <c r="AE158" s="373">
        <v>91575.23</v>
      </c>
      <c r="AF158" s="344">
        <f t="shared" si="12"/>
        <v>7.4499340735143785E-4</v>
      </c>
    </row>
    <row r="159" spans="1:32">
      <c r="A159" s="370" t="s">
        <v>669</v>
      </c>
      <c r="B159" s="382" t="s">
        <v>670</v>
      </c>
      <c r="C159" s="361">
        <f t="shared" si="13"/>
        <v>0</v>
      </c>
      <c r="D159" s="361">
        <f t="shared" si="14"/>
        <v>0</v>
      </c>
      <c r="E159" s="361">
        <f t="shared" si="15"/>
        <v>0</v>
      </c>
      <c r="F159" s="361">
        <f t="shared" si="16"/>
        <v>0</v>
      </c>
      <c r="G159" s="361">
        <f t="shared" si="17"/>
        <v>1940946.7800000003</v>
      </c>
      <c r="H159" s="374">
        <v>0</v>
      </c>
      <c r="I159" s="374">
        <v>0</v>
      </c>
      <c r="J159" s="374">
        <v>0</v>
      </c>
      <c r="K159" s="374">
        <v>0</v>
      </c>
      <c r="L159" s="374">
        <v>0</v>
      </c>
      <c r="M159" s="374">
        <v>0</v>
      </c>
      <c r="N159" s="374">
        <v>0</v>
      </c>
      <c r="O159" s="374">
        <v>0</v>
      </c>
      <c r="P159" s="374">
        <v>0</v>
      </c>
      <c r="Q159" s="374">
        <v>0</v>
      </c>
      <c r="R159" s="374">
        <v>0</v>
      </c>
      <c r="S159" s="374">
        <v>0</v>
      </c>
      <c r="T159" s="374">
        <v>0</v>
      </c>
      <c r="U159" s="374">
        <v>0</v>
      </c>
      <c r="V159" s="374">
        <v>0</v>
      </c>
      <c r="W159" s="374">
        <v>0</v>
      </c>
      <c r="X159" s="374">
        <v>0</v>
      </c>
      <c r="Y159" s="374">
        <v>0</v>
      </c>
      <c r="Z159" s="383">
        <v>163757.1</v>
      </c>
      <c r="AA159" s="367">
        <v>1777189.6800000002</v>
      </c>
      <c r="AB159" s="374">
        <v>-1.1900000004097819</v>
      </c>
      <c r="AC159" s="373">
        <v>1940946.7800000003</v>
      </c>
      <c r="AD159" s="373">
        <v>1856220.5</v>
      </c>
      <c r="AE159" s="373">
        <v>-84726.28</v>
      </c>
      <c r="AF159" s="344">
        <f t="shared" si="12"/>
        <v>3.3452828449357219E-3</v>
      </c>
    </row>
    <row r="160" spans="1:32">
      <c r="A160" s="370" t="s">
        <v>714</v>
      </c>
      <c r="B160" s="382" t="s">
        <v>715</v>
      </c>
      <c r="C160" s="361">
        <f t="shared" si="13"/>
        <v>0</v>
      </c>
      <c r="D160" s="361">
        <f t="shared" si="14"/>
        <v>0</v>
      </c>
      <c r="E160" s="361">
        <f t="shared" si="15"/>
        <v>0</v>
      </c>
      <c r="F160" s="361">
        <f t="shared" si="16"/>
        <v>0</v>
      </c>
      <c r="G160" s="361">
        <f t="shared" si="17"/>
        <v>1050000</v>
      </c>
      <c r="H160" s="374"/>
      <c r="I160" s="374"/>
      <c r="J160" s="374"/>
      <c r="K160" s="374"/>
      <c r="L160" s="374"/>
      <c r="M160" s="374"/>
      <c r="N160" s="374"/>
      <c r="O160" s="374"/>
      <c r="P160" s="374"/>
      <c r="Q160" s="374"/>
      <c r="R160" s="374"/>
      <c r="S160" s="374"/>
      <c r="T160" s="374"/>
      <c r="U160" s="374"/>
      <c r="V160" s="374"/>
      <c r="W160" s="374"/>
      <c r="X160" s="374"/>
      <c r="Y160" s="374">
        <v>0</v>
      </c>
      <c r="Z160" s="383">
        <v>0</v>
      </c>
      <c r="AA160" s="367">
        <v>1050000</v>
      </c>
      <c r="AB160" s="374">
        <v>0</v>
      </c>
      <c r="AC160" s="373">
        <v>1050000</v>
      </c>
      <c r="AD160" s="373">
        <v>588235</v>
      </c>
      <c r="AE160" s="373">
        <v>-461765</v>
      </c>
      <c r="AF160" s="344">
        <f t="shared" si="12"/>
        <v>1.8097080370140326E-3</v>
      </c>
    </row>
    <row r="161" spans="1:32">
      <c r="A161" s="370" t="s">
        <v>671</v>
      </c>
      <c r="B161" s="382" t="s">
        <v>672</v>
      </c>
      <c r="C161" s="361">
        <f t="shared" si="13"/>
        <v>0</v>
      </c>
      <c r="D161" s="361">
        <f t="shared" si="14"/>
        <v>0</v>
      </c>
      <c r="E161" s="361">
        <f t="shared" si="15"/>
        <v>0</v>
      </c>
      <c r="F161" s="361">
        <f t="shared" si="16"/>
        <v>0</v>
      </c>
      <c r="G161" s="361">
        <f t="shared" si="17"/>
        <v>11919.16</v>
      </c>
      <c r="H161" s="374"/>
      <c r="I161" s="374"/>
      <c r="J161" s="374"/>
      <c r="K161" s="374"/>
      <c r="L161" s="374"/>
      <c r="M161" s="374"/>
      <c r="N161" s="374"/>
      <c r="O161" s="374"/>
      <c r="P161" s="374"/>
      <c r="Q161" s="374"/>
      <c r="R161" s="374"/>
      <c r="S161" s="374"/>
      <c r="T161" s="374"/>
      <c r="U161" s="374"/>
      <c r="V161" s="374"/>
      <c r="W161" s="374"/>
      <c r="X161" s="374"/>
      <c r="Y161" s="374">
        <v>0</v>
      </c>
      <c r="Z161" s="383">
        <v>0</v>
      </c>
      <c r="AA161" s="367">
        <v>11919.16</v>
      </c>
      <c r="AB161" s="374">
        <v>-0.46999999999934516</v>
      </c>
      <c r="AC161" s="373">
        <v>11919.16</v>
      </c>
      <c r="AD161" s="373">
        <v>17647</v>
      </c>
      <c r="AE161" s="373">
        <v>5727.84</v>
      </c>
      <c r="AF161" s="344">
        <f t="shared" si="12"/>
        <v>2.0543047282339217E-5</v>
      </c>
    </row>
    <row r="162" spans="1:32">
      <c r="A162" s="370" t="s">
        <v>673</v>
      </c>
      <c r="B162" s="382" t="s">
        <v>674</v>
      </c>
      <c r="C162" s="361">
        <f t="shared" si="13"/>
        <v>0</v>
      </c>
      <c r="D162" s="361">
        <f t="shared" si="14"/>
        <v>0</v>
      </c>
      <c r="E162" s="361">
        <f t="shared" si="15"/>
        <v>0</v>
      </c>
      <c r="F162" s="361">
        <f t="shared" si="16"/>
        <v>0</v>
      </c>
      <c r="G162" s="361">
        <f t="shared" si="17"/>
        <v>106264.91</v>
      </c>
      <c r="H162" s="374"/>
      <c r="I162" s="374"/>
      <c r="J162" s="374"/>
      <c r="K162" s="374"/>
      <c r="L162" s="374"/>
      <c r="M162" s="374"/>
      <c r="N162" s="374"/>
      <c r="O162" s="374"/>
      <c r="P162" s="374"/>
      <c r="Q162" s="374"/>
      <c r="R162" s="374"/>
      <c r="S162" s="374"/>
      <c r="T162" s="374"/>
      <c r="U162" s="374"/>
      <c r="V162" s="374"/>
      <c r="W162" s="374"/>
      <c r="X162" s="374"/>
      <c r="Y162" s="374">
        <v>0</v>
      </c>
      <c r="Z162" s="383">
        <v>0</v>
      </c>
      <c r="AA162" s="367">
        <v>106264.91</v>
      </c>
      <c r="AB162" s="374">
        <v>0</v>
      </c>
      <c r="AC162" s="373">
        <v>106264.91</v>
      </c>
      <c r="AD162" s="373">
        <v>41176.5</v>
      </c>
      <c r="AE162" s="373">
        <v>-65088.41</v>
      </c>
      <c r="AF162" s="344">
        <f t="shared" si="12"/>
        <v>1.8315091588530749E-4</v>
      </c>
    </row>
    <row r="163" spans="1:32">
      <c r="A163" s="370" t="s">
        <v>675</v>
      </c>
      <c r="B163" s="382" t="s">
        <v>676</v>
      </c>
      <c r="C163" s="361">
        <f t="shared" si="13"/>
        <v>0</v>
      </c>
      <c r="D163" s="361">
        <f t="shared" si="14"/>
        <v>0</v>
      </c>
      <c r="E163" s="361">
        <f t="shared" si="15"/>
        <v>0</v>
      </c>
      <c r="F163" s="361">
        <f t="shared" si="16"/>
        <v>0</v>
      </c>
      <c r="G163" s="361">
        <f t="shared" si="17"/>
        <v>0</v>
      </c>
      <c r="H163" s="374"/>
      <c r="I163" s="374"/>
      <c r="J163" s="374"/>
      <c r="K163" s="374"/>
      <c r="L163" s="374"/>
      <c r="M163" s="374"/>
      <c r="N163" s="374"/>
      <c r="O163" s="374"/>
      <c r="P163" s="374"/>
      <c r="Q163" s="374"/>
      <c r="R163" s="374"/>
      <c r="S163" s="374"/>
      <c r="T163" s="374"/>
      <c r="U163" s="374"/>
      <c r="V163" s="374"/>
      <c r="W163" s="374"/>
      <c r="X163" s="374"/>
      <c r="Y163" s="374">
        <v>0</v>
      </c>
      <c r="Z163" s="383">
        <v>0</v>
      </c>
      <c r="AA163" s="367">
        <v>0</v>
      </c>
      <c r="AB163" s="374">
        <v>0</v>
      </c>
      <c r="AC163" s="373">
        <v>0</v>
      </c>
      <c r="AD163" s="373">
        <v>58823.5</v>
      </c>
      <c r="AE163" s="373">
        <v>58823.5</v>
      </c>
      <c r="AF163" s="344">
        <f t="shared" si="12"/>
        <v>0</v>
      </c>
    </row>
    <row r="164" spans="1:32">
      <c r="A164" s="393" t="s">
        <v>716</v>
      </c>
      <c r="B164" s="391" t="s">
        <v>717</v>
      </c>
      <c r="C164" s="361">
        <f t="shared" si="13"/>
        <v>0</v>
      </c>
      <c r="D164" s="361">
        <f t="shared" si="14"/>
        <v>0</v>
      </c>
      <c r="E164" s="361">
        <f t="shared" si="15"/>
        <v>71146.78</v>
      </c>
      <c r="F164" s="361">
        <f t="shared" si="16"/>
        <v>189145.60000000001</v>
      </c>
      <c r="G164" s="361">
        <f t="shared" si="17"/>
        <v>172945.32</v>
      </c>
      <c r="H164" s="394">
        <v>0</v>
      </c>
      <c r="I164" s="394">
        <v>0</v>
      </c>
      <c r="J164" s="394">
        <v>0</v>
      </c>
      <c r="K164" s="394">
        <v>0</v>
      </c>
      <c r="L164" s="394">
        <v>0</v>
      </c>
      <c r="M164" s="394">
        <v>0</v>
      </c>
      <c r="N164" s="394">
        <v>0</v>
      </c>
      <c r="O164" s="394">
        <v>0</v>
      </c>
      <c r="P164" s="394">
        <v>71146.78</v>
      </c>
      <c r="Q164" s="395">
        <v>0</v>
      </c>
      <c r="R164" s="394">
        <v>0</v>
      </c>
      <c r="S164" s="394">
        <v>0</v>
      </c>
      <c r="T164" s="394">
        <v>0</v>
      </c>
      <c r="U164" s="394">
        <v>60796.6</v>
      </c>
      <c r="V164" s="394">
        <v>71198.44</v>
      </c>
      <c r="W164" s="394">
        <v>57150.559999999998</v>
      </c>
      <c r="X164" s="394">
        <v>17410.349999999999</v>
      </c>
      <c r="Y164" s="394">
        <v>42095.770000000004</v>
      </c>
      <c r="Z164" s="394">
        <v>25797.68</v>
      </c>
      <c r="AA164" s="392">
        <v>87641.52</v>
      </c>
      <c r="AB164" s="394">
        <v>-70720.12</v>
      </c>
      <c r="AC164" s="373">
        <v>433237.7</v>
      </c>
      <c r="AD164" s="373">
        <v>362517.01</v>
      </c>
      <c r="AE164" s="373">
        <v>-70720.69</v>
      </c>
      <c r="AF164" s="344">
        <f t="shared" si="12"/>
        <v>7.4669880726426136E-4</v>
      </c>
    </row>
    <row r="165" spans="1:32">
      <c r="A165" s="415" t="s">
        <v>718</v>
      </c>
      <c r="B165" s="366" t="s">
        <v>717</v>
      </c>
      <c r="C165" s="361">
        <f t="shared" si="13"/>
        <v>0</v>
      </c>
      <c r="D165" s="361">
        <f t="shared" si="14"/>
        <v>0</v>
      </c>
      <c r="E165" s="361">
        <f t="shared" si="15"/>
        <v>71146.78</v>
      </c>
      <c r="F165" s="361">
        <f t="shared" si="16"/>
        <v>189145.60000000001</v>
      </c>
      <c r="G165" s="361">
        <f t="shared" si="17"/>
        <v>172945.32</v>
      </c>
      <c r="H165" s="374">
        <v>0</v>
      </c>
      <c r="I165" s="374">
        <v>0</v>
      </c>
      <c r="J165" s="374">
        <v>0</v>
      </c>
      <c r="K165" s="374">
        <v>0</v>
      </c>
      <c r="L165" s="374">
        <v>0</v>
      </c>
      <c r="M165" s="374">
        <v>0</v>
      </c>
      <c r="N165" s="374">
        <v>0</v>
      </c>
      <c r="O165" s="374">
        <v>0</v>
      </c>
      <c r="P165" s="374">
        <v>71146.78</v>
      </c>
      <c r="Q165" s="374">
        <v>0</v>
      </c>
      <c r="R165" s="374">
        <v>0</v>
      </c>
      <c r="S165" s="374">
        <v>0</v>
      </c>
      <c r="T165" s="374">
        <v>0</v>
      </c>
      <c r="U165" s="374">
        <v>60796.6</v>
      </c>
      <c r="V165" s="374">
        <v>71198.44</v>
      </c>
      <c r="W165" s="374">
        <v>57150.559999999998</v>
      </c>
      <c r="X165" s="374">
        <v>17410.349999999999</v>
      </c>
      <c r="Y165" s="374">
        <v>42095.770000000004</v>
      </c>
      <c r="Z165" s="383">
        <v>25797.68</v>
      </c>
      <c r="AA165" s="367">
        <v>87641.52</v>
      </c>
      <c r="AB165" s="374">
        <v>-70720.12</v>
      </c>
      <c r="AC165" s="373">
        <v>433237.7</v>
      </c>
      <c r="AD165" s="373">
        <v>362517.01</v>
      </c>
      <c r="AE165" s="373">
        <v>-70720.69</v>
      </c>
      <c r="AF165" s="344">
        <f t="shared" si="12"/>
        <v>7.4669880726426136E-4</v>
      </c>
    </row>
    <row r="166" spans="1:32" ht="25.5">
      <c r="A166" s="384" t="s">
        <v>536</v>
      </c>
      <c r="B166" s="385">
        <v>0</v>
      </c>
      <c r="C166" s="361">
        <f t="shared" si="13"/>
        <v>0</v>
      </c>
      <c r="D166" s="361">
        <f t="shared" si="14"/>
        <v>0</v>
      </c>
      <c r="E166" s="361">
        <f t="shared" si="15"/>
        <v>0</v>
      </c>
      <c r="F166" s="361">
        <f t="shared" si="16"/>
        <v>0</v>
      </c>
      <c r="G166" s="361">
        <f t="shared" si="17"/>
        <v>0</v>
      </c>
      <c r="H166" s="386">
        <v>0</v>
      </c>
      <c r="I166" s="386">
        <v>0</v>
      </c>
      <c r="J166" s="386">
        <v>0</v>
      </c>
      <c r="K166" s="386">
        <v>0</v>
      </c>
      <c r="L166" s="386">
        <v>0</v>
      </c>
      <c r="M166" s="386">
        <v>0</v>
      </c>
      <c r="N166" s="386">
        <v>0</v>
      </c>
      <c r="O166" s="386">
        <v>0</v>
      </c>
      <c r="P166" s="386">
        <v>0</v>
      </c>
      <c r="Q166" s="386">
        <v>0</v>
      </c>
      <c r="R166" s="386">
        <v>0</v>
      </c>
      <c r="S166" s="386">
        <v>0</v>
      </c>
      <c r="T166" s="386">
        <v>0</v>
      </c>
      <c r="U166" s="386">
        <v>0</v>
      </c>
      <c r="V166" s="386">
        <v>0</v>
      </c>
      <c r="W166" s="386">
        <v>0</v>
      </c>
      <c r="X166" s="386">
        <v>0</v>
      </c>
      <c r="Y166" s="386">
        <v>0</v>
      </c>
      <c r="Z166" s="387">
        <v>0</v>
      </c>
      <c r="AA166" s="387">
        <v>0</v>
      </c>
      <c r="AB166" s="386">
        <v>3191068.36</v>
      </c>
      <c r="AC166" s="373">
        <v>0</v>
      </c>
      <c r="AD166" s="373">
        <v>0</v>
      </c>
      <c r="AE166" s="369">
        <v>0</v>
      </c>
      <c r="AF166" s="344">
        <f t="shared" si="12"/>
        <v>0</v>
      </c>
    </row>
    <row r="167" spans="1:32">
      <c r="A167" s="384" t="s">
        <v>537</v>
      </c>
      <c r="B167" s="385"/>
      <c r="C167" s="361">
        <f t="shared" si="13"/>
        <v>0</v>
      </c>
      <c r="D167" s="361">
        <f t="shared" si="14"/>
        <v>0</v>
      </c>
      <c r="E167" s="361">
        <f t="shared" si="15"/>
        <v>0</v>
      </c>
      <c r="F167" s="361">
        <f t="shared" si="16"/>
        <v>0</v>
      </c>
      <c r="G167" s="361">
        <f t="shared" si="17"/>
        <v>0</v>
      </c>
      <c r="H167" s="386">
        <v>0</v>
      </c>
      <c r="I167" s="386">
        <v>0</v>
      </c>
      <c r="J167" s="386">
        <v>0</v>
      </c>
      <c r="K167" s="386">
        <v>0</v>
      </c>
      <c r="L167" s="386">
        <v>0</v>
      </c>
      <c r="M167" s="386">
        <v>0</v>
      </c>
      <c r="N167" s="386">
        <v>0</v>
      </c>
      <c r="O167" s="386">
        <v>0</v>
      </c>
      <c r="P167" s="386">
        <v>0</v>
      </c>
      <c r="Q167" s="386">
        <v>0</v>
      </c>
      <c r="R167" s="386">
        <v>0</v>
      </c>
      <c r="S167" s="386">
        <v>0</v>
      </c>
      <c r="T167" s="386">
        <v>0</v>
      </c>
      <c r="U167" s="386">
        <v>0</v>
      </c>
      <c r="V167" s="386">
        <v>0</v>
      </c>
      <c r="W167" s="386">
        <v>0</v>
      </c>
      <c r="X167" s="386">
        <v>0</v>
      </c>
      <c r="Y167" s="386">
        <v>0</v>
      </c>
      <c r="Z167" s="386">
        <v>0</v>
      </c>
      <c r="AA167" s="387"/>
      <c r="AB167" s="386"/>
      <c r="AC167" s="373"/>
      <c r="AD167" s="373">
        <v>2163446.0099999998</v>
      </c>
      <c r="AE167" s="369"/>
      <c r="AF167" s="344">
        <f t="shared" si="12"/>
        <v>0</v>
      </c>
    </row>
    <row r="168" spans="1:32">
      <c r="A168" s="434" t="s">
        <v>719</v>
      </c>
      <c r="B168" s="427" t="s">
        <v>720</v>
      </c>
      <c r="C168" s="361">
        <f t="shared" si="13"/>
        <v>0</v>
      </c>
      <c r="D168" s="361">
        <f t="shared" si="14"/>
        <v>264386.71999999997</v>
      </c>
      <c r="E168" s="361">
        <f t="shared" si="15"/>
        <v>460601.64</v>
      </c>
      <c r="F168" s="361">
        <f t="shared" si="16"/>
        <v>461676.80999999994</v>
      </c>
      <c r="G168" s="361">
        <f t="shared" si="17"/>
        <v>2058575.3115151515</v>
      </c>
      <c r="H168" s="362">
        <v>0</v>
      </c>
      <c r="I168" s="362">
        <v>0</v>
      </c>
      <c r="J168" s="362">
        <v>0</v>
      </c>
      <c r="K168" s="362">
        <v>0</v>
      </c>
      <c r="L168" s="362">
        <v>76432.399999999994</v>
      </c>
      <c r="M168" s="362">
        <v>0</v>
      </c>
      <c r="N168" s="362">
        <v>0</v>
      </c>
      <c r="O168" s="362">
        <v>187954.32</v>
      </c>
      <c r="P168" s="362">
        <v>361884.13</v>
      </c>
      <c r="Q168" s="363">
        <v>34171.329999999994</v>
      </c>
      <c r="R168" s="362">
        <v>0</v>
      </c>
      <c r="S168" s="362">
        <v>64546.18</v>
      </c>
      <c r="T168" s="362">
        <v>-1773.42</v>
      </c>
      <c r="U168" s="362">
        <v>231111.65999999997</v>
      </c>
      <c r="V168" s="362">
        <v>143801.43</v>
      </c>
      <c r="W168" s="362">
        <v>88537.14</v>
      </c>
      <c r="X168" s="362">
        <v>296739.12</v>
      </c>
      <c r="Y168" s="362">
        <v>335115.93</v>
      </c>
      <c r="Z168" s="362">
        <v>153056.21000000002</v>
      </c>
      <c r="AA168" s="362">
        <v>1273664.0515151515</v>
      </c>
      <c r="AB168" s="362">
        <v>143345.41848484834</v>
      </c>
      <c r="AC168" s="364">
        <v>3245240.4815151514</v>
      </c>
      <c r="AD168" s="362">
        <v>3388585.9</v>
      </c>
      <c r="AE168" s="364">
        <v>143345.42000000001</v>
      </c>
      <c r="AF168" s="344">
        <f t="shared" si="12"/>
        <v>5.593274077563104E-3</v>
      </c>
    </row>
    <row r="169" spans="1:32" ht="25.5">
      <c r="A169" s="393" t="s">
        <v>721</v>
      </c>
      <c r="B169" s="391" t="s">
        <v>720</v>
      </c>
      <c r="C169" s="361">
        <f t="shared" si="13"/>
        <v>0</v>
      </c>
      <c r="D169" s="361">
        <f t="shared" si="14"/>
        <v>264386.71999999997</v>
      </c>
      <c r="E169" s="361">
        <f t="shared" si="15"/>
        <v>460601.64</v>
      </c>
      <c r="F169" s="361">
        <f t="shared" si="16"/>
        <v>461676.80999999994</v>
      </c>
      <c r="G169" s="361">
        <f t="shared" si="17"/>
        <v>2014639.1915151514</v>
      </c>
      <c r="H169" s="394">
        <v>0</v>
      </c>
      <c r="I169" s="394">
        <v>0</v>
      </c>
      <c r="J169" s="394">
        <v>0</v>
      </c>
      <c r="K169" s="394">
        <v>0</v>
      </c>
      <c r="L169" s="394">
        <v>76432.399999999994</v>
      </c>
      <c r="M169" s="394">
        <v>0</v>
      </c>
      <c r="N169" s="394">
        <v>0</v>
      </c>
      <c r="O169" s="394">
        <v>187954.32</v>
      </c>
      <c r="P169" s="394">
        <v>361884.13</v>
      </c>
      <c r="Q169" s="395">
        <v>34171.329999999994</v>
      </c>
      <c r="R169" s="394">
        <v>0</v>
      </c>
      <c r="S169" s="394">
        <v>64546.18</v>
      </c>
      <c r="T169" s="394">
        <v>-1773.42</v>
      </c>
      <c r="U169" s="394">
        <v>231111.65999999997</v>
      </c>
      <c r="V169" s="394">
        <v>143801.43</v>
      </c>
      <c r="W169" s="394">
        <v>88537.14</v>
      </c>
      <c r="X169" s="394">
        <v>296739.12</v>
      </c>
      <c r="Y169" s="394">
        <v>335115.93</v>
      </c>
      <c r="Z169" s="394">
        <v>153056.21000000002</v>
      </c>
      <c r="AA169" s="392">
        <v>1229727.9315151514</v>
      </c>
      <c r="AB169" s="394">
        <v>119061.51848484833</v>
      </c>
      <c r="AC169" s="369">
        <v>3201304.3615151513</v>
      </c>
      <c r="AD169" s="369">
        <v>3351390.75</v>
      </c>
      <c r="AE169" s="369">
        <v>150086.39000000001</v>
      </c>
      <c r="AF169" s="344">
        <f t="shared" si="12"/>
        <v>5.5175487923448058E-3</v>
      </c>
    </row>
    <row r="170" spans="1:32">
      <c r="A170" s="415" t="s">
        <v>722</v>
      </c>
      <c r="B170" s="366" t="s">
        <v>723</v>
      </c>
      <c r="C170" s="361">
        <f t="shared" si="13"/>
        <v>0</v>
      </c>
      <c r="D170" s="361">
        <f t="shared" si="14"/>
        <v>264386.71999999997</v>
      </c>
      <c r="E170" s="361">
        <f t="shared" si="15"/>
        <v>109669.1</v>
      </c>
      <c r="F170" s="361">
        <f t="shared" si="16"/>
        <v>54447.43</v>
      </c>
      <c r="G170" s="361">
        <f t="shared" si="17"/>
        <v>294647.28000000003</v>
      </c>
      <c r="H170" s="374">
        <v>0</v>
      </c>
      <c r="I170" s="374">
        <v>0</v>
      </c>
      <c r="J170" s="374">
        <v>0</v>
      </c>
      <c r="K170" s="374">
        <v>0</v>
      </c>
      <c r="L170" s="374">
        <v>76432.399999999994</v>
      </c>
      <c r="M170" s="374">
        <v>0</v>
      </c>
      <c r="N170" s="374">
        <v>0</v>
      </c>
      <c r="O170" s="374">
        <v>187954.32</v>
      </c>
      <c r="P170" s="374">
        <v>11834.54</v>
      </c>
      <c r="Q170" s="374">
        <v>33288.379999999997</v>
      </c>
      <c r="R170" s="374">
        <v>0</v>
      </c>
      <c r="S170" s="374">
        <v>64546.18</v>
      </c>
      <c r="T170" s="374">
        <v>-1773.42</v>
      </c>
      <c r="U170" s="374">
        <v>0</v>
      </c>
      <c r="V170" s="374">
        <v>56220.85</v>
      </c>
      <c r="W170" s="374">
        <v>0</v>
      </c>
      <c r="X170" s="374">
        <v>129041.57</v>
      </c>
      <c r="Y170" s="374">
        <v>92048.5</v>
      </c>
      <c r="Z170" s="374">
        <v>73557.210000000006</v>
      </c>
      <c r="AA170" s="367">
        <v>0</v>
      </c>
      <c r="AB170" s="374">
        <v>-0.35999999991327059</v>
      </c>
      <c r="AC170" s="373">
        <v>723150.52999999991</v>
      </c>
      <c r="AD170" s="373">
        <v>716802.15</v>
      </c>
      <c r="AE170" s="373">
        <v>-6348.38</v>
      </c>
      <c r="AF170" s="344">
        <f t="shared" si="12"/>
        <v>1.2463726915351973E-3</v>
      </c>
    </row>
    <row r="171" spans="1:32">
      <c r="A171" s="415" t="s">
        <v>718</v>
      </c>
      <c r="B171" s="366" t="s">
        <v>717</v>
      </c>
      <c r="C171" s="361">
        <f t="shared" si="13"/>
        <v>0</v>
      </c>
      <c r="D171" s="361">
        <f t="shared" si="14"/>
        <v>0</v>
      </c>
      <c r="E171" s="361">
        <f t="shared" si="15"/>
        <v>219248.22</v>
      </c>
      <c r="F171" s="361">
        <f t="shared" si="16"/>
        <v>363470.52</v>
      </c>
      <c r="G171" s="361">
        <f t="shared" si="17"/>
        <v>554031.17999999993</v>
      </c>
      <c r="H171" s="374">
        <v>0</v>
      </c>
      <c r="I171" s="374">
        <v>0</v>
      </c>
      <c r="J171" s="374">
        <v>0</v>
      </c>
      <c r="K171" s="374">
        <v>0</v>
      </c>
      <c r="L171" s="374">
        <v>0</v>
      </c>
      <c r="M171" s="374">
        <v>0</v>
      </c>
      <c r="N171" s="374">
        <v>0</v>
      </c>
      <c r="O171" s="374">
        <v>0</v>
      </c>
      <c r="P171" s="374">
        <v>219248.22</v>
      </c>
      <c r="Q171" s="374">
        <v>0</v>
      </c>
      <c r="R171" s="374">
        <v>0</v>
      </c>
      <c r="S171" s="374">
        <v>0</v>
      </c>
      <c r="T171" s="374">
        <v>0</v>
      </c>
      <c r="U171" s="374">
        <v>187352.8</v>
      </c>
      <c r="V171" s="374">
        <v>87580.58</v>
      </c>
      <c r="W171" s="374">
        <v>88537.14</v>
      </c>
      <c r="X171" s="374">
        <v>53652.32</v>
      </c>
      <c r="Y171" s="374">
        <v>129723.7</v>
      </c>
      <c r="Z171" s="383">
        <v>79499</v>
      </c>
      <c r="AA171" s="367">
        <v>291156.15999999997</v>
      </c>
      <c r="AB171" s="374">
        <v>35726.259999999951</v>
      </c>
      <c r="AC171" s="373">
        <v>1136749.92</v>
      </c>
      <c r="AD171" s="373">
        <v>1172476.18</v>
      </c>
      <c r="AE171" s="373">
        <v>35726.26</v>
      </c>
      <c r="AF171" s="344">
        <f t="shared" si="12"/>
        <v>1.9592242536181511E-3</v>
      </c>
    </row>
    <row r="172" spans="1:32">
      <c r="A172" s="365" t="s">
        <v>724</v>
      </c>
      <c r="B172" s="366" t="s">
        <v>725</v>
      </c>
      <c r="C172" s="361">
        <f t="shared" si="13"/>
        <v>0</v>
      </c>
      <c r="D172" s="361">
        <f t="shared" si="14"/>
        <v>0</v>
      </c>
      <c r="E172" s="361">
        <f t="shared" si="15"/>
        <v>131684.32</v>
      </c>
      <c r="F172" s="361">
        <f t="shared" si="16"/>
        <v>43758.86</v>
      </c>
      <c r="G172" s="361">
        <f t="shared" si="17"/>
        <v>1165960.7315151514</v>
      </c>
      <c r="H172" s="374">
        <v>0</v>
      </c>
      <c r="I172" s="374">
        <v>0</v>
      </c>
      <c r="J172" s="374">
        <v>0</v>
      </c>
      <c r="K172" s="374">
        <v>0</v>
      </c>
      <c r="L172" s="374">
        <v>0</v>
      </c>
      <c r="M172" s="374">
        <v>0</v>
      </c>
      <c r="N172" s="374">
        <v>0</v>
      </c>
      <c r="O172" s="374">
        <v>0</v>
      </c>
      <c r="P172" s="374">
        <v>130801.37</v>
      </c>
      <c r="Q172" s="374">
        <v>882.95</v>
      </c>
      <c r="R172" s="374">
        <v>0</v>
      </c>
      <c r="S172" s="374">
        <v>0</v>
      </c>
      <c r="T172" s="374">
        <v>0</v>
      </c>
      <c r="U172" s="374">
        <v>43758.86</v>
      </c>
      <c r="V172" s="374">
        <v>0</v>
      </c>
      <c r="W172" s="374">
        <v>0</v>
      </c>
      <c r="X172" s="374">
        <v>114045.23</v>
      </c>
      <c r="Y172" s="374">
        <v>113343.73</v>
      </c>
      <c r="Z172" s="374">
        <v>0</v>
      </c>
      <c r="AA172" s="367">
        <v>938571.77151515149</v>
      </c>
      <c r="AB172" s="374">
        <v>83335.618484848295</v>
      </c>
      <c r="AC172" s="373">
        <v>1341403.9115151516</v>
      </c>
      <c r="AD172" s="373">
        <v>1462112.42</v>
      </c>
      <c r="AE172" s="373">
        <v>120708.51</v>
      </c>
      <c r="AF172" s="344">
        <f t="shared" si="12"/>
        <v>2.3119518471914572E-3</v>
      </c>
    </row>
    <row r="173" spans="1:32">
      <c r="A173" s="384" t="s">
        <v>535</v>
      </c>
      <c r="B173" s="385">
        <v>0</v>
      </c>
      <c r="C173" s="361">
        <f t="shared" si="13"/>
        <v>0</v>
      </c>
      <c r="D173" s="361">
        <f t="shared" si="14"/>
        <v>0</v>
      </c>
      <c r="E173" s="361">
        <f t="shared" si="15"/>
        <v>0</v>
      </c>
      <c r="F173" s="361">
        <f t="shared" si="16"/>
        <v>0</v>
      </c>
      <c r="G173" s="361">
        <f t="shared" si="17"/>
        <v>0</v>
      </c>
      <c r="H173" s="386">
        <v>0</v>
      </c>
      <c r="I173" s="386">
        <v>0</v>
      </c>
      <c r="J173" s="386">
        <v>0</v>
      </c>
      <c r="K173" s="386">
        <v>0</v>
      </c>
      <c r="L173" s="386">
        <v>0</v>
      </c>
      <c r="M173" s="386">
        <v>0</v>
      </c>
      <c r="N173" s="386">
        <v>0</v>
      </c>
      <c r="O173" s="386">
        <v>0</v>
      </c>
      <c r="P173" s="386">
        <v>0</v>
      </c>
      <c r="Q173" s="386">
        <v>0</v>
      </c>
      <c r="R173" s="386">
        <v>0</v>
      </c>
      <c r="S173" s="386">
        <v>0</v>
      </c>
      <c r="T173" s="386">
        <v>0</v>
      </c>
      <c r="U173" s="386">
        <v>0</v>
      </c>
      <c r="V173" s="386">
        <v>0</v>
      </c>
      <c r="W173" s="386">
        <v>0</v>
      </c>
      <c r="X173" s="386">
        <v>0</v>
      </c>
      <c r="Y173" s="386">
        <v>0</v>
      </c>
      <c r="Z173" s="386">
        <v>0</v>
      </c>
      <c r="AA173" s="387">
        <v>0</v>
      </c>
      <c r="AB173" s="386">
        <v>0</v>
      </c>
      <c r="AC173" s="373">
        <v>0</v>
      </c>
      <c r="AD173" s="373">
        <v>0</v>
      </c>
      <c r="AE173" s="369">
        <v>0</v>
      </c>
      <c r="AF173" s="344">
        <f t="shared" si="12"/>
        <v>0</v>
      </c>
    </row>
    <row r="174" spans="1:32" ht="25.5">
      <c r="A174" s="384" t="s">
        <v>536</v>
      </c>
      <c r="B174" s="385">
        <v>0</v>
      </c>
      <c r="C174" s="361">
        <f t="shared" si="13"/>
        <v>0</v>
      </c>
      <c r="D174" s="361">
        <f t="shared" si="14"/>
        <v>0</v>
      </c>
      <c r="E174" s="361">
        <f t="shared" si="15"/>
        <v>0</v>
      </c>
      <c r="F174" s="361">
        <f t="shared" si="16"/>
        <v>0</v>
      </c>
      <c r="G174" s="361">
        <f t="shared" si="17"/>
        <v>0</v>
      </c>
      <c r="H174" s="386">
        <v>0</v>
      </c>
      <c r="I174" s="386">
        <v>0</v>
      </c>
      <c r="J174" s="386">
        <v>0</v>
      </c>
      <c r="K174" s="386">
        <v>0</v>
      </c>
      <c r="L174" s="386">
        <v>0</v>
      </c>
      <c r="M174" s="386">
        <v>0</v>
      </c>
      <c r="N174" s="386">
        <v>0</v>
      </c>
      <c r="O174" s="386">
        <v>0</v>
      </c>
      <c r="P174" s="386">
        <v>0</v>
      </c>
      <c r="Q174" s="386">
        <v>0</v>
      </c>
      <c r="R174" s="386">
        <v>0</v>
      </c>
      <c r="S174" s="386">
        <v>0</v>
      </c>
      <c r="T174" s="386">
        <v>0</v>
      </c>
      <c r="U174" s="386">
        <v>0</v>
      </c>
      <c r="V174" s="386">
        <v>0</v>
      </c>
      <c r="W174" s="386">
        <v>0</v>
      </c>
      <c r="X174" s="386">
        <v>0</v>
      </c>
      <c r="Y174" s="386">
        <v>0</v>
      </c>
      <c r="Z174" s="386">
        <v>0</v>
      </c>
      <c r="AA174" s="387">
        <v>0</v>
      </c>
      <c r="AB174" s="386">
        <v>24283.9</v>
      </c>
      <c r="AC174" s="373">
        <v>0</v>
      </c>
      <c r="AD174" s="373">
        <v>0</v>
      </c>
      <c r="AE174" s="369">
        <v>0</v>
      </c>
      <c r="AF174" s="344">
        <f t="shared" si="12"/>
        <v>0</v>
      </c>
    </row>
    <row r="175" spans="1:32">
      <c r="A175" s="384" t="s">
        <v>537</v>
      </c>
      <c r="B175" s="385">
        <v>0</v>
      </c>
      <c r="C175" s="361">
        <f t="shared" si="13"/>
        <v>0</v>
      </c>
      <c r="D175" s="361">
        <f t="shared" si="14"/>
        <v>0</v>
      </c>
      <c r="E175" s="361">
        <f t="shared" si="15"/>
        <v>0</v>
      </c>
      <c r="F175" s="361">
        <f t="shared" si="16"/>
        <v>0</v>
      </c>
      <c r="G175" s="361">
        <f t="shared" si="17"/>
        <v>43936.12</v>
      </c>
      <c r="H175" s="386">
        <v>0</v>
      </c>
      <c r="I175" s="386">
        <v>0</v>
      </c>
      <c r="J175" s="386">
        <v>0</v>
      </c>
      <c r="K175" s="386">
        <v>0</v>
      </c>
      <c r="L175" s="386">
        <v>0</v>
      </c>
      <c r="M175" s="386">
        <v>0</v>
      </c>
      <c r="N175" s="386">
        <v>0</v>
      </c>
      <c r="O175" s="386">
        <v>0</v>
      </c>
      <c r="P175" s="386">
        <v>0</v>
      </c>
      <c r="Q175" s="386">
        <v>0</v>
      </c>
      <c r="R175" s="386">
        <v>0</v>
      </c>
      <c r="S175" s="386">
        <v>0</v>
      </c>
      <c r="T175" s="386">
        <v>0</v>
      </c>
      <c r="U175" s="386">
        <v>0</v>
      </c>
      <c r="V175" s="386">
        <v>0</v>
      </c>
      <c r="W175" s="386">
        <v>0</v>
      </c>
      <c r="X175" s="386">
        <v>0</v>
      </c>
      <c r="Y175" s="386">
        <v>0</v>
      </c>
      <c r="Z175" s="386">
        <v>0</v>
      </c>
      <c r="AA175" s="387">
        <v>43936.12</v>
      </c>
      <c r="AB175" s="386"/>
      <c r="AC175" s="373">
        <v>43936.12</v>
      </c>
      <c r="AD175" s="373">
        <v>37195.15</v>
      </c>
      <c r="AE175" s="369">
        <v>-6740.97</v>
      </c>
      <c r="AF175" s="344">
        <f t="shared" si="12"/>
        <v>7.5725285218298087E-5</v>
      </c>
    </row>
    <row r="176" spans="1:32">
      <c r="A176" s="434" t="s">
        <v>726</v>
      </c>
      <c r="B176" s="427" t="s">
        <v>638</v>
      </c>
      <c r="C176" s="361">
        <f t="shared" si="13"/>
        <v>0</v>
      </c>
      <c r="D176" s="361">
        <f t="shared" si="14"/>
        <v>0</v>
      </c>
      <c r="E176" s="361">
        <f t="shared" si="15"/>
        <v>0</v>
      </c>
      <c r="F176" s="361">
        <f t="shared" si="16"/>
        <v>1035759.2899999989</v>
      </c>
      <c r="G176" s="361">
        <f t="shared" si="17"/>
        <v>2770733.7581464006</v>
      </c>
      <c r="H176" s="362">
        <v>0</v>
      </c>
      <c r="I176" s="362">
        <v>0</v>
      </c>
      <c r="J176" s="362">
        <v>0</v>
      </c>
      <c r="K176" s="362">
        <v>0</v>
      </c>
      <c r="L176" s="362">
        <v>0</v>
      </c>
      <c r="M176" s="362">
        <v>0</v>
      </c>
      <c r="N176" s="362">
        <v>0</v>
      </c>
      <c r="O176" s="362">
        <v>0</v>
      </c>
      <c r="P176" s="362">
        <v>0</v>
      </c>
      <c r="Q176" s="363">
        <v>0</v>
      </c>
      <c r="R176" s="362">
        <v>0</v>
      </c>
      <c r="S176" s="362">
        <v>0</v>
      </c>
      <c r="T176" s="362">
        <v>0</v>
      </c>
      <c r="U176" s="362">
        <v>343351.4599999988</v>
      </c>
      <c r="V176" s="362">
        <v>298605.5500000001</v>
      </c>
      <c r="W176" s="362">
        <v>393802.28</v>
      </c>
      <c r="X176" s="362">
        <v>348489.52</v>
      </c>
      <c r="Y176" s="362">
        <v>980937.56</v>
      </c>
      <c r="Z176" s="362">
        <v>665018.26000000106</v>
      </c>
      <c r="AA176" s="362">
        <v>776288.41814639908</v>
      </c>
      <c r="AB176" s="362">
        <v>226439.61999999877</v>
      </c>
      <c r="AC176" s="364">
        <v>3798499.7881464008</v>
      </c>
      <c r="AD176" s="362">
        <v>4024939.4099999997</v>
      </c>
      <c r="AE176" s="364">
        <v>226439.62</v>
      </c>
      <c r="AF176" s="344">
        <f t="shared" si="12"/>
        <v>6.5468339001948971E-3</v>
      </c>
    </row>
    <row r="177" spans="1:32">
      <c r="A177" s="417" t="s">
        <v>639</v>
      </c>
      <c r="B177" s="418"/>
      <c r="C177" s="361">
        <f t="shared" si="13"/>
        <v>0</v>
      </c>
      <c r="D177" s="361">
        <f t="shared" si="14"/>
        <v>0</v>
      </c>
      <c r="E177" s="361">
        <f t="shared" si="15"/>
        <v>0</v>
      </c>
      <c r="F177" s="361">
        <f t="shared" si="16"/>
        <v>654174.3600000001</v>
      </c>
      <c r="G177" s="361">
        <f t="shared" si="17"/>
        <v>1140694.3026918536</v>
      </c>
      <c r="H177" s="367"/>
      <c r="I177" s="367">
        <v>0</v>
      </c>
      <c r="J177" s="367">
        <v>0</v>
      </c>
      <c r="K177" s="367">
        <v>0</v>
      </c>
      <c r="L177" s="367">
        <v>0</v>
      </c>
      <c r="M177" s="367">
        <v>0</v>
      </c>
      <c r="N177" s="367">
        <v>0</v>
      </c>
      <c r="O177" s="367">
        <v>0</v>
      </c>
      <c r="P177" s="367">
        <v>0</v>
      </c>
      <c r="Q177" s="367">
        <v>0</v>
      </c>
      <c r="R177" s="371">
        <v>0</v>
      </c>
      <c r="S177" s="371">
        <v>0</v>
      </c>
      <c r="T177" s="371">
        <v>0</v>
      </c>
      <c r="U177" s="371">
        <v>213259.19</v>
      </c>
      <c r="V177" s="371">
        <v>220157.44999999998</v>
      </c>
      <c r="W177" s="371">
        <v>220757.72000000003</v>
      </c>
      <c r="X177" s="371">
        <v>242177.31</v>
      </c>
      <c r="Y177" s="371">
        <v>264160.33</v>
      </c>
      <c r="Z177" s="372">
        <v>246172</v>
      </c>
      <c r="AA177" s="367">
        <v>388184.66269185359</v>
      </c>
      <c r="AB177" s="371">
        <v>-7.0000000181607902E-2</v>
      </c>
      <c r="AC177" s="369">
        <v>1794868.6626918535</v>
      </c>
      <c r="AD177" s="369">
        <v>2045777.08</v>
      </c>
      <c r="AE177" s="369">
        <v>250908.42</v>
      </c>
      <c r="AF177" s="344">
        <f t="shared" si="12"/>
        <v>3.0935126135791203E-3</v>
      </c>
    </row>
    <row r="178" spans="1:32">
      <c r="A178" s="417" t="s">
        <v>640</v>
      </c>
      <c r="B178" s="418"/>
      <c r="C178" s="361">
        <f t="shared" si="13"/>
        <v>0</v>
      </c>
      <c r="D178" s="361">
        <f t="shared" si="14"/>
        <v>0</v>
      </c>
      <c r="E178" s="361">
        <f t="shared" si="15"/>
        <v>0</v>
      </c>
      <c r="F178" s="361">
        <f t="shared" si="16"/>
        <v>381584.92999999883</v>
      </c>
      <c r="G178" s="361">
        <f t="shared" si="17"/>
        <v>1615352.2354545465</v>
      </c>
      <c r="H178" s="367"/>
      <c r="I178" s="367">
        <v>0</v>
      </c>
      <c r="J178" s="367">
        <v>0</v>
      </c>
      <c r="K178" s="367">
        <v>0</v>
      </c>
      <c r="L178" s="367">
        <v>0</v>
      </c>
      <c r="M178" s="367">
        <v>0</v>
      </c>
      <c r="N178" s="367">
        <v>0</v>
      </c>
      <c r="O178" s="367">
        <v>0</v>
      </c>
      <c r="P178" s="367">
        <v>0</v>
      </c>
      <c r="Q178" s="367">
        <v>0</v>
      </c>
      <c r="R178" s="371">
        <v>0</v>
      </c>
      <c r="S178" s="371">
        <v>0</v>
      </c>
      <c r="T178" s="371">
        <v>0</v>
      </c>
      <c r="U178" s="371">
        <v>130092.26999999874</v>
      </c>
      <c r="V178" s="371">
        <v>78448.100000000093</v>
      </c>
      <c r="W178" s="371">
        <v>173044.56</v>
      </c>
      <c r="X178" s="371">
        <v>106312.21</v>
      </c>
      <c r="Y178" s="371">
        <v>716777.23</v>
      </c>
      <c r="Z178" s="372">
        <v>418846.26000000106</v>
      </c>
      <c r="AA178" s="367">
        <v>373416.5354545454</v>
      </c>
      <c r="AB178" s="371">
        <v>-7705.1200000010531</v>
      </c>
      <c r="AC178" s="369">
        <v>1988943.9054545464</v>
      </c>
      <c r="AD178" s="369">
        <v>1918084.22</v>
      </c>
      <c r="AE178" s="369">
        <v>-70859.69</v>
      </c>
      <c r="AF178" s="344">
        <f t="shared" si="12"/>
        <v>3.428007400829687E-3</v>
      </c>
    </row>
    <row r="179" spans="1:32" ht="25.5">
      <c r="A179" s="384" t="s">
        <v>536</v>
      </c>
      <c r="B179" s="385"/>
      <c r="C179" s="361">
        <f t="shared" si="13"/>
        <v>0</v>
      </c>
      <c r="D179" s="361">
        <f t="shared" si="14"/>
        <v>0</v>
      </c>
      <c r="E179" s="361">
        <f t="shared" si="15"/>
        <v>0</v>
      </c>
      <c r="F179" s="361">
        <f t="shared" si="16"/>
        <v>0</v>
      </c>
      <c r="G179" s="361">
        <f t="shared" si="17"/>
        <v>0</v>
      </c>
      <c r="H179" s="386">
        <v>0</v>
      </c>
      <c r="I179" s="386">
        <v>0</v>
      </c>
      <c r="J179" s="386">
        <v>0</v>
      </c>
      <c r="K179" s="386">
        <v>0</v>
      </c>
      <c r="L179" s="386">
        <v>0</v>
      </c>
      <c r="M179" s="386">
        <v>0</v>
      </c>
      <c r="N179" s="386">
        <v>0</v>
      </c>
      <c r="O179" s="386">
        <v>0</v>
      </c>
      <c r="P179" s="386">
        <v>0</v>
      </c>
      <c r="Q179" s="386">
        <v>0</v>
      </c>
      <c r="R179" s="386">
        <v>0</v>
      </c>
      <c r="S179" s="386">
        <v>0</v>
      </c>
      <c r="T179" s="386">
        <v>0</v>
      </c>
      <c r="U179" s="386">
        <v>0</v>
      </c>
      <c r="V179" s="386">
        <v>0</v>
      </c>
      <c r="W179" s="386">
        <v>0</v>
      </c>
      <c r="X179" s="386">
        <v>0</v>
      </c>
      <c r="Y179" s="386">
        <v>0</v>
      </c>
      <c r="Z179" s="386">
        <v>0</v>
      </c>
      <c r="AA179" s="387">
        <v>0</v>
      </c>
      <c r="AB179" s="386">
        <v>234144.81</v>
      </c>
      <c r="AC179" s="373">
        <v>0</v>
      </c>
      <c r="AD179" s="373">
        <v>0</v>
      </c>
      <c r="AE179" s="369">
        <v>0</v>
      </c>
      <c r="AF179" s="344">
        <f t="shared" si="12"/>
        <v>0</v>
      </c>
    </row>
    <row r="180" spans="1:32">
      <c r="A180" s="384" t="s">
        <v>537</v>
      </c>
      <c r="B180" s="385"/>
      <c r="C180" s="361">
        <f t="shared" si="13"/>
        <v>0</v>
      </c>
      <c r="D180" s="361">
        <f t="shared" si="14"/>
        <v>0</v>
      </c>
      <c r="E180" s="361">
        <f t="shared" si="15"/>
        <v>0</v>
      </c>
      <c r="F180" s="361">
        <f t="shared" si="16"/>
        <v>0</v>
      </c>
      <c r="G180" s="361">
        <f t="shared" si="17"/>
        <v>14687.219999999998</v>
      </c>
      <c r="H180" s="386"/>
      <c r="I180" s="386"/>
      <c r="J180" s="386"/>
      <c r="K180" s="386"/>
      <c r="L180" s="386"/>
      <c r="M180" s="386"/>
      <c r="N180" s="386"/>
      <c r="O180" s="386">
        <v>0</v>
      </c>
      <c r="P180" s="386">
        <v>0</v>
      </c>
      <c r="Q180" s="386">
        <v>0</v>
      </c>
      <c r="R180" s="386">
        <v>0</v>
      </c>
      <c r="S180" s="386">
        <v>0</v>
      </c>
      <c r="T180" s="386">
        <v>0</v>
      </c>
      <c r="U180" s="386">
        <v>0</v>
      </c>
      <c r="V180" s="386">
        <v>0</v>
      </c>
      <c r="W180" s="386">
        <v>0</v>
      </c>
      <c r="X180" s="386">
        <v>0</v>
      </c>
      <c r="Y180" s="386">
        <v>0</v>
      </c>
      <c r="Z180" s="387">
        <v>0</v>
      </c>
      <c r="AA180" s="387">
        <v>14687.219999999998</v>
      </c>
      <c r="AB180" s="386"/>
      <c r="AC180" s="373">
        <v>14687.219999999998</v>
      </c>
      <c r="AD180" s="373">
        <v>61078.11</v>
      </c>
      <c r="AE180" s="369">
        <v>46390.89</v>
      </c>
      <c r="AF180" s="344">
        <f t="shared" si="12"/>
        <v>2.5313885786088799E-5</v>
      </c>
    </row>
    <row r="181" spans="1:32">
      <c r="A181" s="434" t="s">
        <v>727</v>
      </c>
      <c r="B181" s="427" t="s">
        <v>638</v>
      </c>
      <c r="C181" s="361">
        <f t="shared" si="13"/>
        <v>0</v>
      </c>
      <c r="D181" s="361">
        <f t="shared" si="14"/>
        <v>0</v>
      </c>
      <c r="E181" s="361">
        <f t="shared" si="15"/>
        <v>0</v>
      </c>
      <c r="F181" s="361">
        <f t="shared" si="16"/>
        <v>8731.17</v>
      </c>
      <c r="G181" s="361">
        <f t="shared" si="17"/>
        <v>203029.96132624953</v>
      </c>
      <c r="H181" s="362">
        <v>0</v>
      </c>
      <c r="I181" s="362">
        <v>0</v>
      </c>
      <c r="J181" s="362">
        <v>0</v>
      </c>
      <c r="K181" s="362">
        <v>0</v>
      </c>
      <c r="L181" s="362">
        <v>0</v>
      </c>
      <c r="M181" s="362">
        <v>0</v>
      </c>
      <c r="N181" s="362">
        <v>0</v>
      </c>
      <c r="O181" s="362">
        <v>0</v>
      </c>
      <c r="P181" s="362">
        <v>0</v>
      </c>
      <c r="Q181" s="363">
        <v>0</v>
      </c>
      <c r="R181" s="362">
        <v>0</v>
      </c>
      <c r="S181" s="362">
        <v>0</v>
      </c>
      <c r="T181" s="362">
        <v>0</v>
      </c>
      <c r="U181" s="362">
        <v>0</v>
      </c>
      <c r="V181" s="362">
        <v>3361.43</v>
      </c>
      <c r="W181" s="362">
        <v>5369.7400000000007</v>
      </c>
      <c r="X181" s="362">
        <v>61658.829999999994</v>
      </c>
      <c r="Y181" s="362">
        <v>41687.83</v>
      </c>
      <c r="Z181" s="362">
        <v>44600.51</v>
      </c>
      <c r="AA181" s="362">
        <v>55082.791326249506</v>
      </c>
      <c r="AB181" s="362">
        <v>7113.6499999999978</v>
      </c>
      <c r="AC181" s="364">
        <v>211663.0613262495</v>
      </c>
      <c r="AD181" s="362">
        <v>218776.49</v>
      </c>
      <c r="AE181" s="364">
        <v>7113.43</v>
      </c>
      <c r="AF181" s="344">
        <f t="shared" si="12"/>
        <v>3.6480794592486457E-4</v>
      </c>
    </row>
    <row r="182" spans="1:32">
      <c r="A182" s="417" t="s">
        <v>639</v>
      </c>
      <c r="B182" s="418"/>
      <c r="C182" s="361">
        <f t="shared" si="13"/>
        <v>0</v>
      </c>
      <c r="D182" s="361">
        <f t="shared" si="14"/>
        <v>0</v>
      </c>
      <c r="E182" s="361">
        <f t="shared" si="15"/>
        <v>0</v>
      </c>
      <c r="F182" s="361">
        <f t="shared" si="16"/>
        <v>8731.17</v>
      </c>
      <c r="G182" s="361">
        <f t="shared" si="17"/>
        <v>97295.181326249498</v>
      </c>
      <c r="H182" s="367"/>
      <c r="I182" s="367">
        <v>0</v>
      </c>
      <c r="J182" s="367">
        <v>0</v>
      </c>
      <c r="K182" s="367">
        <v>0</v>
      </c>
      <c r="L182" s="367">
        <v>0</v>
      </c>
      <c r="M182" s="367">
        <v>0</v>
      </c>
      <c r="N182" s="367">
        <v>0</v>
      </c>
      <c r="O182" s="367">
        <v>0</v>
      </c>
      <c r="P182" s="367">
        <v>0</v>
      </c>
      <c r="Q182" s="367">
        <v>0</v>
      </c>
      <c r="R182" s="371">
        <v>0</v>
      </c>
      <c r="S182" s="371">
        <v>0</v>
      </c>
      <c r="T182" s="371">
        <v>0</v>
      </c>
      <c r="U182" s="371">
        <v>0</v>
      </c>
      <c r="V182" s="371">
        <v>3361.43</v>
      </c>
      <c r="W182" s="371">
        <v>5369.7400000000007</v>
      </c>
      <c r="X182" s="371">
        <v>43214.45</v>
      </c>
      <c r="Y182" s="371">
        <v>12876.369999999999</v>
      </c>
      <c r="Z182" s="372">
        <v>16044.779999999999</v>
      </c>
      <c r="AA182" s="367">
        <v>25159.581326249507</v>
      </c>
      <c r="AB182" s="371">
        <v>-0.43999999999505235</v>
      </c>
      <c r="AC182" s="369">
        <v>106026.3513262495</v>
      </c>
      <c r="AD182" s="369">
        <v>103787.08</v>
      </c>
      <c r="AE182" s="369">
        <v>-2239.27</v>
      </c>
      <c r="AF182" s="344">
        <f t="shared" si="12"/>
        <v>1.8273975250513062E-4</v>
      </c>
    </row>
    <row r="183" spans="1:32">
      <c r="A183" s="435" t="s">
        <v>640</v>
      </c>
      <c r="B183" s="366"/>
      <c r="C183" s="361">
        <f t="shared" si="13"/>
        <v>0</v>
      </c>
      <c r="D183" s="361">
        <f t="shared" si="14"/>
        <v>0</v>
      </c>
      <c r="E183" s="361">
        <f t="shared" si="15"/>
        <v>0</v>
      </c>
      <c r="F183" s="361">
        <f t="shared" si="16"/>
        <v>0</v>
      </c>
      <c r="G183" s="361">
        <f t="shared" si="17"/>
        <v>98733.69</v>
      </c>
      <c r="H183" s="367"/>
      <c r="I183" s="367"/>
      <c r="J183" s="367"/>
      <c r="K183" s="367"/>
      <c r="L183" s="367"/>
      <c r="M183" s="367"/>
      <c r="N183" s="367"/>
      <c r="O183" s="367"/>
      <c r="P183" s="367"/>
      <c r="Q183" s="367"/>
      <c r="R183" s="371"/>
      <c r="S183" s="371"/>
      <c r="T183" s="371"/>
      <c r="U183" s="371"/>
      <c r="V183" s="371"/>
      <c r="W183" s="371">
        <v>0</v>
      </c>
      <c r="X183" s="371">
        <v>18444.379999999997</v>
      </c>
      <c r="Y183" s="371">
        <v>28811.460000000003</v>
      </c>
      <c r="Z183" s="372">
        <v>28555.730000000003</v>
      </c>
      <c r="AA183" s="367">
        <v>22922.12</v>
      </c>
      <c r="AB183" s="371">
        <v>-6.9917405198793858E-12</v>
      </c>
      <c r="AC183" s="369">
        <v>98635.62</v>
      </c>
      <c r="AD183" s="369">
        <v>111151.97</v>
      </c>
      <c r="AE183" s="369">
        <v>12516.35</v>
      </c>
      <c r="AF183" s="344">
        <f t="shared" si="12"/>
        <v>1.7000159452367815E-4</v>
      </c>
    </row>
    <row r="184" spans="1:32" ht="25.5">
      <c r="A184" s="384" t="s">
        <v>536</v>
      </c>
      <c r="B184" s="385"/>
      <c r="C184" s="361">
        <f t="shared" si="13"/>
        <v>0</v>
      </c>
      <c r="D184" s="361">
        <f t="shared" si="14"/>
        <v>0</v>
      </c>
      <c r="E184" s="361">
        <f t="shared" si="15"/>
        <v>0</v>
      </c>
      <c r="F184" s="361">
        <f t="shared" si="16"/>
        <v>0</v>
      </c>
      <c r="G184" s="361">
        <f t="shared" si="17"/>
        <v>0</v>
      </c>
      <c r="H184" s="386">
        <v>0</v>
      </c>
      <c r="I184" s="386">
        <v>0</v>
      </c>
      <c r="J184" s="386">
        <v>0</v>
      </c>
      <c r="K184" s="386">
        <v>0</v>
      </c>
      <c r="L184" s="386">
        <v>0</v>
      </c>
      <c r="M184" s="386">
        <v>0</v>
      </c>
      <c r="N184" s="386">
        <v>0</v>
      </c>
      <c r="O184" s="386">
        <v>0</v>
      </c>
      <c r="P184" s="386">
        <v>0</v>
      </c>
      <c r="Q184" s="386">
        <v>0</v>
      </c>
      <c r="R184" s="386">
        <v>0</v>
      </c>
      <c r="S184" s="386">
        <v>0</v>
      </c>
      <c r="T184" s="386">
        <v>0</v>
      </c>
      <c r="U184" s="386">
        <v>0</v>
      </c>
      <c r="V184" s="386">
        <v>0</v>
      </c>
      <c r="W184" s="386">
        <v>0</v>
      </c>
      <c r="X184" s="386">
        <v>0</v>
      </c>
      <c r="Y184" s="386">
        <v>0</v>
      </c>
      <c r="Z184" s="386">
        <v>0</v>
      </c>
      <c r="AA184" s="387">
        <v>0</v>
      </c>
      <c r="AB184" s="386">
        <v>7114.09</v>
      </c>
      <c r="AC184" s="373">
        <v>0</v>
      </c>
      <c r="AD184" s="373">
        <v>0</v>
      </c>
      <c r="AE184" s="369">
        <v>0</v>
      </c>
      <c r="AF184" s="344">
        <f t="shared" si="12"/>
        <v>0</v>
      </c>
    </row>
    <row r="185" spans="1:32">
      <c r="A185" s="384" t="s">
        <v>537</v>
      </c>
      <c r="B185" s="385"/>
      <c r="C185" s="361">
        <f t="shared" si="13"/>
        <v>0</v>
      </c>
      <c r="D185" s="361">
        <f t="shared" si="14"/>
        <v>0</v>
      </c>
      <c r="E185" s="361">
        <f t="shared" si="15"/>
        <v>0</v>
      </c>
      <c r="F185" s="361">
        <f t="shared" si="16"/>
        <v>0</v>
      </c>
      <c r="G185" s="361">
        <f t="shared" si="17"/>
        <v>7001.09</v>
      </c>
      <c r="H185" s="386"/>
      <c r="I185" s="386">
        <v>0</v>
      </c>
      <c r="J185" s="386">
        <v>0</v>
      </c>
      <c r="K185" s="386">
        <v>0</v>
      </c>
      <c r="L185" s="386">
        <v>0</v>
      </c>
      <c r="M185" s="386">
        <v>0</v>
      </c>
      <c r="N185" s="386">
        <v>0</v>
      </c>
      <c r="O185" s="386">
        <v>0</v>
      </c>
      <c r="P185" s="386">
        <v>0</v>
      </c>
      <c r="Q185" s="386">
        <v>0</v>
      </c>
      <c r="R185" s="386">
        <v>0</v>
      </c>
      <c r="S185" s="386">
        <v>0</v>
      </c>
      <c r="T185" s="386">
        <v>0</v>
      </c>
      <c r="U185" s="386">
        <v>0</v>
      </c>
      <c r="V185" s="386">
        <v>0</v>
      </c>
      <c r="W185" s="386">
        <v>0</v>
      </c>
      <c r="X185" s="386">
        <v>0</v>
      </c>
      <c r="Y185" s="386">
        <v>0</v>
      </c>
      <c r="Z185" s="387">
        <v>0</v>
      </c>
      <c r="AA185" s="387">
        <v>7001.09</v>
      </c>
      <c r="AB185" s="386"/>
      <c r="AC185" s="373">
        <v>7001.09</v>
      </c>
      <c r="AD185" s="373">
        <v>3837.44</v>
      </c>
      <c r="AE185" s="369">
        <v>-3163.65</v>
      </c>
      <c r="AF185" s="344">
        <f t="shared" si="12"/>
        <v>1.2066598896055786E-5</v>
      </c>
    </row>
    <row r="186" spans="1:32">
      <c r="A186" s="436" t="s">
        <v>728</v>
      </c>
      <c r="B186" s="420">
        <v>0</v>
      </c>
      <c r="C186" s="361">
        <f t="shared" si="13"/>
        <v>1068087.6899999995</v>
      </c>
      <c r="D186" s="361">
        <f t="shared" si="14"/>
        <v>4452182.83</v>
      </c>
      <c r="E186" s="361">
        <f t="shared" si="15"/>
        <v>9946771.4100000001</v>
      </c>
      <c r="F186" s="361">
        <f t="shared" si="16"/>
        <v>27370116.990000002</v>
      </c>
      <c r="G186" s="361">
        <f t="shared" si="17"/>
        <v>42896506.890000001</v>
      </c>
      <c r="H186" s="423">
        <v>0</v>
      </c>
      <c r="I186" s="423">
        <v>0</v>
      </c>
      <c r="J186" s="423">
        <v>541205.99999999942</v>
      </c>
      <c r="K186" s="423">
        <v>526881.68999999994</v>
      </c>
      <c r="L186" s="423">
        <v>86882.4</v>
      </c>
      <c r="M186" s="423">
        <v>1374663.2</v>
      </c>
      <c r="N186" s="423">
        <v>1355240.95</v>
      </c>
      <c r="O186" s="423">
        <v>1635396.2799999998</v>
      </c>
      <c r="P186" s="423">
        <v>1155008.01</v>
      </c>
      <c r="Q186" s="437">
        <v>2797874.3600000003</v>
      </c>
      <c r="R186" s="423">
        <v>1030497.05</v>
      </c>
      <c r="S186" s="423">
        <v>4963391.99</v>
      </c>
      <c r="T186" s="423">
        <v>2571829.2199999997</v>
      </c>
      <c r="U186" s="423">
        <v>8928801.4299999978</v>
      </c>
      <c r="V186" s="423">
        <v>8738108.1699999999</v>
      </c>
      <c r="W186" s="423">
        <v>7131378.1699999999</v>
      </c>
      <c r="X186" s="423">
        <v>11401296.99</v>
      </c>
      <c r="Y186" s="423">
        <v>15533728.17</v>
      </c>
      <c r="Z186" s="423">
        <v>15961481.73</v>
      </c>
      <c r="AA186" s="423"/>
      <c r="AB186" s="423">
        <v>8395691.6751515139</v>
      </c>
      <c r="AC186" s="423"/>
      <c r="AD186" s="423">
        <v>122488660.34999998</v>
      </c>
      <c r="AE186" s="421"/>
      <c r="AF186" s="344">
        <f t="shared" si="12"/>
        <v>0</v>
      </c>
    </row>
    <row r="187" spans="1:32">
      <c r="A187" s="425" t="s">
        <v>729</v>
      </c>
      <c r="B187" s="438"/>
      <c r="C187" s="361">
        <f t="shared" si="13"/>
        <v>0</v>
      </c>
      <c r="D187" s="361">
        <f t="shared" si="14"/>
        <v>0</v>
      </c>
      <c r="E187" s="361">
        <f t="shared" si="15"/>
        <v>0</v>
      </c>
      <c r="F187" s="361">
        <f t="shared" si="16"/>
        <v>0</v>
      </c>
      <c r="G187" s="361">
        <f t="shared" si="17"/>
        <v>0</v>
      </c>
      <c r="H187" s="439"/>
      <c r="I187" s="439"/>
      <c r="J187" s="439"/>
      <c r="K187" s="439"/>
      <c r="L187" s="439"/>
      <c r="M187" s="439"/>
      <c r="N187" s="439"/>
      <c r="O187" s="439"/>
      <c r="P187" s="439">
        <v>0</v>
      </c>
      <c r="Q187" s="440">
        <v>0</v>
      </c>
      <c r="R187" s="439">
        <v>0</v>
      </c>
      <c r="S187" s="439">
        <v>0</v>
      </c>
      <c r="T187" s="439">
        <v>0</v>
      </c>
      <c r="U187" s="439">
        <v>0</v>
      </c>
      <c r="V187" s="439">
        <v>0</v>
      </c>
      <c r="W187" s="439">
        <v>0</v>
      </c>
      <c r="X187" s="439">
        <v>0</v>
      </c>
      <c r="Y187" s="439">
        <v>0</v>
      </c>
      <c r="Z187" s="439">
        <v>0</v>
      </c>
      <c r="AA187" s="439">
        <v>0</v>
      </c>
      <c r="AB187" s="439"/>
      <c r="AC187" s="439"/>
      <c r="AD187" s="439">
        <v>0</v>
      </c>
      <c r="AE187" s="439"/>
      <c r="AF187" s="344">
        <f t="shared" si="12"/>
        <v>0</v>
      </c>
    </row>
    <row r="188" spans="1:32">
      <c r="A188" s="360" t="s">
        <v>730</v>
      </c>
      <c r="B188" s="427" t="s">
        <v>731</v>
      </c>
      <c r="C188" s="361">
        <f t="shared" si="13"/>
        <v>0</v>
      </c>
      <c r="D188" s="361">
        <f t="shared" si="14"/>
        <v>502701.94999999995</v>
      </c>
      <c r="E188" s="361">
        <f t="shared" si="15"/>
        <v>5701784.6799999997</v>
      </c>
      <c r="F188" s="361">
        <f t="shared" si="16"/>
        <v>13179793.449999999</v>
      </c>
      <c r="G188" s="361">
        <f t="shared" si="17"/>
        <v>12330992.07</v>
      </c>
      <c r="H188" s="388">
        <v>0</v>
      </c>
      <c r="I188" s="388">
        <v>0</v>
      </c>
      <c r="J188" s="388">
        <v>0</v>
      </c>
      <c r="K188" s="388">
        <v>0</v>
      </c>
      <c r="L188" s="388">
        <v>2501.9700000000003</v>
      </c>
      <c r="M188" s="388">
        <v>35352.520000000004</v>
      </c>
      <c r="N188" s="388">
        <v>365840.37</v>
      </c>
      <c r="O188" s="388">
        <v>99007.09</v>
      </c>
      <c r="P188" s="388">
        <v>1019218.4299999999</v>
      </c>
      <c r="Q188" s="389">
        <v>930921.15999999992</v>
      </c>
      <c r="R188" s="388">
        <v>1488348.01</v>
      </c>
      <c r="S188" s="388">
        <v>2263297.08</v>
      </c>
      <c r="T188" s="388">
        <v>2807584.26</v>
      </c>
      <c r="U188" s="388">
        <v>2976049.5300000003</v>
      </c>
      <c r="V188" s="388">
        <v>3855550.41</v>
      </c>
      <c r="W188" s="388">
        <v>3540609.25</v>
      </c>
      <c r="X188" s="388">
        <v>1852102.2799999998</v>
      </c>
      <c r="Y188" s="388">
        <v>3625311.8200000003</v>
      </c>
      <c r="Z188" s="388">
        <v>3465479.25</v>
      </c>
      <c r="AA188" s="362">
        <v>3388098.7199999997</v>
      </c>
      <c r="AB188" s="388">
        <v>887209.21698849532</v>
      </c>
      <c r="AC188" s="364">
        <v>31714267.07</v>
      </c>
      <c r="AD188" s="388">
        <v>32744884.720000003</v>
      </c>
      <c r="AE188" s="364">
        <v>1030617.65</v>
      </c>
      <c r="AF188" s="344">
        <f t="shared" si="12"/>
        <v>5.4660537147227121E-2</v>
      </c>
    </row>
    <row r="189" spans="1:32">
      <c r="A189" s="441" t="s">
        <v>732</v>
      </c>
      <c r="B189" s="442" t="s">
        <v>733</v>
      </c>
      <c r="C189" s="361">
        <f t="shared" si="13"/>
        <v>0</v>
      </c>
      <c r="D189" s="361">
        <f t="shared" si="14"/>
        <v>0</v>
      </c>
      <c r="E189" s="361">
        <f t="shared" si="15"/>
        <v>3590151.1999999993</v>
      </c>
      <c r="F189" s="361">
        <f t="shared" si="16"/>
        <v>9687900.1799999997</v>
      </c>
      <c r="G189" s="361">
        <f t="shared" si="17"/>
        <v>6648184.9199999999</v>
      </c>
      <c r="H189" s="394">
        <v>0</v>
      </c>
      <c r="I189" s="394">
        <v>0</v>
      </c>
      <c r="J189" s="394">
        <v>0</v>
      </c>
      <c r="K189" s="394">
        <v>0</v>
      </c>
      <c r="L189" s="394">
        <v>0</v>
      </c>
      <c r="M189" s="394">
        <v>0</v>
      </c>
      <c r="N189" s="394">
        <v>0</v>
      </c>
      <c r="O189" s="394">
        <v>0</v>
      </c>
      <c r="P189" s="394">
        <v>562709.92999999993</v>
      </c>
      <c r="Q189" s="395">
        <v>646677.98</v>
      </c>
      <c r="R189" s="394">
        <v>1089040.19</v>
      </c>
      <c r="S189" s="394">
        <v>1291723.0999999999</v>
      </c>
      <c r="T189" s="394">
        <v>2310429.75</v>
      </c>
      <c r="U189" s="394">
        <v>2331347.31</v>
      </c>
      <c r="V189" s="394">
        <v>2556883.79</v>
      </c>
      <c r="W189" s="394">
        <v>2489239.33</v>
      </c>
      <c r="X189" s="394">
        <v>1264307.67</v>
      </c>
      <c r="Y189" s="394">
        <v>1528393.9700000002</v>
      </c>
      <c r="Z189" s="394">
        <v>1769586.69</v>
      </c>
      <c r="AA189" s="392">
        <v>2085896.5899999999</v>
      </c>
      <c r="AB189" s="394">
        <v>229172.14000000129</v>
      </c>
      <c r="AC189" s="369">
        <v>19926236.300000001</v>
      </c>
      <c r="AD189" s="443">
        <v>20076881.440000001</v>
      </c>
      <c r="AE189" s="444">
        <v>150645.14000000001</v>
      </c>
      <c r="AF189" s="344">
        <f t="shared" si="12"/>
        <v>3.4343495218619777E-2</v>
      </c>
    </row>
    <row r="190" spans="1:32">
      <c r="A190" s="445" t="s">
        <v>734</v>
      </c>
      <c r="B190" s="446" t="s">
        <v>733</v>
      </c>
      <c r="C190" s="361">
        <f t="shared" si="13"/>
        <v>0</v>
      </c>
      <c r="D190" s="361">
        <f t="shared" si="14"/>
        <v>0</v>
      </c>
      <c r="E190" s="361">
        <f t="shared" si="15"/>
        <v>2026484.43</v>
      </c>
      <c r="F190" s="361">
        <f t="shared" si="16"/>
        <v>1677293.28</v>
      </c>
      <c r="G190" s="361">
        <f t="shared" si="17"/>
        <v>2174604.3499999996</v>
      </c>
      <c r="H190" s="371">
        <v>0</v>
      </c>
      <c r="I190" s="371">
        <v>0</v>
      </c>
      <c r="J190" s="371">
        <v>0</v>
      </c>
      <c r="K190" s="371">
        <v>0</v>
      </c>
      <c r="L190" s="371">
        <v>0</v>
      </c>
      <c r="M190" s="371">
        <v>0</v>
      </c>
      <c r="N190" s="371">
        <v>0</v>
      </c>
      <c r="O190" s="371">
        <v>0</v>
      </c>
      <c r="P190" s="371">
        <v>513440.98</v>
      </c>
      <c r="Q190" s="371">
        <v>509304</v>
      </c>
      <c r="R190" s="371">
        <v>630229.97</v>
      </c>
      <c r="S190" s="371">
        <v>373509.48</v>
      </c>
      <c r="T190" s="371">
        <v>372433.09</v>
      </c>
      <c r="U190" s="371">
        <v>434932.91</v>
      </c>
      <c r="V190" s="371">
        <v>434933.09</v>
      </c>
      <c r="W190" s="371">
        <v>434994.19</v>
      </c>
      <c r="X190" s="371">
        <v>434871.99</v>
      </c>
      <c r="Y190" s="371">
        <v>450948.97000000003</v>
      </c>
      <c r="Z190" s="371">
        <v>418917.21</v>
      </c>
      <c r="AA190" s="367">
        <v>869866.17999999993</v>
      </c>
      <c r="AB190" s="371">
        <v>-0.76999999978579581</v>
      </c>
      <c r="AC190" s="369">
        <v>5878382.0599999996</v>
      </c>
      <c r="AD190" s="443">
        <v>5878381.29</v>
      </c>
      <c r="AE190" s="444">
        <v>-0.77</v>
      </c>
      <c r="AF190" s="344">
        <f t="shared" si="12"/>
        <v>1.0131576436782004E-2</v>
      </c>
    </row>
    <row r="191" spans="1:32">
      <c r="A191" s="445" t="s">
        <v>735</v>
      </c>
      <c r="B191" s="446" t="s">
        <v>733</v>
      </c>
      <c r="C191" s="361">
        <f t="shared" si="13"/>
        <v>0</v>
      </c>
      <c r="D191" s="361">
        <f t="shared" si="14"/>
        <v>0</v>
      </c>
      <c r="E191" s="361">
        <f t="shared" si="15"/>
        <v>1563666.7699999998</v>
      </c>
      <c r="F191" s="361">
        <f t="shared" si="16"/>
        <v>8010606.9000000004</v>
      </c>
      <c r="G191" s="361">
        <f t="shared" si="17"/>
        <v>4473580.57</v>
      </c>
      <c r="H191" s="371">
        <v>0</v>
      </c>
      <c r="I191" s="371">
        <v>0</v>
      </c>
      <c r="J191" s="371">
        <v>0</v>
      </c>
      <c r="K191" s="371">
        <v>0</v>
      </c>
      <c r="L191" s="371">
        <v>0</v>
      </c>
      <c r="M191" s="371">
        <v>0</v>
      </c>
      <c r="N191" s="371">
        <v>0</v>
      </c>
      <c r="O191" s="371">
        <v>0</v>
      </c>
      <c r="P191" s="371">
        <v>49268.95</v>
      </c>
      <c r="Q191" s="371">
        <v>137373.98000000001</v>
      </c>
      <c r="R191" s="371">
        <v>458810.22</v>
      </c>
      <c r="S191" s="371">
        <v>918213.61999999988</v>
      </c>
      <c r="T191" s="371">
        <v>1937996.66</v>
      </c>
      <c r="U191" s="371">
        <v>1896414.4000000001</v>
      </c>
      <c r="V191" s="371">
        <v>2121950.7000000002</v>
      </c>
      <c r="W191" s="371">
        <v>2054245.1400000001</v>
      </c>
      <c r="X191" s="371">
        <v>829435.67999999993</v>
      </c>
      <c r="Y191" s="371">
        <v>1077445</v>
      </c>
      <c r="Z191" s="372">
        <v>1350669.48</v>
      </c>
      <c r="AA191" s="367">
        <v>1216030.4100000001</v>
      </c>
      <c r="AB191" s="371">
        <v>229172.91000000108</v>
      </c>
      <c r="AC191" s="369">
        <v>14047854.24</v>
      </c>
      <c r="AD191" s="443">
        <v>14198500.15</v>
      </c>
      <c r="AE191" s="444">
        <v>150645.91</v>
      </c>
      <c r="AF191" s="344">
        <f t="shared" si="12"/>
        <v>2.4211918781837767E-2</v>
      </c>
    </row>
    <row r="192" spans="1:32">
      <c r="A192" s="441" t="s">
        <v>736</v>
      </c>
      <c r="B192" s="442" t="s">
        <v>737</v>
      </c>
      <c r="C192" s="361">
        <f t="shared" si="13"/>
        <v>0</v>
      </c>
      <c r="D192" s="361">
        <f t="shared" si="14"/>
        <v>412106.14</v>
      </c>
      <c r="E192" s="361">
        <f t="shared" si="15"/>
        <v>937653.53</v>
      </c>
      <c r="F192" s="361">
        <f t="shared" si="16"/>
        <v>625784.65999999992</v>
      </c>
      <c r="G192" s="361">
        <f t="shared" si="17"/>
        <v>662245.82999999996</v>
      </c>
      <c r="H192" s="394">
        <v>0</v>
      </c>
      <c r="I192" s="394">
        <v>0</v>
      </c>
      <c r="J192" s="394">
        <v>0</v>
      </c>
      <c r="K192" s="394">
        <v>0</v>
      </c>
      <c r="L192" s="394">
        <v>2501.9700000000003</v>
      </c>
      <c r="M192" s="394">
        <v>5782</v>
      </c>
      <c r="N192" s="394">
        <v>333802.50999999995</v>
      </c>
      <c r="O192" s="394">
        <v>70019.66</v>
      </c>
      <c r="P192" s="394">
        <v>270010.21000000002</v>
      </c>
      <c r="Q192" s="395">
        <v>241841.86</v>
      </c>
      <c r="R192" s="394">
        <v>83512</v>
      </c>
      <c r="S192" s="394">
        <v>342289.46</v>
      </c>
      <c r="T192" s="394">
        <v>308898.65999999997</v>
      </c>
      <c r="U192" s="394">
        <v>2320</v>
      </c>
      <c r="V192" s="394">
        <v>40416.649999999994</v>
      </c>
      <c r="W192" s="394">
        <v>274149.34999999998</v>
      </c>
      <c r="X192" s="394">
        <v>16178.42</v>
      </c>
      <c r="Y192" s="394">
        <v>340776.89999999997</v>
      </c>
      <c r="Z192" s="394">
        <v>200000</v>
      </c>
      <c r="AA192" s="392">
        <v>105290.51</v>
      </c>
      <c r="AB192" s="394">
        <v>0.48000000009997734</v>
      </c>
      <c r="AC192" s="369">
        <v>2637645.5099999998</v>
      </c>
      <c r="AD192" s="443">
        <v>2638159.3399999994</v>
      </c>
      <c r="AE192" s="444">
        <v>513.83000000000004</v>
      </c>
      <c r="AF192" s="344">
        <f t="shared" si="12"/>
        <v>4.5460650268961686E-3</v>
      </c>
    </row>
    <row r="193" spans="1:32">
      <c r="A193" s="445" t="s">
        <v>738</v>
      </c>
      <c r="B193" s="446" t="s">
        <v>739</v>
      </c>
      <c r="C193" s="361">
        <f t="shared" si="13"/>
        <v>0</v>
      </c>
      <c r="D193" s="361">
        <f t="shared" si="14"/>
        <v>210000</v>
      </c>
      <c r="E193" s="361">
        <f t="shared" si="15"/>
        <v>240000</v>
      </c>
      <c r="F193" s="361">
        <f t="shared" si="16"/>
        <v>400000</v>
      </c>
      <c r="G193" s="361">
        <f t="shared" si="17"/>
        <v>580290.51</v>
      </c>
      <c r="H193" s="371">
        <v>0</v>
      </c>
      <c r="I193" s="371">
        <v>0</v>
      </c>
      <c r="J193" s="371">
        <v>0</v>
      </c>
      <c r="K193" s="371">
        <v>0</v>
      </c>
      <c r="L193" s="371">
        <v>0</v>
      </c>
      <c r="M193" s="371">
        <v>0</v>
      </c>
      <c r="N193" s="371">
        <v>210000</v>
      </c>
      <c r="O193" s="371">
        <v>0</v>
      </c>
      <c r="P193" s="371">
        <v>90000</v>
      </c>
      <c r="Q193" s="371">
        <v>150000</v>
      </c>
      <c r="R193" s="371">
        <v>0</v>
      </c>
      <c r="S193" s="371">
        <v>0</v>
      </c>
      <c r="T193" s="371">
        <v>150000</v>
      </c>
      <c r="U193" s="371">
        <v>0</v>
      </c>
      <c r="V193" s="371">
        <v>0</v>
      </c>
      <c r="W193" s="371">
        <v>250000</v>
      </c>
      <c r="X193" s="371">
        <v>0</v>
      </c>
      <c r="Y193" s="371">
        <v>275000</v>
      </c>
      <c r="Z193" s="371">
        <v>200000</v>
      </c>
      <c r="AA193" s="367">
        <v>105290.51</v>
      </c>
      <c r="AB193" s="371">
        <v>0</v>
      </c>
      <c r="AC193" s="369">
        <v>1430290.51</v>
      </c>
      <c r="AD193" s="443">
        <v>1430290.51</v>
      </c>
      <c r="AE193" s="444">
        <v>0</v>
      </c>
      <c r="AF193" s="344">
        <f t="shared" si="12"/>
        <v>2.4651506963922856E-3</v>
      </c>
    </row>
    <row r="194" spans="1:32">
      <c r="A194" s="445" t="s">
        <v>740</v>
      </c>
      <c r="B194" s="446" t="s">
        <v>741</v>
      </c>
      <c r="C194" s="361">
        <f t="shared" si="13"/>
        <v>0</v>
      </c>
      <c r="D194" s="361">
        <f t="shared" si="14"/>
        <v>0</v>
      </c>
      <c r="E194" s="361">
        <f t="shared" si="15"/>
        <v>276534.65000000002</v>
      </c>
      <c r="F194" s="361">
        <f t="shared" si="16"/>
        <v>29420.720000000001</v>
      </c>
      <c r="G194" s="361">
        <f t="shared" si="17"/>
        <v>0</v>
      </c>
      <c r="H194" s="371">
        <v>0</v>
      </c>
      <c r="I194" s="371">
        <v>0</v>
      </c>
      <c r="J194" s="371">
        <v>0</v>
      </c>
      <c r="K194" s="371">
        <v>0</v>
      </c>
      <c r="L194" s="371">
        <v>0</v>
      </c>
      <c r="M194" s="371">
        <v>0</v>
      </c>
      <c r="N194" s="371">
        <v>0</v>
      </c>
      <c r="O194" s="371">
        <v>0</v>
      </c>
      <c r="P194" s="371">
        <v>0</v>
      </c>
      <c r="Q194" s="371">
        <v>0</v>
      </c>
      <c r="R194" s="371">
        <v>0</v>
      </c>
      <c r="S194" s="371">
        <v>276534.65000000002</v>
      </c>
      <c r="T194" s="371">
        <v>0</v>
      </c>
      <c r="U194" s="371">
        <v>0</v>
      </c>
      <c r="V194" s="371">
        <v>29420.720000000001</v>
      </c>
      <c r="W194" s="371">
        <v>0</v>
      </c>
      <c r="X194" s="371">
        <v>0</v>
      </c>
      <c r="Y194" s="371">
        <v>0</v>
      </c>
      <c r="Z194" s="371">
        <v>0</v>
      </c>
      <c r="AA194" s="367">
        <v>0</v>
      </c>
      <c r="AB194" s="371">
        <v>0</v>
      </c>
      <c r="AC194" s="369">
        <v>305955.37</v>
      </c>
      <c r="AD194" s="443">
        <v>305955.37</v>
      </c>
      <c r="AE194" s="444">
        <v>0</v>
      </c>
      <c r="AF194" s="344">
        <f t="shared" si="12"/>
        <v>5.2732370672057334E-4</v>
      </c>
    </row>
    <row r="195" spans="1:32">
      <c r="A195" s="445" t="s">
        <v>742</v>
      </c>
      <c r="B195" s="446" t="s">
        <v>743</v>
      </c>
      <c r="C195" s="361">
        <f t="shared" si="13"/>
        <v>0</v>
      </c>
      <c r="D195" s="361">
        <f t="shared" si="14"/>
        <v>0</v>
      </c>
      <c r="E195" s="361">
        <f t="shared" si="15"/>
        <v>105448.18</v>
      </c>
      <c r="F195" s="361">
        <f t="shared" si="16"/>
        <v>107030</v>
      </c>
      <c r="G195" s="361">
        <f t="shared" si="17"/>
        <v>0</v>
      </c>
      <c r="H195" s="371">
        <v>0</v>
      </c>
      <c r="I195" s="371">
        <v>0</v>
      </c>
      <c r="J195" s="371">
        <v>0</v>
      </c>
      <c r="K195" s="371">
        <v>0</v>
      </c>
      <c r="L195" s="371">
        <v>0</v>
      </c>
      <c r="M195" s="371">
        <v>0</v>
      </c>
      <c r="N195" s="371">
        <v>0</v>
      </c>
      <c r="O195" s="371">
        <v>0</v>
      </c>
      <c r="P195" s="371">
        <v>22000</v>
      </c>
      <c r="Q195" s="371">
        <v>-63.82</v>
      </c>
      <c r="R195" s="371">
        <v>83512</v>
      </c>
      <c r="S195" s="371">
        <v>0</v>
      </c>
      <c r="T195" s="371">
        <v>107030</v>
      </c>
      <c r="U195" s="371">
        <v>0</v>
      </c>
      <c r="V195" s="371">
        <v>0</v>
      </c>
      <c r="W195" s="371">
        <v>0</v>
      </c>
      <c r="X195" s="371">
        <v>0</v>
      </c>
      <c r="Y195" s="371">
        <v>0</v>
      </c>
      <c r="Z195" s="371">
        <v>0</v>
      </c>
      <c r="AA195" s="367">
        <v>0</v>
      </c>
      <c r="AB195" s="371">
        <v>0</v>
      </c>
      <c r="AC195" s="369">
        <v>212478.18</v>
      </c>
      <c r="AD195" s="443">
        <v>212478.18</v>
      </c>
      <c r="AE195" s="444">
        <v>0</v>
      </c>
      <c r="AF195" s="344">
        <f t="shared" si="12"/>
        <v>3.6621282860582315E-4</v>
      </c>
    </row>
    <row r="196" spans="1:32">
      <c r="A196" s="445" t="s">
        <v>744</v>
      </c>
      <c r="B196" s="446" t="s">
        <v>745</v>
      </c>
      <c r="C196" s="361">
        <f t="shared" si="13"/>
        <v>0</v>
      </c>
      <c r="D196" s="361">
        <f t="shared" si="14"/>
        <v>8283.9700000000012</v>
      </c>
      <c r="E196" s="361">
        <f t="shared" si="15"/>
        <v>13843.68</v>
      </c>
      <c r="F196" s="361">
        <f t="shared" si="16"/>
        <v>0</v>
      </c>
      <c r="G196" s="361">
        <f t="shared" si="17"/>
        <v>0</v>
      </c>
      <c r="H196" s="371">
        <v>0</v>
      </c>
      <c r="I196" s="371">
        <v>0</v>
      </c>
      <c r="J196" s="371">
        <v>0</v>
      </c>
      <c r="K196" s="371">
        <v>0</v>
      </c>
      <c r="L196" s="371">
        <v>2501.9700000000003</v>
      </c>
      <c r="M196" s="371">
        <v>5782</v>
      </c>
      <c r="N196" s="371">
        <v>0</v>
      </c>
      <c r="O196" s="371">
        <v>0</v>
      </c>
      <c r="P196" s="371">
        <v>13843.68</v>
      </c>
      <c r="Q196" s="371">
        <v>0</v>
      </c>
      <c r="R196" s="371">
        <v>0</v>
      </c>
      <c r="S196" s="371">
        <v>0</v>
      </c>
      <c r="T196" s="371">
        <v>0</v>
      </c>
      <c r="U196" s="371">
        <v>0</v>
      </c>
      <c r="V196" s="371">
        <v>0</v>
      </c>
      <c r="W196" s="371">
        <v>0</v>
      </c>
      <c r="X196" s="371">
        <v>0</v>
      </c>
      <c r="Y196" s="371">
        <v>0</v>
      </c>
      <c r="Z196" s="371">
        <v>0</v>
      </c>
      <c r="AA196" s="367">
        <v>0</v>
      </c>
      <c r="AB196" s="371">
        <v>1.6058265828178264E-12</v>
      </c>
      <c r="AC196" s="369">
        <v>22033.890000000003</v>
      </c>
      <c r="AD196" s="443">
        <v>22033.890000000003</v>
      </c>
      <c r="AE196" s="444">
        <v>0</v>
      </c>
      <c r="AF196" s="344">
        <f t="shared" si="12"/>
        <v>3.7976102685412504E-5</v>
      </c>
    </row>
    <row r="197" spans="1:32">
      <c r="A197" s="445" t="s">
        <v>746</v>
      </c>
      <c r="B197" s="446" t="s">
        <v>747</v>
      </c>
      <c r="C197" s="361">
        <f t="shared" si="13"/>
        <v>0</v>
      </c>
      <c r="D197" s="361">
        <f t="shared" si="14"/>
        <v>29608.47</v>
      </c>
      <c r="E197" s="361">
        <f t="shared" si="15"/>
        <v>0</v>
      </c>
      <c r="F197" s="361">
        <f t="shared" si="16"/>
        <v>0</v>
      </c>
      <c r="G197" s="361">
        <f t="shared" si="17"/>
        <v>0</v>
      </c>
      <c r="H197" s="371">
        <v>0</v>
      </c>
      <c r="I197" s="371">
        <v>0</v>
      </c>
      <c r="J197" s="371">
        <v>0</v>
      </c>
      <c r="K197" s="371">
        <v>0</v>
      </c>
      <c r="L197" s="371">
        <v>0</v>
      </c>
      <c r="M197" s="371">
        <v>0</v>
      </c>
      <c r="N197" s="371">
        <v>0</v>
      </c>
      <c r="O197" s="371">
        <v>29608.47</v>
      </c>
      <c r="P197" s="371">
        <v>0</v>
      </c>
      <c r="Q197" s="371">
        <v>0</v>
      </c>
      <c r="R197" s="371">
        <v>0</v>
      </c>
      <c r="S197" s="371">
        <v>0</v>
      </c>
      <c r="T197" s="371">
        <v>0</v>
      </c>
      <c r="U197" s="371">
        <v>0</v>
      </c>
      <c r="V197" s="371">
        <v>0</v>
      </c>
      <c r="W197" s="371">
        <v>0</v>
      </c>
      <c r="X197" s="371">
        <v>0</v>
      </c>
      <c r="Y197" s="371">
        <v>0</v>
      </c>
      <c r="Z197" s="371">
        <v>0</v>
      </c>
      <c r="AA197" s="367">
        <v>0</v>
      </c>
      <c r="AB197" s="371">
        <v>0</v>
      </c>
      <c r="AC197" s="369">
        <v>29608.47</v>
      </c>
      <c r="AD197" s="443">
        <v>29608.47</v>
      </c>
      <c r="AE197" s="444">
        <v>0</v>
      </c>
      <c r="AF197" s="344">
        <f t="shared" ref="AF197:AF260" si="18">AC197/$AC$556</f>
        <v>5.1031129640656073E-5</v>
      </c>
    </row>
    <row r="198" spans="1:32">
      <c r="A198" s="445" t="s">
        <v>748</v>
      </c>
      <c r="B198" s="446" t="s">
        <v>749</v>
      </c>
      <c r="C198" s="361">
        <f t="shared" ref="C198:C261" si="19">SUM(H198:K198)</f>
        <v>0</v>
      </c>
      <c r="D198" s="361">
        <f t="shared" ref="D198:D261" si="20">SUM(L198:O198)</f>
        <v>89145.44</v>
      </c>
      <c r="E198" s="361">
        <f t="shared" ref="E198:E261" si="21">SUM(P198:S198)</f>
        <v>301827.02</v>
      </c>
      <c r="F198" s="361">
        <f t="shared" ref="F198:F261" si="22">SUM(T198:W198)</f>
        <v>89754.41</v>
      </c>
      <c r="G198" s="361">
        <f t="shared" ref="G198:G261" si="23">SUM(X198:AA198)</f>
        <v>81955.320000000007</v>
      </c>
      <c r="H198" s="371">
        <v>0</v>
      </c>
      <c r="I198" s="371">
        <v>0</v>
      </c>
      <c r="J198" s="371">
        <v>0</v>
      </c>
      <c r="K198" s="371">
        <v>0</v>
      </c>
      <c r="L198" s="371">
        <v>0</v>
      </c>
      <c r="M198" s="371">
        <v>0</v>
      </c>
      <c r="N198" s="371">
        <v>89087.92</v>
      </c>
      <c r="O198" s="371">
        <v>57.519999999999982</v>
      </c>
      <c r="P198" s="371">
        <v>144166.53</v>
      </c>
      <c r="Q198" s="371">
        <v>91905.68</v>
      </c>
      <c r="R198" s="371">
        <v>0</v>
      </c>
      <c r="S198" s="371">
        <v>65754.81</v>
      </c>
      <c r="T198" s="371">
        <v>52289.13</v>
      </c>
      <c r="U198" s="371">
        <v>2320</v>
      </c>
      <c r="V198" s="371">
        <v>10995.93</v>
      </c>
      <c r="W198" s="371">
        <v>24149.35</v>
      </c>
      <c r="X198" s="371">
        <v>16178.42</v>
      </c>
      <c r="Y198" s="371">
        <v>65776.900000000009</v>
      </c>
      <c r="Z198" s="371">
        <v>0</v>
      </c>
      <c r="AA198" s="367">
        <v>0</v>
      </c>
      <c r="AB198" s="371">
        <v>0.48000000009778887</v>
      </c>
      <c r="AC198" s="369">
        <v>562682.18999999994</v>
      </c>
      <c r="AD198" s="443">
        <v>563196.02</v>
      </c>
      <c r="AE198" s="444">
        <v>513.83000000000004</v>
      </c>
      <c r="AF198" s="344">
        <f t="shared" si="18"/>
        <v>9.6980045859776842E-4</v>
      </c>
    </row>
    <row r="199" spans="1:32">
      <c r="A199" s="445" t="s">
        <v>750</v>
      </c>
      <c r="B199" s="446" t="s">
        <v>751</v>
      </c>
      <c r="C199" s="361">
        <f t="shared" si="19"/>
        <v>0</v>
      </c>
      <c r="D199" s="361">
        <f t="shared" si="20"/>
        <v>48160.22</v>
      </c>
      <c r="E199" s="361">
        <f t="shared" si="21"/>
        <v>0</v>
      </c>
      <c r="F199" s="361">
        <f t="shared" si="22"/>
        <v>-420.47</v>
      </c>
      <c r="G199" s="361">
        <f t="shared" si="23"/>
        <v>0</v>
      </c>
      <c r="H199" s="371">
        <v>0</v>
      </c>
      <c r="I199" s="371">
        <v>0</v>
      </c>
      <c r="J199" s="371">
        <v>0</v>
      </c>
      <c r="K199" s="371">
        <v>0</v>
      </c>
      <c r="L199" s="371">
        <v>0</v>
      </c>
      <c r="M199" s="371">
        <v>0</v>
      </c>
      <c r="N199" s="371">
        <v>34714.589999999997</v>
      </c>
      <c r="O199" s="371">
        <v>13445.630000000001</v>
      </c>
      <c r="P199" s="371">
        <v>0</v>
      </c>
      <c r="Q199" s="371">
        <v>0</v>
      </c>
      <c r="R199" s="371">
        <v>0</v>
      </c>
      <c r="S199" s="371">
        <v>0</v>
      </c>
      <c r="T199" s="371">
        <v>-420.47</v>
      </c>
      <c r="U199" s="371">
        <v>0</v>
      </c>
      <c r="V199" s="371">
        <v>0</v>
      </c>
      <c r="W199" s="371">
        <v>0</v>
      </c>
      <c r="X199" s="371">
        <v>0</v>
      </c>
      <c r="Y199" s="371">
        <v>0</v>
      </c>
      <c r="Z199" s="371">
        <v>0</v>
      </c>
      <c r="AA199" s="367">
        <v>0</v>
      </c>
      <c r="AB199" s="371">
        <v>5.8264504332328215E-13</v>
      </c>
      <c r="AC199" s="369">
        <v>47688.86</v>
      </c>
      <c r="AD199" s="443">
        <v>47688.86</v>
      </c>
      <c r="AE199" s="444">
        <v>0</v>
      </c>
      <c r="AF199" s="344">
        <f t="shared" si="18"/>
        <v>8.219325068384478E-5</v>
      </c>
    </row>
    <row r="200" spans="1:32">
      <c r="A200" s="445" t="s">
        <v>752</v>
      </c>
      <c r="B200" s="446" t="s">
        <v>753</v>
      </c>
      <c r="C200" s="361">
        <f t="shared" si="19"/>
        <v>0</v>
      </c>
      <c r="D200" s="361">
        <f t="shared" si="20"/>
        <v>26908.04</v>
      </c>
      <c r="E200" s="361">
        <f t="shared" si="21"/>
        <v>0</v>
      </c>
      <c r="F200" s="361">
        <f t="shared" si="22"/>
        <v>0</v>
      </c>
      <c r="G200" s="361">
        <f t="shared" si="23"/>
        <v>0</v>
      </c>
      <c r="H200" s="371"/>
      <c r="I200" s="371"/>
      <c r="J200" s="371"/>
      <c r="K200" s="371"/>
      <c r="L200" s="371"/>
      <c r="M200" s="371"/>
      <c r="N200" s="371"/>
      <c r="O200" s="371">
        <v>26908.04</v>
      </c>
      <c r="P200" s="371">
        <v>0</v>
      </c>
      <c r="Q200" s="371">
        <v>0</v>
      </c>
      <c r="R200" s="371">
        <v>0</v>
      </c>
      <c r="S200" s="371">
        <v>0</v>
      </c>
      <c r="T200" s="371">
        <v>0</v>
      </c>
      <c r="U200" s="371">
        <v>0</v>
      </c>
      <c r="V200" s="371">
        <v>0</v>
      </c>
      <c r="W200" s="371">
        <v>0</v>
      </c>
      <c r="X200" s="371">
        <v>0</v>
      </c>
      <c r="Y200" s="371">
        <v>0</v>
      </c>
      <c r="Z200" s="371">
        <v>0</v>
      </c>
      <c r="AA200" s="367">
        <v>0</v>
      </c>
      <c r="AB200" s="371">
        <v>0</v>
      </c>
      <c r="AC200" s="369">
        <v>26908.04</v>
      </c>
      <c r="AD200" s="443">
        <v>26908.04</v>
      </c>
      <c r="AE200" s="444">
        <v>0</v>
      </c>
      <c r="AF200" s="344">
        <f t="shared" si="18"/>
        <v>4.6376853569804835E-5</v>
      </c>
    </row>
    <row r="201" spans="1:32">
      <c r="A201" s="441" t="s">
        <v>754</v>
      </c>
      <c r="B201" s="442" t="s">
        <v>755</v>
      </c>
      <c r="C201" s="361">
        <f t="shared" si="19"/>
        <v>0</v>
      </c>
      <c r="D201" s="361">
        <f t="shared" si="20"/>
        <v>0</v>
      </c>
      <c r="E201" s="361">
        <f t="shared" si="21"/>
        <v>1048219.44</v>
      </c>
      <c r="F201" s="361">
        <f t="shared" si="22"/>
        <v>1389870.91</v>
      </c>
      <c r="G201" s="361">
        <f t="shared" si="23"/>
        <v>3785786.1</v>
      </c>
      <c r="H201" s="394">
        <v>0</v>
      </c>
      <c r="I201" s="394">
        <v>0</v>
      </c>
      <c r="J201" s="394">
        <v>0</v>
      </c>
      <c r="K201" s="394">
        <v>0</v>
      </c>
      <c r="L201" s="394">
        <v>0</v>
      </c>
      <c r="M201" s="394">
        <v>0</v>
      </c>
      <c r="N201" s="394">
        <v>0</v>
      </c>
      <c r="O201" s="394">
        <v>0</v>
      </c>
      <c r="P201" s="394">
        <v>151157.60999999999</v>
      </c>
      <c r="Q201" s="395">
        <v>19637.240000000002</v>
      </c>
      <c r="R201" s="394">
        <v>284746.19</v>
      </c>
      <c r="S201" s="394">
        <v>592678.40000000002</v>
      </c>
      <c r="T201" s="394">
        <v>150330.81</v>
      </c>
      <c r="U201" s="394">
        <v>275836</v>
      </c>
      <c r="V201" s="394">
        <v>731131.4</v>
      </c>
      <c r="W201" s="394">
        <v>232572.7</v>
      </c>
      <c r="X201" s="394">
        <v>323082.45999999996</v>
      </c>
      <c r="Y201" s="394">
        <v>1321997.33</v>
      </c>
      <c r="Z201" s="394">
        <v>1175254.83</v>
      </c>
      <c r="AA201" s="392">
        <v>965451.48</v>
      </c>
      <c r="AB201" s="394">
        <v>41285.229999999647</v>
      </c>
      <c r="AC201" s="369">
        <v>6223876.4500000011</v>
      </c>
      <c r="AD201" s="443">
        <v>6650600.6799999997</v>
      </c>
      <c r="AE201" s="444">
        <v>426724.23</v>
      </c>
      <c r="AF201" s="344">
        <f t="shared" si="18"/>
        <v>1.0727046888521304E-2</v>
      </c>
    </row>
    <row r="202" spans="1:32">
      <c r="A202" s="445" t="s">
        <v>738</v>
      </c>
      <c r="B202" s="446" t="s">
        <v>756</v>
      </c>
      <c r="C202" s="361">
        <f t="shared" si="19"/>
        <v>0</v>
      </c>
      <c r="D202" s="361">
        <f t="shared" si="20"/>
        <v>0</v>
      </c>
      <c r="E202" s="361">
        <f t="shared" si="21"/>
        <v>492728.32000000001</v>
      </c>
      <c r="F202" s="361">
        <f t="shared" si="22"/>
        <v>441410.16000000003</v>
      </c>
      <c r="G202" s="361">
        <f t="shared" si="23"/>
        <v>0</v>
      </c>
      <c r="H202" s="371">
        <v>0</v>
      </c>
      <c r="I202" s="371">
        <v>0</v>
      </c>
      <c r="J202" s="371">
        <v>0</v>
      </c>
      <c r="K202" s="371">
        <v>0</v>
      </c>
      <c r="L202" s="371">
        <v>0</v>
      </c>
      <c r="M202" s="371">
        <v>0</v>
      </c>
      <c r="N202" s="371">
        <v>0</v>
      </c>
      <c r="O202" s="371">
        <v>0</v>
      </c>
      <c r="P202" s="371">
        <v>0</v>
      </c>
      <c r="Q202" s="371">
        <v>0</v>
      </c>
      <c r="R202" s="371">
        <v>0</v>
      </c>
      <c r="S202" s="371">
        <v>492728.32000000001</v>
      </c>
      <c r="T202" s="371">
        <v>0</v>
      </c>
      <c r="U202" s="371">
        <v>275836</v>
      </c>
      <c r="V202" s="371">
        <v>165574.16</v>
      </c>
      <c r="W202" s="371">
        <v>0</v>
      </c>
      <c r="X202" s="371">
        <v>0</v>
      </c>
      <c r="Y202" s="371">
        <v>0</v>
      </c>
      <c r="Z202" s="371">
        <v>0</v>
      </c>
      <c r="AA202" s="367">
        <v>0</v>
      </c>
      <c r="AB202" s="371">
        <v>0</v>
      </c>
      <c r="AC202" s="369">
        <v>934138.48</v>
      </c>
      <c r="AD202" s="443">
        <v>934138.48</v>
      </c>
      <c r="AE202" s="444">
        <v>0</v>
      </c>
      <c r="AF202" s="344">
        <f t="shared" si="18"/>
        <v>1.6100170618476878E-3</v>
      </c>
    </row>
    <row r="203" spans="1:32">
      <c r="A203" s="445" t="s">
        <v>757</v>
      </c>
      <c r="B203" s="446" t="s">
        <v>758</v>
      </c>
      <c r="C203" s="361">
        <f t="shared" si="19"/>
        <v>0</v>
      </c>
      <c r="D203" s="361">
        <f t="shared" si="20"/>
        <v>0</v>
      </c>
      <c r="E203" s="361">
        <f t="shared" si="21"/>
        <v>0</v>
      </c>
      <c r="F203" s="361">
        <f t="shared" si="22"/>
        <v>749948.07000000007</v>
      </c>
      <c r="G203" s="361">
        <f t="shared" si="23"/>
        <v>3599963.04</v>
      </c>
      <c r="H203" s="371">
        <v>0</v>
      </c>
      <c r="I203" s="371">
        <v>0</v>
      </c>
      <c r="J203" s="371">
        <v>0</v>
      </c>
      <c r="K203" s="371">
        <v>0</v>
      </c>
      <c r="L203" s="371">
        <v>0</v>
      </c>
      <c r="M203" s="371">
        <v>0</v>
      </c>
      <c r="N203" s="371">
        <v>0</v>
      </c>
      <c r="O203" s="371">
        <v>0</v>
      </c>
      <c r="P203" s="371">
        <v>0</v>
      </c>
      <c r="Q203" s="371">
        <v>0</v>
      </c>
      <c r="R203" s="371">
        <v>0</v>
      </c>
      <c r="S203" s="371">
        <v>0</v>
      </c>
      <c r="T203" s="371">
        <v>150330.81</v>
      </c>
      <c r="U203" s="371">
        <v>0</v>
      </c>
      <c r="V203" s="371">
        <v>367044.56</v>
      </c>
      <c r="W203" s="371">
        <v>232572.7</v>
      </c>
      <c r="X203" s="371">
        <v>323082.45999999996</v>
      </c>
      <c r="Y203" s="371">
        <v>1223554.1000000001</v>
      </c>
      <c r="Z203" s="372">
        <v>1152867.25</v>
      </c>
      <c r="AA203" s="367">
        <v>900459.23</v>
      </c>
      <c r="AB203" s="371">
        <v>41284.869999999646</v>
      </c>
      <c r="AC203" s="369">
        <v>4349911.1099999994</v>
      </c>
      <c r="AD203" s="443">
        <v>4748739.17</v>
      </c>
      <c r="AE203" s="444">
        <v>398828.06</v>
      </c>
      <c r="AF203" s="344">
        <f t="shared" si="18"/>
        <v>7.4972086629177441E-3</v>
      </c>
    </row>
    <row r="204" spans="1:32">
      <c r="A204" s="445" t="s">
        <v>759</v>
      </c>
      <c r="B204" s="446" t="s">
        <v>760</v>
      </c>
      <c r="C204" s="361">
        <f t="shared" si="19"/>
        <v>0</v>
      </c>
      <c r="D204" s="361">
        <f t="shared" si="20"/>
        <v>0</v>
      </c>
      <c r="E204" s="361">
        <f t="shared" si="21"/>
        <v>145056.08000000002</v>
      </c>
      <c r="F204" s="361">
        <f t="shared" si="22"/>
        <v>198512.68</v>
      </c>
      <c r="G204" s="361">
        <f t="shared" si="23"/>
        <v>98443.23</v>
      </c>
      <c r="H204" s="371">
        <v>0</v>
      </c>
      <c r="I204" s="371">
        <v>0</v>
      </c>
      <c r="J204" s="371">
        <v>0</v>
      </c>
      <c r="K204" s="371">
        <v>0</v>
      </c>
      <c r="L204" s="371">
        <v>0</v>
      </c>
      <c r="M204" s="371">
        <v>0</v>
      </c>
      <c r="N204" s="371">
        <v>0</v>
      </c>
      <c r="O204" s="371">
        <v>0</v>
      </c>
      <c r="P204" s="371">
        <v>45106</v>
      </c>
      <c r="Q204" s="371">
        <v>0</v>
      </c>
      <c r="R204" s="371">
        <v>0</v>
      </c>
      <c r="S204" s="371">
        <v>99950.080000000002</v>
      </c>
      <c r="T204" s="371">
        <v>0</v>
      </c>
      <c r="U204" s="371">
        <v>0</v>
      </c>
      <c r="V204" s="371">
        <v>198512.68</v>
      </c>
      <c r="W204" s="371">
        <v>0</v>
      </c>
      <c r="X204" s="371">
        <v>0</v>
      </c>
      <c r="Y204" s="371">
        <v>98443.23</v>
      </c>
      <c r="Z204" s="371">
        <v>0</v>
      </c>
      <c r="AA204" s="367">
        <v>0</v>
      </c>
      <c r="AB204" s="371">
        <v>0</v>
      </c>
      <c r="AC204" s="369">
        <v>442011.99</v>
      </c>
      <c r="AD204" s="443">
        <v>443250.20999999996</v>
      </c>
      <c r="AE204" s="444">
        <v>1238.22</v>
      </c>
      <c r="AF204" s="344">
        <f t="shared" si="18"/>
        <v>7.6182157215196782E-4</v>
      </c>
    </row>
    <row r="205" spans="1:32">
      <c r="A205" s="445" t="s">
        <v>742</v>
      </c>
      <c r="B205" s="446" t="s">
        <v>761</v>
      </c>
      <c r="C205" s="361">
        <f t="shared" si="19"/>
        <v>0</v>
      </c>
      <c r="D205" s="361">
        <f t="shared" si="20"/>
        <v>0</v>
      </c>
      <c r="E205" s="361">
        <f t="shared" si="21"/>
        <v>334647.06</v>
      </c>
      <c r="F205" s="361">
        <f t="shared" si="22"/>
        <v>0</v>
      </c>
      <c r="G205" s="361">
        <f t="shared" si="23"/>
        <v>0</v>
      </c>
      <c r="H205" s="371">
        <v>0</v>
      </c>
      <c r="I205" s="371">
        <v>0</v>
      </c>
      <c r="J205" s="371">
        <v>0</v>
      </c>
      <c r="K205" s="371">
        <v>0</v>
      </c>
      <c r="L205" s="371">
        <v>0</v>
      </c>
      <c r="M205" s="371">
        <v>0</v>
      </c>
      <c r="N205" s="371">
        <v>0</v>
      </c>
      <c r="O205" s="371">
        <v>0</v>
      </c>
      <c r="P205" s="371">
        <v>77413</v>
      </c>
      <c r="Q205" s="371">
        <v>0</v>
      </c>
      <c r="R205" s="371">
        <v>257234.06</v>
      </c>
      <c r="S205" s="371">
        <v>0</v>
      </c>
      <c r="T205" s="371">
        <v>0</v>
      </c>
      <c r="U205" s="371">
        <v>0</v>
      </c>
      <c r="V205" s="371">
        <v>0</v>
      </c>
      <c r="W205" s="371">
        <v>0</v>
      </c>
      <c r="X205" s="371">
        <v>0</v>
      </c>
      <c r="Y205" s="371">
        <v>0</v>
      </c>
      <c r="Z205" s="371">
        <v>0</v>
      </c>
      <c r="AA205" s="367">
        <v>0</v>
      </c>
      <c r="AB205" s="371">
        <v>0</v>
      </c>
      <c r="AC205" s="369">
        <v>334647.06</v>
      </c>
      <c r="AD205" s="443">
        <v>334647.06</v>
      </c>
      <c r="AE205" s="444">
        <v>0</v>
      </c>
      <c r="AF205" s="344">
        <f t="shared" si="18"/>
        <v>5.767747371858259E-4</v>
      </c>
    </row>
    <row r="206" spans="1:32">
      <c r="A206" s="445" t="s">
        <v>762</v>
      </c>
      <c r="B206" s="446" t="s">
        <v>763</v>
      </c>
      <c r="C206" s="361">
        <f t="shared" si="19"/>
        <v>0</v>
      </c>
      <c r="D206" s="361">
        <f t="shared" si="20"/>
        <v>0</v>
      </c>
      <c r="E206" s="361">
        <f t="shared" si="21"/>
        <v>48275.850000000006</v>
      </c>
      <c r="F206" s="361">
        <f t="shared" si="22"/>
        <v>0</v>
      </c>
      <c r="G206" s="361">
        <f t="shared" si="23"/>
        <v>0</v>
      </c>
      <c r="H206" s="371">
        <v>0</v>
      </c>
      <c r="I206" s="371">
        <v>0</v>
      </c>
      <c r="J206" s="371">
        <v>0</v>
      </c>
      <c r="K206" s="371">
        <v>0</v>
      </c>
      <c r="L206" s="371">
        <v>0</v>
      </c>
      <c r="M206" s="371">
        <v>0</v>
      </c>
      <c r="N206" s="371">
        <v>0</v>
      </c>
      <c r="O206" s="371">
        <v>0</v>
      </c>
      <c r="P206" s="371">
        <v>28638.61</v>
      </c>
      <c r="Q206" s="371">
        <v>19637.240000000002</v>
      </c>
      <c r="R206" s="371">
        <v>0</v>
      </c>
      <c r="S206" s="371">
        <v>0</v>
      </c>
      <c r="T206" s="371">
        <v>0</v>
      </c>
      <c r="U206" s="371">
        <v>0</v>
      </c>
      <c r="V206" s="371">
        <v>0</v>
      </c>
      <c r="W206" s="371">
        <v>0</v>
      </c>
      <c r="X206" s="371">
        <v>0</v>
      </c>
      <c r="Y206" s="371">
        <v>0</v>
      </c>
      <c r="Z206" s="371">
        <v>0</v>
      </c>
      <c r="AA206" s="367">
        <v>0</v>
      </c>
      <c r="AB206" s="371">
        <v>0</v>
      </c>
      <c r="AC206" s="369">
        <v>48275.85</v>
      </c>
      <c r="AD206" s="443">
        <v>48275.85</v>
      </c>
      <c r="AE206" s="444">
        <v>0</v>
      </c>
      <c r="AF206" s="344">
        <f t="shared" si="18"/>
        <v>8.3204946417794176E-5</v>
      </c>
    </row>
    <row r="207" spans="1:32">
      <c r="A207" s="445" t="s">
        <v>764</v>
      </c>
      <c r="B207" s="446" t="s">
        <v>765</v>
      </c>
      <c r="C207" s="361">
        <f t="shared" si="19"/>
        <v>0</v>
      </c>
      <c r="D207" s="361">
        <f t="shared" si="20"/>
        <v>0</v>
      </c>
      <c r="E207" s="361">
        <f t="shared" si="21"/>
        <v>27512.13</v>
      </c>
      <c r="F207" s="361">
        <f t="shared" si="22"/>
        <v>0</v>
      </c>
      <c r="G207" s="361">
        <f t="shared" si="23"/>
        <v>0</v>
      </c>
      <c r="H207" s="371">
        <v>0</v>
      </c>
      <c r="I207" s="371">
        <v>0</v>
      </c>
      <c r="J207" s="371">
        <v>0</v>
      </c>
      <c r="K207" s="371">
        <v>0</v>
      </c>
      <c r="L207" s="371">
        <v>0</v>
      </c>
      <c r="M207" s="371">
        <v>0</v>
      </c>
      <c r="N207" s="371">
        <v>0</v>
      </c>
      <c r="O207" s="371">
        <v>0</v>
      </c>
      <c r="P207" s="371">
        <v>0</v>
      </c>
      <c r="Q207" s="371">
        <v>0</v>
      </c>
      <c r="R207" s="371">
        <v>27512.13</v>
      </c>
      <c r="S207" s="371">
        <v>0</v>
      </c>
      <c r="T207" s="371">
        <v>0</v>
      </c>
      <c r="U207" s="371">
        <v>0</v>
      </c>
      <c r="V207" s="371">
        <v>0</v>
      </c>
      <c r="W207" s="371">
        <v>0</v>
      </c>
      <c r="X207" s="371">
        <v>0</v>
      </c>
      <c r="Y207" s="371">
        <v>0</v>
      </c>
      <c r="Z207" s="371">
        <v>0</v>
      </c>
      <c r="AA207" s="367">
        <v>0</v>
      </c>
      <c r="AB207" s="371">
        <v>0</v>
      </c>
      <c r="AC207" s="369">
        <v>27512.13</v>
      </c>
      <c r="AD207" s="443">
        <v>27512.13</v>
      </c>
      <c r="AE207" s="444">
        <v>0</v>
      </c>
      <c r="AF207" s="344">
        <f t="shared" si="18"/>
        <v>4.7418021691785601E-5</v>
      </c>
    </row>
    <row r="208" spans="1:32">
      <c r="A208" s="445" t="s">
        <v>766</v>
      </c>
      <c r="B208" s="446" t="s">
        <v>767</v>
      </c>
      <c r="C208" s="361">
        <f t="shared" si="19"/>
        <v>0</v>
      </c>
      <c r="D208" s="361">
        <f t="shared" si="20"/>
        <v>0</v>
      </c>
      <c r="E208" s="361">
        <f t="shared" si="21"/>
        <v>0</v>
      </c>
      <c r="F208" s="361">
        <f t="shared" si="22"/>
        <v>0</v>
      </c>
      <c r="G208" s="361">
        <f t="shared" si="23"/>
        <v>84898.03</v>
      </c>
      <c r="H208" s="371">
        <v>0</v>
      </c>
      <c r="I208" s="371">
        <v>0</v>
      </c>
      <c r="J208" s="371">
        <v>0</v>
      </c>
      <c r="K208" s="371">
        <v>0</v>
      </c>
      <c r="L208" s="371">
        <v>0</v>
      </c>
      <c r="M208" s="371">
        <v>0</v>
      </c>
      <c r="N208" s="371">
        <v>0</v>
      </c>
      <c r="O208" s="371">
        <v>0</v>
      </c>
      <c r="P208" s="371">
        <v>0</v>
      </c>
      <c r="Q208" s="371">
        <v>0</v>
      </c>
      <c r="R208" s="371">
        <v>0</v>
      </c>
      <c r="S208" s="371">
        <v>0</v>
      </c>
      <c r="T208" s="371">
        <v>0</v>
      </c>
      <c r="U208" s="371">
        <v>0</v>
      </c>
      <c r="V208" s="371">
        <v>0</v>
      </c>
      <c r="W208" s="371">
        <v>0</v>
      </c>
      <c r="X208" s="371">
        <v>0</v>
      </c>
      <c r="Y208" s="371">
        <v>0</v>
      </c>
      <c r="Z208" s="372">
        <v>22387.58</v>
      </c>
      <c r="AA208" s="367">
        <v>62510.45</v>
      </c>
      <c r="AB208" s="371">
        <v>0.36000000000058208</v>
      </c>
      <c r="AC208" s="369">
        <v>84898.03</v>
      </c>
      <c r="AD208" s="443">
        <v>84037.78</v>
      </c>
      <c r="AE208" s="444">
        <v>-860.25</v>
      </c>
      <c r="AF208" s="344">
        <f t="shared" si="18"/>
        <v>1.4632442592157948E-4</v>
      </c>
    </row>
    <row r="209" spans="1:32">
      <c r="A209" s="447" t="s">
        <v>768</v>
      </c>
      <c r="B209" s="382" t="s">
        <v>769</v>
      </c>
      <c r="C209" s="361">
        <f t="shared" si="19"/>
        <v>0</v>
      </c>
      <c r="D209" s="361">
        <f t="shared" si="20"/>
        <v>0</v>
      </c>
      <c r="E209" s="361">
        <f t="shared" si="21"/>
        <v>0</v>
      </c>
      <c r="F209" s="361">
        <f t="shared" si="22"/>
        <v>0</v>
      </c>
      <c r="G209" s="361">
        <f t="shared" si="23"/>
        <v>2481.8000000000002</v>
      </c>
      <c r="H209" s="448">
        <v>0</v>
      </c>
      <c r="I209" s="448">
        <v>0</v>
      </c>
      <c r="J209" s="448">
        <v>0</v>
      </c>
      <c r="K209" s="448">
        <v>0</v>
      </c>
      <c r="L209" s="448">
        <v>0</v>
      </c>
      <c r="M209" s="448">
        <v>0</v>
      </c>
      <c r="N209" s="448">
        <v>0</v>
      </c>
      <c r="O209" s="448">
        <v>0</v>
      </c>
      <c r="P209" s="448">
        <v>0</v>
      </c>
      <c r="Q209" s="448">
        <v>0</v>
      </c>
      <c r="R209" s="448">
        <v>0</v>
      </c>
      <c r="S209" s="448">
        <v>0</v>
      </c>
      <c r="T209" s="448">
        <v>0</v>
      </c>
      <c r="U209" s="448">
        <v>0</v>
      </c>
      <c r="V209" s="448">
        <v>0</v>
      </c>
      <c r="W209" s="448">
        <v>0</v>
      </c>
      <c r="X209" s="448">
        <v>0</v>
      </c>
      <c r="Y209" s="448">
        <v>0</v>
      </c>
      <c r="Z209" s="416">
        <v>0</v>
      </c>
      <c r="AA209" s="367">
        <v>2481.8000000000002</v>
      </c>
      <c r="AB209" s="448">
        <v>0</v>
      </c>
      <c r="AC209" s="373">
        <v>2481.8000000000002</v>
      </c>
      <c r="AD209" s="449">
        <v>30000</v>
      </c>
      <c r="AE209" s="369">
        <v>27518.2</v>
      </c>
      <c r="AF209" s="344">
        <f t="shared" si="18"/>
        <v>4.2774603869156445E-6</v>
      </c>
    </row>
    <row r="210" spans="1:32">
      <c r="A210" s="441" t="s">
        <v>770</v>
      </c>
      <c r="B210" s="442" t="s">
        <v>771</v>
      </c>
      <c r="C210" s="361">
        <f t="shared" si="19"/>
        <v>0</v>
      </c>
      <c r="D210" s="361">
        <f t="shared" si="20"/>
        <v>0</v>
      </c>
      <c r="E210" s="361">
        <f t="shared" si="21"/>
        <v>0</v>
      </c>
      <c r="F210" s="361">
        <f t="shared" si="22"/>
        <v>1361279.74</v>
      </c>
      <c r="G210" s="361">
        <f t="shared" si="23"/>
        <v>1143400.9499999997</v>
      </c>
      <c r="H210" s="394">
        <v>0</v>
      </c>
      <c r="I210" s="394">
        <v>0</v>
      </c>
      <c r="J210" s="394">
        <v>0</v>
      </c>
      <c r="K210" s="394">
        <v>0</v>
      </c>
      <c r="L210" s="394">
        <v>0</v>
      </c>
      <c r="M210" s="394">
        <v>0</v>
      </c>
      <c r="N210" s="394">
        <v>0</v>
      </c>
      <c r="O210" s="394">
        <v>0</v>
      </c>
      <c r="P210" s="394">
        <v>0</v>
      </c>
      <c r="Q210" s="395">
        <v>0</v>
      </c>
      <c r="R210" s="394">
        <v>0</v>
      </c>
      <c r="S210" s="394">
        <v>0</v>
      </c>
      <c r="T210" s="394">
        <v>0</v>
      </c>
      <c r="U210" s="394">
        <v>340037.12</v>
      </c>
      <c r="V210" s="394">
        <v>498373.04000000004</v>
      </c>
      <c r="W210" s="394">
        <v>522869.57999999996</v>
      </c>
      <c r="X210" s="394">
        <v>221103.58</v>
      </c>
      <c r="Y210" s="394">
        <v>414629.93999999994</v>
      </c>
      <c r="Z210" s="394">
        <v>298504.52999999997</v>
      </c>
      <c r="AA210" s="392">
        <v>209162.9</v>
      </c>
      <c r="AB210" s="394">
        <v>192771.99000000008</v>
      </c>
      <c r="AC210" s="369">
        <v>2504680.69</v>
      </c>
      <c r="AD210" s="443">
        <v>2816927.37</v>
      </c>
      <c r="AE210" s="444">
        <v>312246.68</v>
      </c>
      <c r="AF210" s="344">
        <f t="shared" si="18"/>
        <v>4.3168959760446221E-3</v>
      </c>
    </row>
    <row r="211" spans="1:32">
      <c r="A211" s="445" t="s">
        <v>772</v>
      </c>
      <c r="B211" s="446" t="s">
        <v>773</v>
      </c>
      <c r="C211" s="361">
        <f t="shared" si="19"/>
        <v>0</v>
      </c>
      <c r="D211" s="361">
        <f t="shared" si="20"/>
        <v>0</v>
      </c>
      <c r="E211" s="361">
        <f t="shared" si="21"/>
        <v>0</v>
      </c>
      <c r="F211" s="361">
        <f t="shared" si="22"/>
        <v>832910.01</v>
      </c>
      <c r="G211" s="361">
        <f t="shared" si="23"/>
        <v>665192.34</v>
      </c>
      <c r="H211" s="371">
        <v>0</v>
      </c>
      <c r="I211" s="371">
        <v>0</v>
      </c>
      <c r="J211" s="371">
        <v>0</v>
      </c>
      <c r="K211" s="371">
        <v>0</v>
      </c>
      <c r="L211" s="371">
        <v>0</v>
      </c>
      <c r="M211" s="371">
        <v>0</v>
      </c>
      <c r="N211" s="371">
        <v>0</v>
      </c>
      <c r="O211" s="371">
        <v>0</v>
      </c>
      <c r="P211" s="371">
        <v>0</v>
      </c>
      <c r="Q211" s="371">
        <v>0</v>
      </c>
      <c r="R211" s="371">
        <v>0</v>
      </c>
      <c r="S211" s="371">
        <v>0</v>
      </c>
      <c r="T211" s="371">
        <v>0</v>
      </c>
      <c r="U211" s="371">
        <v>221738.82</v>
      </c>
      <c r="V211" s="371">
        <v>304206.16000000003</v>
      </c>
      <c r="W211" s="371">
        <v>306965.03000000003</v>
      </c>
      <c r="X211" s="371">
        <v>136186.73000000001</v>
      </c>
      <c r="Y211" s="371">
        <v>223340.9</v>
      </c>
      <c r="Z211" s="372">
        <v>214596.81</v>
      </c>
      <c r="AA211" s="367">
        <v>91067.9</v>
      </c>
      <c r="AB211" s="371">
        <v>77460.120000000112</v>
      </c>
      <c r="AC211" s="369">
        <v>1498102.3499999999</v>
      </c>
      <c r="AD211" s="443">
        <v>1619360</v>
      </c>
      <c r="AE211" s="444">
        <v>121257.65</v>
      </c>
      <c r="AF211" s="344">
        <f t="shared" si="18"/>
        <v>2.5820265362520088E-3</v>
      </c>
    </row>
    <row r="212" spans="1:32">
      <c r="A212" s="445" t="s">
        <v>774</v>
      </c>
      <c r="B212" s="446" t="s">
        <v>775</v>
      </c>
      <c r="C212" s="361">
        <f t="shared" si="19"/>
        <v>0</v>
      </c>
      <c r="D212" s="361">
        <f t="shared" si="20"/>
        <v>0</v>
      </c>
      <c r="E212" s="361">
        <f t="shared" si="21"/>
        <v>0</v>
      </c>
      <c r="F212" s="361">
        <f t="shared" si="22"/>
        <v>528369.73</v>
      </c>
      <c r="G212" s="361">
        <f t="shared" si="23"/>
        <v>478208.61</v>
      </c>
      <c r="H212" s="371"/>
      <c r="I212" s="371"/>
      <c r="J212" s="371"/>
      <c r="K212" s="371"/>
      <c r="L212" s="371"/>
      <c r="M212" s="371"/>
      <c r="N212" s="371"/>
      <c r="O212" s="371"/>
      <c r="P212" s="371"/>
      <c r="Q212" s="371">
        <v>0</v>
      </c>
      <c r="R212" s="371">
        <v>0</v>
      </c>
      <c r="S212" s="371">
        <v>0</v>
      </c>
      <c r="T212" s="371">
        <v>0</v>
      </c>
      <c r="U212" s="371">
        <v>118298.29999999999</v>
      </c>
      <c r="V212" s="371">
        <v>194166.88</v>
      </c>
      <c r="W212" s="371">
        <v>215904.55</v>
      </c>
      <c r="X212" s="371">
        <v>84916.85</v>
      </c>
      <c r="Y212" s="371">
        <v>191289.03999999998</v>
      </c>
      <c r="Z212" s="372">
        <v>83907.72</v>
      </c>
      <c r="AA212" s="367">
        <v>118095</v>
      </c>
      <c r="AB212" s="371">
        <v>115311.86999999997</v>
      </c>
      <c r="AC212" s="369">
        <v>1006578.34</v>
      </c>
      <c r="AD212" s="443">
        <v>1197567.3700000001</v>
      </c>
      <c r="AE212" s="444">
        <v>190989.03</v>
      </c>
      <c r="AF212" s="344">
        <f t="shared" si="18"/>
        <v>1.7348694397926129E-3</v>
      </c>
    </row>
    <row r="213" spans="1:32">
      <c r="A213" s="441" t="s">
        <v>776</v>
      </c>
      <c r="B213" s="442" t="s">
        <v>777</v>
      </c>
      <c r="C213" s="361">
        <f t="shared" si="19"/>
        <v>0</v>
      </c>
      <c r="D213" s="361">
        <f t="shared" si="20"/>
        <v>90595.81</v>
      </c>
      <c r="E213" s="361">
        <f t="shared" si="21"/>
        <v>125760.51</v>
      </c>
      <c r="F213" s="361">
        <f t="shared" si="22"/>
        <v>114957.95999999999</v>
      </c>
      <c r="G213" s="361">
        <f t="shared" si="23"/>
        <v>90106.77</v>
      </c>
      <c r="H213" s="394">
        <v>0</v>
      </c>
      <c r="I213" s="394">
        <v>0</v>
      </c>
      <c r="J213" s="394">
        <v>0</v>
      </c>
      <c r="K213" s="394">
        <v>0</v>
      </c>
      <c r="L213" s="394">
        <v>0</v>
      </c>
      <c r="M213" s="394">
        <v>29570.52</v>
      </c>
      <c r="N213" s="394">
        <v>32037.859999999997</v>
      </c>
      <c r="O213" s="394">
        <v>28987.43</v>
      </c>
      <c r="P213" s="394">
        <v>35340.68</v>
      </c>
      <c r="Q213" s="395">
        <v>22764.080000000002</v>
      </c>
      <c r="R213" s="394">
        <v>31049.629999999997</v>
      </c>
      <c r="S213" s="394">
        <v>36606.119999999995</v>
      </c>
      <c r="T213" s="394">
        <v>37925.040000000001</v>
      </c>
      <c r="U213" s="394">
        <v>26509.1</v>
      </c>
      <c r="V213" s="394">
        <v>28745.53</v>
      </c>
      <c r="W213" s="394">
        <v>21778.29</v>
      </c>
      <c r="X213" s="394">
        <v>27430.15</v>
      </c>
      <c r="Y213" s="394">
        <v>19513.68</v>
      </c>
      <c r="Z213" s="394">
        <v>22133.200000000001</v>
      </c>
      <c r="AA213" s="392">
        <v>21029.74</v>
      </c>
      <c r="AB213" s="394">
        <v>0.32000000004143203</v>
      </c>
      <c r="AC213" s="369">
        <v>420560.62</v>
      </c>
      <c r="AD213" s="443">
        <v>440555.76</v>
      </c>
      <c r="AE213" s="444">
        <v>19995.14</v>
      </c>
      <c r="AF213" s="344">
        <f t="shared" si="18"/>
        <v>7.2484946101486144E-4</v>
      </c>
    </row>
    <row r="214" spans="1:32">
      <c r="A214" s="445" t="s">
        <v>639</v>
      </c>
      <c r="B214" s="446" t="s">
        <v>778</v>
      </c>
      <c r="C214" s="361">
        <f t="shared" si="19"/>
        <v>0</v>
      </c>
      <c r="D214" s="361">
        <f t="shared" si="20"/>
        <v>74238.450000000012</v>
      </c>
      <c r="E214" s="361">
        <f t="shared" si="21"/>
        <v>110151.15000000001</v>
      </c>
      <c r="F214" s="361">
        <f t="shared" si="22"/>
        <v>83765.97</v>
      </c>
      <c r="G214" s="361">
        <f t="shared" si="23"/>
        <v>70360.420000000013</v>
      </c>
      <c r="H214" s="371">
        <v>0</v>
      </c>
      <c r="I214" s="371">
        <v>0</v>
      </c>
      <c r="J214" s="371">
        <v>0</v>
      </c>
      <c r="K214" s="371">
        <v>0</v>
      </c>
      <c r="L214" s="371">
        <v>0</v>
      </c>
      <c r="M214" s="371">
        <v>27246.52</v>
      </c>
      <c r="N214" s="371">
        <v>22593.97</v>
      </c>
      <c r="O214" s="371">
        <v>24397.96</v>
      </c>
      <c r="P214" s="371">
        <v>32284.32</v>
      </c>
      <c r="Q214" s="371">
        <v>16896.419999999998</v>
      </c>
      <c r="R214" s="371">
        <v>26263.42</v>
      </c>
      <c r="S214" s="371">
        <v>34706.990000000005</v>
      </c>
      <c r="T214" s="371">
        <v>24829.54</v>
      </c>
      <c r="U214" s="371">
        <v>16842.87</v>
      </c>
      <c r="V214" s="371">
        <v>25205.919999999998</v>
      </c>
      <c r="W214" s="371">
        <v>16887.64</v>
      </c>
      <c r="X214" s="371">
        <v>21606.82</v>
      </c>
      <c r="Y214" s="371">
        <v>13707.26</v>
      </c>
      <c r="Z214" s="371">
        <v>17311.27</v>
      </c>
      <c r="AA214" s="367">
        <v>17735.07</v>
      </c>
      <c r="AB214" s="371">
        <v>0.32000000002881279</v>
      </c>
      <c r="AC214" s="369">
        <v>338515.99000000005</v>
      </c>
      <c r="AD214" s="443">
        <v>345501.15</v>
      </c>
      <c r="AE214" s="444">
        <v>6985.16</v>
      </c>
      <c r="AF214" s="344">
        <f t="shared" si="18"/>
        <v>5.8344295977215432E-4</v>
      </c>
    </row>
    <row r="215" spans="1:32">
      <c r="A215" s="445" t="s">
        <v>779</v>
      </c>
      <c r="B215" s="446" t="s">
        <v>780</v>
      </c>
      <c r="C215" s="361">
        <f t="shared" si="19"/>
        <v>0</v>
      </c>
      <c r="D215" s="361">
        <f t="shared" si="20"/>
        <v>16357.36</v>
      </c>
      <c r="E215" s="361">
        <f t="shared" si="21"/>
        <v>15609.36</v>
      </c>
      <c r="F215" s="361">
        <f t="shared" si="22"/>
        <v>31191.989999999998</v>
      </c>
      <c r="G215" s="361">
        <f t="shared" si="23"/>
        <v>19746.349999999999</v>
      </c>
      <c r="H215" s="371">
        <v>0</v>
      </c>
      <c r="I215" s="371">
        <v>0</v>
      </c>
      <c r="J215" s="371">
        <v>0</v>
      </c>
      <c r="K215" s="371">
        <v>0</v>
      </c>
      <c r="L215" s="371">
        <v>0</v>
      </c>
      <c r="M215" s="371">
        <v>2324</v>
      </c>
      <c r="N215" s="371">
        <v>9443.89</v>
      </c>
      <c r="O215" s="371">
        <v>4589.47</v>
      </c>
      <c r="P215" s="371">
        <v>3056.3599999999997</v>
      </c>
      <c r="Q215" s="371">
        <v>5867.66</v>
      </c>
      <c r="R215" s="371">
        <v>4786.21</v>
      </c>
      <c r="S215" s="371">
        <v>1899.13</v>
      </c>
      <c r="T215" s="371">
        <v>13095.5</v>
      </c>
      <c r="U215" s="371">
        <v>9666.23</v>
      </c>
      <c r="V215" s="371">
        <v>3539.61</v>
      </c>
      <c r="W215" s="371">
        <v>4890.6499999999996</v>
      </c>
      <c r="X215" s="371">
        <v>5823.33</v>
      </c>
      <c r="Y215" s="371">
        <v>5806.42</v>
      </c>
      <c r="Z215" s="371">
        <v>4821.93</v>
      </c>
      <c r="AA215" s="367">
        <v>3294.67</v>
      </c>
      <c r="AB215" s="371">
        <v>1.2619238987099379E-11</v>
      </c>
      <c r="AC215" s="369">
        <v>82044.630000000019</v>
      </c>
      <c r="AD215" s="443">
        <v>95054.609999999986</v>
      </c>
      <c r="AE215" s="444">
        <v>13009.98</v>
      </c>
      <c r="AF215" s="344">
        <f t="shared" si="18"/>
        <v>1.4140650124270729E-4</v>
      </c>
    </row>
    <row r="216" spans="1:32">
      <c r="A216" s="384" t="s">
        <v>535</v>
      </c>
      <c r="B216" s="385"/>
      <c r="C216" s="361">
        <f t="shared" si="19"/>
        <v>0</v>
      </c>
      <c r="D216" s="361">
        <f t="shared" si="20"/>
        <v>0</v>
      </c>
      <c r="E216" s="361">
        <f t="shared" si="21"/>
        <v>0</v>
      </c>
      <c r="F216" s="361">
        <f t="shared" si="22"/>
        <v>0</v>
      </c>
      <c r="G216" s="361">
        <f t="shared" si="23"/>
        <v>0</v>
      </c>
      <c r="H216" s="386">
        <v>0</v>
      </c>
      <c r="I216" s="386">
        <v>0</v>
      </c>
      <c r="J216" s="386">
        <v>0</v>
      </c>
      <c r="K216" s="386">
        <v>0</v>
      </c>
      <c r="L216" s="386">
        <v>0</v>
      </c>
      <c r="M216" s="386">
        <v>0</v>
      </c>
      <c r="N216" s="386">
        <v>0</v>
      </c>
      <c r="O216" s="386">
        <v>0</v>
      </c>
      <c r="P216" s="386">
        <v>0</v>
      </c>
      <c r="Q216" s="386">
        <v>0</v>
      </c>
      <c r="R216" s="386">
        <v>0</v>
      </c>
      <c r="S216" s="386">
        <v>0</v>
      </c>
      <c r="T216" s="386">
        <v>0</v>
      </c>
      <c r="U216" s="386">
        <v>0</v>
      </c>
      <c r="V216" s="386">
        <v>0</v>
      </c>
      <c r="W216" s="386">
        <v>0</v>
      </c>
      <c r="X216" s="386">
        <v>0</v>
      </c>
      <c r="Y216" s="386">
        <v>0</v>
      </c>
      <c r="Z216" s="386">
        <v>0</v>
      </c>
      <c r="AA216" s="387">
        <v>0</v>
      </c>
      <c r="AB216" s="386"/>
      <c r="AC216" s="373">
        <v>0</v>
      </c>
      <c r="AD216" s="449">
        <v>0</v>
      </c>
      <c r="AE216" s="369">
        <v>0</v>
      </c>
      <c r="AF216" s="344">
        <f t="shared" si="18"/>
        <v>0</v>
      </c>
    </row>
    <row r="217" spans="1:32" ht="25.5">
      <c r="A217" s="384" t="s">
        <v>536</v>
      </c>
      <c r="B217" s="385"/>
      <c r="C217" s="361">
        <f t="shared" si="19"/>
        <v>0</v>
      </c>
      <c r="D217" s="361">
        <f t="shared" si="20"/>
        <v>0</v>
      </c>
      <c r="E217" s="361">
        <f t="shared" si="21"/>
        <v>0</v>
      </c>
      <c r="F217" s="361">
        <f t="shared" si="22"/>
        <v>0</v>
      </c>
      <c r="G217" s="361">
        <f t="shared" si="23"/>
        <v>0</v>
      </c>
      <c r="H217" s="386">
        <v>0</v>
      </c>
      <c r="I217" s="386">
        <v>0</v>
      </c>
      <c r="J217" s="386">
        <v>0</v>
      </c>
      <c r="K217" s="386">
        <v>0</v>
      </c>
      <c r="L217" s="386">
        <v>0</v>
      </c>
      <c r="M217" s="386">
        <v>0</v>
      </c>
      <c r="N217" s="386">
        <v>0</v>
      </c>
      <c r="O217" s="386">
        <v>0</v>
      </c>
      <c r="P217" s="386">
        <v>0</v>
      </c>
      <c r="Q217" s="386">
        <v>0</v>
      </c>
      <c r="R217" s="386">
        <v>0</v>
      </c>
      <c r="S217" s="386">
        <v>0</v>
      </c>
      <c r="T217" s="386">
        <v>0</v>
      </c>
      <c r="U217" s="386">
        <v>0</v>
      </c>
      <c r="V217" s="386">
        <v>0</v>
      </c>
      <c r="W217" s="386">
        <v>0</v>
      </c>
      <c r="X217" s="386">
        <v>0</v>
      </c>
      <c r="Y217" s="386">
        <v>0</v>
      </c>
      <c r="Z217" s="386">
        <v>0</v>
      </c>
      <c r="AA217" s="387">
        <v>0</v>
      </c>
      <c r="AB217" s="386">
        <v>423979.05698849412</v>
      </c>
      <c r="AC217" s="373">
        <v>0</v>
      </c>
      <c r="AD217" s="449">
        <v>0</v>
      </c>
      <c r="AE217" s="369">
        <v>0</v>
      </c>
      <c r="AF217" s="344">
        <f t="shared" si="18"/>
        <v>0</v>
      </c>
    </row>
    <row r="218" spans="1:32">
      <c r="A218" s="384" t="s">
        <v>537</v>
      </c>
      <c r="B218" s="385"/>
      <c r="C218" s="361">
        <f t="shared" si="19"/>
        <v>0</v>
      </c>
      <c r="D218" s="361">
        <f t="shared" si="20"/>
        <v>0</v>
      </c>
      <c r="E218" s="361">
        <f t="shared" si="21"/>
        <v>0</v>
      </c>
      <c r="F218" s="361">
        <f t="shared" si="22"/>
        <v>0</v>
      </c>
      <c r="G218" s="361">
        <f t="shared" si="23"/>
        <v>1267.5</v>
      </c>
      <c r="H218" s="386">
        <v>0</v>
      </c>
      <c r="I218" s="386">
        <v>0</v>
      </c>
      <c r="J218" s="386">
        <v>0</v>
      </c>
      <c r="K218" s="386">
        <v>0</v>
      </c>
      <c r="L218" s="386">
        <v>0</v>
      </c>
      <c r="M218" s="386">
        <v>0</v>
      </c>
      <c r="N218" s="386">
        <v>0</v>
      </c>
      <c r="O218" s="386">
        <v>0</v>
      </c>
      <c r="P218" s="386">
        <v>0</v>
      </c>
      <c r="Q218" s="386">
        <v>0</v>
      </c>
      <c r="R218" s="386">
        <v>0</v>
      </c>
      <c r="S218" s="386">
        <v>0</v>
      </c>
      <c r="T218" s="386">
        <v>0</v>
      </c>
      <c r="U218" s="386">
        <v>0</v>
      </c>
      <c r="V218" s="386">
        <v>0</v>
      </c>
      <c r="W218" s="386">
        <v>0</v>
      </c>
      <c r="X218" s="386">
        <v>0</v>
      </c>
      <c r="Y218" s="386">
        <v>0</v>
      </c>
      <c r="Z218" s="386">
        <v>0</v>
      </c>
      <c r="AA218" s="387">
        <v>1267.5</v>
      </c>
      <c r="AB218" s="386"/>
      <c r="AC218" s="373">
        <v>1267.5</v>
      </c>
      <c r="AD218" s="449">
        <v>121760.13</v>
      </c>
      <c r="AE218" s="369">
        <v>120492.63</v>
      </c>
      <c r="AF218" s="344">
        <f t="shared" si="18"/>
        <v>2.1845761303955108E-6</v>
      </c>
    </row>
    <row r="219" spans="1:32">
      <c r="A219" s="360" t="s">
        <v>781</v>
      </c>
      <c r="B219" s="450" t="s">
        <v>782</v>
      </c>
      <c r="C219" s="361">
        <f t="shared" si="19"/>
        <v>135496</v>
      </c>
      <c r="D219" s="361">
        <f t="shared" si="20"/>
        <v>197356.37</v>
      </c>
      <c r="E219" s="361">
        <f t="shared" si="21"/>
        <v>1403615.0300000003</v>
      </c>
      <c r="F219" s="361">
        <f t="shared" si="22"/>
        <v>632907.62</v>
      </c>
      <c r="G219" s="361">
        <f t="shared" si="23"/>
        <v>823396.91818181821</v>
      </c>
      <c r="H219" s="388">
        <v>0</v>
      </c>
      <c r="I219" s="388">
        <v>0</v>
      </c>
      <c r="J219" s="388">
        <v>0</v>
      </c>
      <c r="K219" s="388">
        <v>135496</v>
      </c>
      <c r="L219" s="388">
        <v>8356.3700000000008</v>
      </c>
      <c r="M219" s="388">
        <v>0</v>
      </c>
      <c r="N219" s="388">
        <v>0</v>
      </c>
      <c r="O219" s="388">
        <v>189000</v>
      </c>
      <c r="P219" s="388">
        <v>84997.42</v>
      </c>
      <c r="Q219" s="389">
        <v>457356.76</v>
      </c>
      <c r="R219" s="388">
        <v>665196</v>
      </c>
      <c r="S219" s="388">
        <v>196064.85</v>
      </c>
      <c r="T219" s="388">
        <v>50400</v>
      </c>
      <c r="U219" s="388">
        <v>21840</v>
      </c>
      <c r="V219" s="388">
        <v>161420.34999999998</v>
      </c>
      <c r="W219" s="388">
        <v>399247.27</v>
      </c>
      <c r="X219" s="388">
        <v>60412.5</v>
      </c>
      <c r="Y219" s="388">
        <v>16386.34</v>
      </c>
      <c r="Z219" s="388">
        <v>10533.6</v>
      </c>
      <c r="AA219" s="362">
        <v>736064.47818181827</v>
      </c>
      <c r="AB219" s="388">
        <v>826238.93559170293</v>
      </c>
      <c r="AC219" s="364">
        <v>3192771.9381818185</v>
      </c>
      <c r="AD219" s="388">
        <v>4312215.9700000007</v>
      </c>
      <c r="AE219" s="388">
        <v>1119444.03</v>
      </c>
      <c r="AF219" s="344">
        <f t="shared" si="18"/>
        <v>5.5028428922671499E-3</v>
      </c>
    </row>
    <row r="220" spans="1:32">
      <c r="A220" s="428" t="s">
        <v>783</v>
      </c>
      <c r="B220" s="382" t="s">
        <v>784</v>
      </c>
      <c r="C220" s="361">
        <f t="shared" si="19"/>
        <v>135496</v>
      </c>
      <c r="D220" s="361">
        <f t="shared" si="20"/>
        <v>8356.3700000000008</v>
      </c>
      <c r="E220" s="361">
        <f t="shared" si="21"/>
        <v>0</v>
      </c>
      <c r="F220" s="361">
        <f t="shared" si="22"/>
        <v>0</v>
      </c>
      <c r="G220" s="361">
        <f t="shared" si="23"/>
        <v>0</v>
      </c>
      <c r="H220" s="371">
        <v>0</v>
      </c>
      <c r="I220" s="371">
        <v>0</v>
      </c>
      <c r="J220" s="371">
        <v>0</v>
      </c>
      <c r="K220" s="371">
        <v>135496</v>
      </c>
      <c r="L220" s="371">
        <v>8356.3700000000008</v>
      </c>
      <c r="M220" s="371">
        <v>0</v>
      </c>
      <c r="N220" s="371">
        <v>0</v>
      </c>
      <c r="O220" s="371">
        <v>0</v>
      </c>
      <c r="P220" s="371">
        <v>0</v>
      </c>
      <c r="Q220" s="371">
        <v>0</v>
      </c>
      <c r="R220" s="371">
        <v>0</v>
      </c>
      <c r="S220" s="371">
        <v>0</v>
      </c>
      <c r="T220" s="371">
        <v>0</v>
      </c>
      <c r="U220" s="371">
        <v>0</v>
      </c>
      <c r="V220" s="371">
        <v>0</v>
      </c>
      <c r="W220" s="371">
        <v>0</v>
      </c>
      <c r="X220" s="371">
        <v>0</v>
      </c>
      <c r="Y220" s="371">
        <v>0</v>
      </c>
      <c r="Z220" s="371">
        <v>0</v>
      </c>
      <c r="AA220" s="367">
        <v>0</v>
      </c>
      <c r="AB220" s="371">
        <v>0</v>
      </c>
      <c r="AC220" s="373">
        <v>143852.37</v>
      </c>
      <c r="AD220" s="449">
        <v>143852.37</v>
      </c>
      <c r="AE220" s="444">
        <v>0</v>
      </c>
      <c r="AF220" s="344">
        <f t="shared" si="18"/>
        <v>2.4793408584049173E-4</v>
      </c>
    </row>
    <row r="221" spans="1:32" ht="25.5">
      <c r="A221" s="428" t="s">
        <v>785</v>
      </c>
      <c r="B221" s="382" t="s">
        <v>786</v>
      </c>
      <c r="C221" s="361">
        <f t="shared" si="19"/>
        <v>0</v>
      </c>
      <c r="D221" s="361">
        <f t="shared" si="20"/>
        <v>0</v>
      </c>
      <c r="E221" s="361">
        <f t="shared" si="21"/>
        <v>19265.849999999999</v>
      </c>
      <c r="F221" s="361">
        <f t="shared" si="22"/>
        <v>0</v>
      </c>
      <c r="G221" s="361">
        <f t="shared" si="23"/>
        <v>0</v>
      </c>
      <c r="H221" s="371">
        <v>0</v>
      </c>
      <c r="I221" s="371">
        <v>0</v>
      </c>
      <c r="J221" s="371">
        <v>0</v>
      </c>
      <c r="K221" s="371">
        <v>0</v>
      </c>
      <c r="L221" s="371">
        <v>0</v>
      </c>
      <c r="M221" s="371">
        <v>0</v>
      </c>
      <c r="N221" s="371">
        <v>0</v>
      </c>
      <c r="O221" s="371">
        <v>0</v>
      </c>
      <c r="P221" s="371">
        <v>0</v>
      </c>
      <c r="Q221" s="371">
        <v>0</v>
      </c>
      <c r="R221" s="371">
        <v>0</v>
      </c>
      <c r="S221" s="371">
        <v>19265.849999999999</v>
      </c>
      <c r="T221" s="371">
        <v>0</v>
      </c>
      <c r="U221" s="371">
        <v>0</v>
      </c>
      <c r="V221" s="371">
        <v>0</v>
      </c>
      <c r="W221" s="371">
        <v>0</v>
      </c>
      <c r="X221" s="371">
        <v>0</v>
      </c>
      <c r="Y221" s="371">
        <v>0</v>
      </c>
      <c r="Z221" s="371">
        <v>0</v>
      </c>
      <c r="AA221" s="367">
        <v>0</v>
      </c>
      <c r="AB221" s="371">
        <v>-9.9999999998544808E-2</v>
      </c>
      <c r="AC221" s="373">
        <v>19265.849999999999</v>
      </c>
      <c r="AD221" s="449">
        <v>19265.75</v>
      </c>
      <c r="AE221" s="444">
        <v>-0.1</v>
      </c>
      <c r="AF221" s="344">
        <f t="shared" si="18"/>
        <v>3.3205298652292192E-5</v>
      </c>
    </row>
    <row r="222" spans="1:32">
      <c r="A222" s="428" t="s">
        <v>787</v>
      </c>
      <c r="B222" s="382" t="s">
        <v>788</v>
      </c>
      <c r="C222" s="361">
        <f t="shared" si="19"/>
        <v>0</v>
      </c>
      <c r="D222" s="361">
        <f t="shared" si="20"/>
        <v>0</v>
      </c>
      <c r="E222" s="361">
        <f t="shared" si="21"/>
        <v>0</v>
      </c>
      <c r="F222" s="361">
        <f t="shared" si="22"/>
        <v>0</v>
      </c>
      <c r="G222" s="361">
        <f t="shared" si="23"/>
        <v>388759.62818181817</v>
      </c>
      <c r="H222" s="371">
        <v>0</v>
      </c>
      <c r="I222" s="371">
        <v>0</v>
      </c>
      <c r="J222" s="371">
        <v>0</v>
      </c>
      <c r="K222" s="371">
        <v>0</v>
      </c>
      <c r="L222" s="371">
        <v>0</v>
      </c>
      <c r="M222" s="371">
        <v>0</v>
      </c>
      <c r="N222" s="371">
        <v>0</v>
      </c>
      <c r="O222" s="371">
        <v>0</v>
      </c>
      <c r="P222" s="371">
        <v>0</v>
      </c>
      <c r="Q222" s="371">
        <v>0</v>
      </c>
      <c r="R222" s="371">
        <v>0</v>
      </c>
      <c r="S222" s="371">
        <v>0</v>
      </c>
      <c r="T222" s="371">
        <v>0</v>
      </c>
      <c r="U222" s="371">
        <v>0</v>
      </c>
      <c r="V222" s="371">
        <v>0</v>
      </c>
      <c r="W222" s="371">
        <v>0</v>
      </c>
      <c r="X222" s="371">
        <v>0</v>
      </c>
      <c r="Y222" s="371">
        <v>0</v>
      </c>
      <c r="Z222" s="372">
        <v>0</v>
      </c>
      <c r="AA222" s="367">
        <v>388759.62818181817</v>
      </c>
      <c r="AB222" s="371">
        <v>-0.59818181814625859</v>
      </c>
      <c r="AC222" s="373">
        <v>388759.62818181817</v>
      </c>
      <c r="AD222" s="449">
        <v>1324092.23</v>
      </c>
      <c r="AE222" s="444">
        <v>935332.6</v>
      </c>
      <c r="AF222" s="344">
        <f t="shared" si="18"/>
        <v>6.7003945103545084E-4</v>
      </c>
    </row>
    <row r="223" spans="1:32">
      <c r="A223" s="428" t="s">
        <v>789</v>
      </c>
      <c r="B223" s="382" t="s">
        <v>790</v>
      </c>
      <c r="C223" s="361">
        <f t="shared" si="19"/>
        <v>0</v>
      </c>
      <c r="D223" s="361">
        <f t="shared" si="20"/>
        <v>189000</v>
      </c>
      <c r="E223" s="361">
        <f t="shared" si="21"/>
        <v>1384349.1800000002</v>
      </c>
      <c r="F223" s="361">
        <f t="shared" si="22"/>
        <v>450240</v>
      </c>
      <c r="G223" s="361">
        <f t="shared" si="23"/>
        <v>144148.03</v>
      </c>
      <c r="H223" s="371">
        <v>0</v>
      </c>
      <c r="I223" s="371">
        <v>0</v>
      </c>
      <c r="J223" s="371">
        <v>0</v>
      </c>
      <c r="K223" s="371">
        <v>0</v>
      </c>
      <c r="L223" s="371">
        <v>0</v>
      </c>
      <c r="M223" s="371">
        <v>0</v>
      </c>
      <c r="N223" s="371">
        <v>0</v>
      </c>
      <c r="O223" s="371">
        <v>189000</v>
      </c>
      <c r="P223" s="371">
        <v>84997.42</v>
      </c>
      <c r="Q223" s="403">
        <v>457356.76</v>
      </c>
      <c r="R223" s="371">
        <v>665196</v>
      </c>
      <c r="S223" s="371">
        <v>176799</v>
      </c>
      <c r="T223" s="371">
        <v>50400</v>
      </c>
      <c r="U223" s="371">
        <v>21840</v>
      </c>
      <c r="V223" s="371">
        <v>25200</v>
      </c>
      <c r="W223" s="371">
        <v>352800</v>
      </c>
      <c r="X223" s="371">
        <v>60412.5</v>
      </c>
      <c r="Y223" s="371">
        <v>9201.93</v>
      </c>
      <c r="Z223" s="371">
        <v>10533.6</v>
      </c>
      <c r="AA223" s="367">
        <v>64000</v>
      </c>
      <c r="AB223" s="371">
        <v>-3.7834979593753815E-10</v>
      </c>
      <c r="AC223" s="373">
        <v>2167737.21</v>
      </c>
      <c r="AD223" s="449">
        <v>2288352.63</v>
      </c>
      <c r="AE223" s="444">
        <v>120615.42</v>
      </c>
      <c r="AF223" s="344">
        <f t="shared" si="18"/>
        <v>3.7361632867346437E-3</v>
      </c>
    </row>
    <row r="224" spans="1:32">
      <c r="A224" s="451" t="s">
        <v>791</v>
      </c>
      <c r="B224" s="380" t="s">
        <v>792</v>
      </c>
      <c r="C224" s="361">
        <f t="shared" si="19"/>
        <v>0</v>
      </c>
      <c r="D224" s="361">
        <f t="shared" si="20"/>
        <v>0</v>
      </c>
      <c r="E224" s="361">
        <f t="shared" si="21"/>
        <v>120960</v>
      </c>
      <c r="F224" s="361">
        <f t="shared" si="22"/>
        <v>47040</v>
      </c>
      <c r="G224" s="361">
        <f t="shared" si="23"/>
        <v>0</v>
      </c>
      <c r="H224" s="403">
        <v>0</v>
      </c>
      <c r="I224" s="403">
        <v>0</v>
      </c>
      <c r="J224" s="403">
        <v>0</v>
      </c>
      <c r="K224" s="403">
        <v>0</v>
      </c>
      <c r="L224" s="403">
        <v>0</v>
      </c>
      <c r="M224" s="403">
        <v>0</v>
      </c>
      <c r="N224" s="403">
        <v>0</v>
      </c>
      <c r="O224" s="403">
        <v>0</v>
      </c>
      <c r="P224" s="403">
        <v>0</v>
      </c>
      <c r="Q224" s="403">
        <v>100800</v>
      </c>
      <c r="R224" s="403">
        <v>0</v>
      </c>
      <c r="S224" s="403">
        <v>20160</v>
      </c>
      <c r="T224" s="403">
        <v>0</v>
      </c>
      <c r="U224" s="403">
        <v>21840</v>
      </c>
      <c r="V224" s="403">
        <v>25200</v>
      </c>
      <c r="W224" s="403">
        <v>0</v>
      </c>
      <c r="X224" s="403">
        <v>0</v>
      </c>
      <c r="Y224" s="403">
        <v>0</v>
      </c>
      <c r="Z224" s="403">
        <v>0</v>
      </c>
      <c r="AA224" s="367">
        <v>0</v>
      </c>
      <c r="AB224" s="403">
        <v>0</v>
      </c>
      <c r="AC224" s="398">
        <v>168000</v>
      </c>
      <c r="AD224" s="452">
        <v>168000</v>
      </c>
      <c r="AE224" s="453">
        <v>0</v>
      </c>
      <c r="AF224" s="344">
        <f t="shared" si="18"/>
        <v>2.8955328592224526E-4</v>
      </c>
    </row>
    <row r="225" spans="1:32">
      <c r="A225" s="451" t="s">
        <v>793</v>
      </c>
      <c r="B225" s="380" t="s">
        <v>794</v>
      </c>
      <c r="C225" s="361">
        <f t="shared" si="19"/>
        <v>0</v>
      </c>
      <c r="D225" s="361">
        <f t="shared" si="20"/>
        <v>189000</v>
      </c>
      <c r="E225" s="361">
        <f t="shared" si="21"/>
        <v>1263389.18</v>
      </c>
      <c r="F225" s="361">
        <f t="shared" si="22"/>
        <v>403200</v>
      </c>
      <c r="G225" s="361">
        <f t="shared" si="23"/>
        <v>105023.03</v>
      </c>
      <c r="H225" s="403">
        <v>0</v>
      </c>
      <c r="I225" s="403">
        <v>0</v>
      </c>
      <c r="J225" s="403">
        <v>0</v>
      </c>
      <c r="K225" s="403">
        <v>0</v>
      </c>
      <c r="L225" s="403">
        <v>0</v>
      </c>
      <c r="M225" s="403">
        <v>0</v>
      </c>
      <c r="N225" s="403">
        <v>0</v>
      </c>
      <c r="O225" s="403">
        <v>189000</v>
      </c>
      <c r="P225" s="403">
        <v>84997.42</v>
      </c>
      <c r="Q225" s="403">
        <v>356556.76</v>
      </c>
      <c r="R225" s="403">
        <v>665196</v>
      </c>
      <c r="S225" s="403">
        <v>156639</v>
      </c>
      <c r="T225" s="403">
        <v>50400</v>
      </c>
      <c r="U225" s="403">
        <v>0</v>
      </c>
      <c r="V225" s="403">
        <v>0</v>
      </c>
      <c r="W225" s="403">
        <v>352800</v>
      </c>
      <c r="X225" s="403">
        <v>25200</v>
      </c>
      <c r="Y225" s="403">
        <v>5289.43</v>
      </c>
      <c r="Z225" s="410">
        <v>10533.6</v>
      </c>
      <c r="AA225" s="367">
        <v>64000</v>
      </c>
      <c r="AB225" s="403">
        <v>-3.7834979593753815E-10</v>
      </c>
      <c r="AC225" s="398">
        <v>1960612.2100000002</v>
      </c>
      <c r="AD225" s="452">
        <v>2081227.63</v>
      </c>
      <c r="AE225" s="453">
        <v>120615.42</v>
      </c>
      <c r="AF225" s="344">
        <f t="shared" si="18"/>
        <v>3.3791768322903285E-3</v>
      </c>
    </row>
    <row r="226" spans="1:32" ht="25.5">
      <c r="A226" s="451" t="s">
        <v>795</v>
      </c>
      <c r="B226" s="380" t="s">
        <v>796</v>
      </c>
      <c r="C226" s="361">
        <f t="shared" si="19"/>
        <v>0</v>
      </c>
      <c r="D226" s="361">
        <f t="shared" si="20"/>
        <v>0</v>
      </c>
      <c r="E226" s="361">
        <f t="shared" si="21"/>
        <v>0</v>
      </c>
      <c r="F226" s="361">
        <f t="shared" si="22"/>
        <v>0</v>
      </c>
      <c r="G226" s="361">
        <f t="shared" si="23"/>
        <v>39125</v>
      </c>
      <c r="H226" s="403">
        <v>0</v>
      </c>
      <c r="I226" s="403">
        <v>0</v>
      </c>
      <c r="J226" s="403">
        <v>0</v>
      </c>
      <c r="K226" s="403">
        <v>0</v>
      </c>
      <c r="L226" s="403">
        <v>0</v>
      </c>
      <c r="M226" s="403">
        <v>0</v>
      </c>
      <c r="N226" s="403">
        <v>0</v>
      </c>
      <c r="O226" s="403">
        <v>0</v>
      </c>
      <c r="P226" s="403">
        <v>0</v>
      </c>
      <c r="Q226" s="403">
        <v>0</v>
      </c>
      <c r="R226" s="403">
        <v>0</v>
      </c>
      <c r="S226" s="403">
        <v>0</v>
      </c>
      <c r="T226" s="403">
        <v>0</v>
      </c>
      <c r="U226" s="403">
        <v>0</v>
      </c>
      <c r="V226" s="403">
        <v>0</v>
      </c>
      <c r="W226" s="403">
        <v>0</v>
      </c>
      <c r="X226" s="403">
        <v>35212.5</v>
      </c>
      <c r="Y226" s="403">
        <v>3912.5</v>
      </c>
      <c r="Z226" s="403">
        <v>0</v>
      </c>
      <c r="AA226" s="367">
        <v>0</v>
      </c>
      <c r="AB226" s="403">
        <v>0</v>
      </c>
      <c r="AC226" s="398">
        <v>39125</v>
      </c>
      <c r="AD226" s="452">
        <v>39125</v>
      </c>
      <c r="AE226" s="453">
        <v>0</v>
      </c>
      <c r="AF226" s="344">
        <f t="shared" si="18"/>
        <v>6.7433168522070501E-5</v>
      </c>
    </row>
    <row r="227" spans="1:32">
      <c r="A227" s="451" t="s">
        <v>797</v>
      </c>
      <c r="B227" s="380" t="s">
        <v>798</v>
      </c>
      <c r="C227" s="361">
        <f t="shared" si="19"/>
        <v>0</v>
      </c>
      <c r="D227" s="361">
        <f t="shared" si="20"/>
        <v>0</v>
      </c>
      <c r="E227" s="361">
        <f t="shared" si="21"/>
        <v>0</v>
      </c>
      <c r="F227" s="361">
        <f t="shared" si="22"/>
        <v>182667.62</v>
      </c>
      <c r="G227" s="361">
        <f t="shared" si="23"/>
        <v>7184.41</v>
      </c>
      <c r="H227" s="371">
        <v>0</v>
      </c>
      <c r="I227" s="371">
        <v>0</v>
      </c>
      <c r="J227" s="371">
        <v>0</v>
      </c>
      <c r="K227" s="371">
        <v>0</v>
      </c>
      <c r="L227" s="371">
        <v>0</v>
      </c>
      <c r="M227" s="371">
        <v>0</v>
      </c>
      <c r="N227" s="371">
        <v>0</v>
      </c>
      <c r="O227" s="371">
        <v>0</v>
      </c>
      <c r="P227" s="371">
        <v>0</v>
      </c>
      <c r="Q227" s="371">
        <v>0</v>
      </c>
      <c r="R227" s="371">
        <v>0</v>
      </c>
      <c r="S227" s="371">
        <v>0</v>
      </c>
      <c r="T227" s="371">
        <v>0</v>
      </c>
      <c r="U227" s="371">
        <v>0</v>
      </c>
      <c r="V227" s="371">
        <v>136220.35</v>
      </c>
      <c r="W227" s="371">
        <v>46447.27</v>
      </c>
      <c r="X227" s="371">
        <v>0</v>
      </c>
      <c r="Y227" s="371">
        <v>7184.41</v>
      </c>
      <c r="Z227" s="371">
        <v>0</v>
      </c>
      <c r="AA227" s="367">
        <v>0</v>
      </c>
      <c r="AB227" s="371">
        <v>0</v>
      </c>
      <c r="AC227" s="398">
        <v>189852.03</v>
      </c>
      <c r="AD227" s="452">
        <v>193210.87</v>
      </c>
      <c r="AE227" s="453">
        <v>3358.84</v>
      </c>
      <c r="AF227" s="344">
        <f t="shared" si="18"/>
        <v>3.2721594717564689E-4</v>
      </c>
    </row>
    <row r="228" spans="1:32" ht="25.5">
      <c r="A228" s="428" t="s">
        <v>799</v>
      </c>
      <c r="B228" s="380" t="s">
        <v>800</v>
      </c>
      <c r="C228" s="361">
        <f t="shared" si="19"/>
        <v>0</v>
      </c>
      <c r="D228" s="361">
        <f t="shared" si="20"/>
        <v>0</v>
      </c>
      <c r="E228" s="361">
        <f t="shared" si="21"/>
        <v>0</v>
      </c>
      <c r="F228" s="361">
        <f t="shared" si="22"/>
        <v>0</v>
      </c>
      <c r="G228" s="361">
        <f t="shared" si="23"/>
        <v>138519.32999999999</v>
      </c>
      <c r="H228" s="371">
        <v>0</v>
      </c>
      <c r="I228" s="371">
        <v>0</v>
      </c>
      <c r="J228" s="371">
        <v>0</v>
      </c>
      <c r="K228" s="371">
        <v>0</v>
      </c>
      <c r="L228" s="371">
        <v>0</v>
      </c>
      <c r="M228" s="371">
        <v>0</v>
      </c>
      <c r="N228" s="371">
        <v>0</v>
      </c>
      <c r="O228" s="371">
        <v>0</v>
      </c>
      <c r="P228" s="371">
        <v>0</v>
      </c>
      <c r="Q228" s="371">
        <v>0</v>
      </c>
      <c r="R228" s="371">
        <v>0</v>
      </c>
      <c r="S228" s="371">
        <v>0</v>
      </c>
      <c r="T228" s="371">
        <v>0</v>
      </c>
      <c r="U228" s="371">
        <v>0</v>
      </c>
      <c r="V228" s="371">
        <v>0</v>
      </c>
      <c r="W228" s="371">
        <v>0</v>
      </c>
      <c r="X228" s="371">
        <v>0</v>
      </c>
      <c r="Y228" s="371">
        <v>0</v>
      </c>
      <c r="Z228" s="372">
        <v>0</v>
      </c>
      <c r="AA228" s="367">
        <v>138519.32999999999</v>
      </c>
      <c r="AB228" s="371">
        <v>0</v>
      </c>
      <c r="AC228" s="398">
        <v>138519.32999999999</v>
      </c>
      <c r="AD228" s="452">
        <v>138519.32999999999</v>
      </c>
      <c r="AE228" s="453">
        <v>0</v>
      </c>
      <c r="AF228" s="344">
        <f t="shared" si="18"/>
        <v>2.3874242360266571E-4</v>
      </c>
    </row>
    <row r="229" spans="1:32" ht="25.5">
      <c r="A229" s="428" t="s">
        <v>799</v>
      </c>
      <c r="B229" s="380" t="s">
        <v>801</v>
      </c>
      <c r="C229" s="361">
        <f t="shared" si="19"/>
        <v>0</v>
      </c>
      <c r="D229" s="361">
        <f t="shared" si="20"/>
        <v>0</v>
      </c>
      <c r="E229" s="361">
        <f t="shared" si="21"/>
        <v>0</v>
      </c>
      <c r="F229" s="361">
        <f t="shared" si="22"/>
        <v>0</v>
      </c>
      <c r="G229" s="361">
        <f t="shared" si="23"/>
        <v>32375.78</v>
      </c>
      <c r="H229" s="371"/>
      <c r="I229" s="371"/>
      <c r="J229" s="371"/>
      <c r="K229" s="371"/>
      <c r="L229" s="371"/>
      <c r="M229" s="371"/>
      <c r="N229" s="371"/>
      <c r="O229" s="371"/>
      <c r="P229" s="371"/>
      <c r="Q229" s="371"/>
      <c r="R229" s="371"/>
      <c r="S229" s="371"/>
      <c r="T229" s="371"/>
      <c r="U229" s="371"/>
      <c r="V229" s="371"/>
      <c r="W229" s="371">
        <v>0</v>
      </c>
      <c r="X229" s="371">
        <v>0</v>
      </c>
      <c r="Y229" s="371">
        <v>0</v>
      </c>
      <c r="Z229" s="372">
        <v>0</v>
      </c>
      <c r="AA229" s="367">
        <v>32375.78</v>
      </c>
      <c r="AB229" s="371">
        <v>-0.15999999999985448</v>
      </c>
      <c r="AC229" s="398">
        <v>32375.78</v>
      </c>
      <c r="AD229" s="452">
        <v>31880.62</v>
      </c>
      <c r="AE229" s="453">
        <v>-495.16</v>
      </c>
      <c r="AF229" s="344">
        <f t="shared" si="18"/>
        <v>5.5800675495807789E-5</v>
      </c>
    </row>
    <row r="230" spans="1:32" ht="25.5">
      <c r="A230" s="428" t="s">
        <v>799</v>
      </c>
      <c r="B230" s="380" t="s">
        <v>802</v>
      </c>
      <c r="C230" s="361">
        <f t="shared" si="19"/>
        <v>0</v>
      </c>
      <c r="D230" s="361">
        <f t="shared" si="20"/>
        <v>0</v>
      </c>
      <c r="E230" s="361">
        <f t="shared" si="21"/>
        <v>0</v>
      </c>
      <c r="F230" s="361">
        <f t="shared" si="22"/>
        <v>0</v>
      </c>
      <c r="G230" s="361">
        <f t="shared" si="23"/>
        <v>27789.06</v>
      </c>
      <c r="H230" s="371"/>
      <c r="I230" s="371"/>
      <c r="J230" s="371"/>
      <c r="K230" s="371"/>
      <c r="L230" s="371"/>
      <c r="M230" s="371"/>
      <c r="N230" s="371"/>
      <c r="O230" s="371"/>
      <c r="P230" s="371"/>
      <c r="Q230" s="371"/>
      <c r="R230" s="371"/>
      <c r="S230" s="371"/>
      <c r="T230" s="371"/>
      <c r="U230" s="371"/>
      <c r="V230" s="371"/>
      <c r="W230" s="371">
        <v>0</v>
      </c>
      <c r="X230" s="371">
        <v>0</v>
      </c>
      <c r="Y230" s="371">
        <v>0</v>
      </c>
      <c r="Z230" s="372">
        <v>0</v>
      </c>
      <c r="AA230" s="367">
        <v>27789.06</v>
      </c>
      <c r="AB230" s="371">
        <v>0.43999999999869033</v>
      </c>
      <c r="AC230" s="398">
        <v>27789.06</v>
      </c>
      <c r="AD230" s="452">
        <v>23123.14</v>
      </c>
      <c r="AE230" s="453">
        <v>-4665.92</v>
      </c>
      <c r="AF230" s="344">
        <f t="shared" si="18"/>
        <v>4.7895319260062073E-5</v>
      </c>
    </row>
    <row r="231" spans="1:32">
      <c r="A231" s="428" t="s">
        <v>803</v>
      </c>
      <c r="B231" s="380" t="s">
        <v>804</v>
      </c>
      <c r="C231" s="361">
        <f t="shared" si="19"/>
        <v>0</v>
      </c>
      <c r="D231" s="361">
        <f t="shared" si="20"/>
        <v>0</v>
      </c>
      <c r="E231" s="361">
        <f t="shared" si="21"/>
        <v>0</v>
      </c>
      <c r="F231" s="361">
        <f t="shared" si="22"/>
        <v>0</v>
      </c>
      <c r="G231" s="361">
        <f t="shared" si="23"/>
        <v>67492.45</v>
      </c>
      <c r="H231" s="371">
        <v>0</v>
      </c>
      <c r="I231" s="371">
        <v>0</v>
      </c>
      <c r="J231" s="371">
        <v>0</v>
      </c>
      <c r="K231" s="371">
        <v>0</v>
      </c>
      <c r="L231" s="371">
        <v>0</v>
      </c>
      <c r="M231" s="371">
        <v>0</v>
      </c>
      <c r="N231" s="371">
        <v>0</v>
      </c>
      <c r="O231" s="371">
        <v>0</v>
      </c>
      <c r="P231" s="371">
        <v>0</v>
      </c>
      <c r="Q231" s="371">
        <v>0</v>
      </c>
      <c r="R231" s="371">
        <v>0</v>
      </c>
      <c r="S231" s="371">
        <v>0</v>
      </c>
      <c r="T231" s="371">
        <v>0</v>
      </c>
      <c r="U231" s="371">
        <v>0</v>
      </c>
      <c r="V231" s="371">
        <v>0</v>
      </c>
      <c r="W231" s="371">
        <v>0</v>
      </c>
      <c r="X231" s="371">
        <v>0</v>
      </c>
      <c r="Y231" s="371">
        <v>0</v>
      </c>
      <c r="Z231" s="372">
        <v>0</v>
      </c>
      <c r="AA231" s="367">
        <v>67492.45</v>
      </c>
      <c r="AB231" s="371">
        <v>36582.130000000005</v>
      </c>
      <c r="AC231" s="398">
        <v>67492.45</v>
      </c>
      <c r="AD231" s="452">
        <v>104074.58</v>
      </c>
      <c r="AE231" s="453">
        <v>36582.129999999997</v>
      </c>
      <c r="AF231" s="344">
        <f t="shared" si="18"/>
        <v>1.1632536114549309E-4</v>
      </c>
    </row>
    <row r="232" spans="1:32">
      <c r="A232" s="384" t="s">
        <v>535</v>
      </c>
      <c r="B232" s="454"/>
      <c r="C232" s="361">
        <f t="shared" si="19"/>
        <v>0</v>
      </c>
      <c r="D232" s="361">
        <f t="shared" si="20"/>
        <v>0</v>
      </c>
      <c r="E232" s="361">
        <f t="shared" si="21"/>
        <v>0</v>
      </c>
      <c r="F232" s="361">
        <f t="shared" si="22"/>
        <v>0</v>
      </c>
      <c r="G232" s="361">
        <f t="shared" si="23"/>
        <v>0</v>
      </c>
      <c r="H232" s="386">
        <v>0</v>
      </c>
      <c r="I232" s="386">
        <v>0</v>
      </c>
      <c r="J232" s="386">
        <v>0</v>
      </c>
      <c r="K232" s="386">
        <v>0</v>
      </c>
      <c r="L232" s="386">
        <v>0</v>
      </c>
      <c r="M232" s="386">
        <v>0</v>
      </c>
      <c r="N232" s="386">
        <v>0</v>
      </c>
      <c r="O232" s="386">
        <v>0</v>
      </c>
      <c r="P232" s="386">
        <v>0</v>
      </c>
      <c r="Q232" s="386">
        <v>0</v>
      </c>
      <c r="R232" s="386">
        <v>0</v>
      </c>
      <c r="S232" s="386">
        <v>0</v>
      </c>
      <c r="T232" s="386">
        <v>0</v>
      </c>
      <c r="U232" s="386">
        <v>0</v>
      </c>
      <c r="V232" s="386">
        <v>0</v>
      </c>
      <c r="W232" s="386">
        <v>0</v>
      </c>
      <c r="X232" s="386">
        <v>0</v>
      </c>
      <c r="Y232" s="386">
        <v>0</v>
      </c>
      <c r="Z232" s="386">
        <v>0</v>
      </c>
      <c r="AA232" s="387">
        <v>0</v>
      </c>
      <c r="AB232" s="386">
        <v>0</v>
      </c>
      <c r="AC232" s="398">
        <v>0</v>
      </c>
      <c r="AD232" s="452">
        <v>0</v>
      </c>
      <c r="AE232" s="453">
        <v>0</v>
      </c>
      <c r="AF232" s="344">
        <f t="shared" si="18"/>
        <v>0</v>
      </c>
    </row>
    <row r="233" spans="1:32" ht="25.5">
      <c r="A233" s="384" t="s">
        <v>536</v>
      </c>
      <c r="B233" s="454"/>
      <c r="C233" s="361">
        <f t="shared" si="19"/>
        <v>0</v>
      </c>
      <c r="D233" s="361">
        <f t="shared" si="20"/>
        <v>0</v>
      </c>
      <c r="E233" s="361">
        <f t="shared" si="21"/>
        <v>0</v>
      </c>
      <c r="F233" s="361">
        <f t="shared" si="22"/>
        <v>0</v>
      </c>
      <c r="G233" s="361">
        <f t="shared" si="23"/>
        <v>0</v>
      </c>
      <c r="H233" s="386">
        <v>0</v>
      </c>
      <c r="I233" s="386">
        <v>0</v>
      </c>
      <c r="J233" s="386">
        <v>0</v>
      </c>
      <c r="K233" s="386">
        <v>0</v>
      </c>
      <c r="L233" s="386">
        <v>0</v>
      </c>
      <c r="M233" s="386">
        <v>0</v>
      </c>
      <c r="N233" s="386">
        <v>0</v>
      </c>
      <c r="O233" s="386">
        <v>0</v>
      </c>
      <c r="P233" s="386">
        <v>0</v>
      </c>
      <c r="Q233" s="386">
        <v>0</v>
      </c>
      <c r="R233" s="386">
        <v>0</v>
      </c>
      <c r="S233" s="386">
        <v>0</v>
      </c>
      <c r="T233" s="386">
        <v>0</v>
      </c>
      <c r="U233" s="386">
        <v>0</v>
      </c>
      <c r="V233" s="386">
        <v>0</v>
      </c>
      <c r="W233" s="386">
        <v>0</v>
      </c>
      <c r="X233" s="386">
        <v>0</v>
      </c>
      <c r="Y233" s="386">
        <v>0</v>
      </c>
      <c r="Z233" s="386">
        <v>0</v>
      </c>
      <c r="AA233" s="387">
        <v>0</v>
      </c>
      <c r="AB233" s="386">
        <v>789657.22377352149</v>
      </c>
      <c r="AC233" s="398">
        <v>0</v>
      </c>
      <c r="AD233" s="452">
        <v>0</v>
      </c>
      <c r="AE233" s="453">
        <v>0</v>
      </c>
      <c r="AF233" s="344">
        <f t="shared" si="18"/>
        <v>0</v>
      </c>
    </row>
    <row r="234" spans="1:32">
      <c r="A234" s="384" t="s">
        <v>537</v>
      </c>
      <c r="B234" s="454"/>
      <c r="C234" s="361">
        <f t="shared" si="19"/>
        <v>0</v>
      </c>
      <c r="D234" s="361">
        <f t="shared" si="20"/>
        <v>0</v>
      </c>
      <c r="E234" s="361">
        <f t="shared" si="21"/>
        <v>0</v>
      </c>
      <c r="F234" s="361">
        <f t="shared" si="22"/>
        <v>0</v>
      </c>
      <c r="G234" s="361">
        <f t="shared" si="23"/>
        <v>17128.23</v>
      </c>
      <c r="H234" s="386">
        <v>0</v>
      </c>
      <c r="I234" s="386">
        <v>0</v>
      </c>
      <c r="J234" s="386">
        <v>0</v>
      </c>
      <c r="K234" s="386">
        <v>0</v>
      </c>
      <c r="L234" s="386">
        <v>0</v>
      </c>
      <c r="M234" s="386">
        <v>0</v>
      </c>
      <c r="N234" s="386">
        <v>0</v>
      </c>
      <c r="O234" s="386">
        <v>0</v>
      </c>
      <c r="P234" s="386">
        <v>0</v>
      </c>
      <c r="Q234" s="386">
        <v>0</v>
      </c>
      <c r="R234" s="386">
        <v>0</v>
      </c>
      <c r="S234" s="386">
        <v>0</v>
      </c>
      <c r="T234" s="386">
        <v>0</v>
      </c>
      <c r="U234" s="386">
        <v>0</v>
      </c>
      <c r="V234" s="386">
        <v>0</v>
      </c>
      <c r="W234" s="386">
        <v>0</v>
      </c>
      <c r="X234" s="386">
        <v>0</v>
      </c>
      <c r="Y234" s="386">
        <v>0</v>
      </c>
      <c r="Z234" s="386">
        <v>0</v>
      </c>
      <c r="AA234" s="387">
        <v>17128.23</v>
      </c>
      <c r="AB234" s="386"/>
      <c r="AC234" s="373">
        <v>17128.23</v>
      </c>
      <c r="AD234" s="449">
        <v>45844.45</v>
      </c>
      <c r="AE234" s="369">
        <v>28716.22</v>
      </c>
      <c r="AF234" s="344">
        <f t="shared" si="18"/>
        <v>2.9521043324595109E-5</v>
      </c>
    </row>
    <row r="235" spans="1:32">
      <c r="A235" s="402" t="s">
        <v>805</v>
      </c>
      <c r="B235" s="427" t="s">
        <v>806</v>
      </c>
      <c r="C235" s="361">
        <f t="shared" si="19"/>
        <v>174684.51</v>
      </c>
      <c r="D235" s="361">
        <f t="shared" si="20"/>
        <v>855568.21000000008</v>
      </c>
      <c r="E235" s="361">
        <f t="shared" si="21"/>
        <v>2173227.4200000004</v>
      </c>
      <c r="F235" s="361">
        <f t="shared" si="22"/>
        <v>10790743.84</v>
      </c>
      <c r="G235" s="361">
        <f t="shared" si="23"/>
        <v>27128695.115757577</v>
      </c>
      <c r="H235" s="388">
        <v>0</v>
      </c>
      <c r="I235" s="388">
        <v>0</v>
      </c>
      <c r="J235" s="388">
        <v>0</v>
      </c>
      <c r="K235" s="388">
        <v>174684.51</v>
      </c>
      <c r="L235" s="388">
        <v>45335.640000000007</v>
      </c>
      <c r="M235" s="388">
        <v>256999.3</v>
      </c>
      <c r="N235" s="388">
        <v>171701.44999999998</v>
      </c>
      <c r="O235" s="388">
        <v>381531.82000000007</v>
      </c>
      <c r="P235" s="388">
        <v>528129.05000000005</v>
      </c>
      <c r="Q235" s="389">
        <v>189755.93000000002</v>
      </c>
      <c r="R235" s="388">
        <v>1229842.03</v>
      </c>
      <c r="S235" s="388">
        <v>225500.41</v>
      </c>
      <c r="T235" s="388">
        <v>951922</v>
      </c>
      <c r="U235" s="388">
        <v>1472605.19</v>
      </c>
      <c r="V235" s="388">
        <v>5501940.8700000001</v>
      </c>
      <c r="W235" s="388">
        <v>2864275.78</v>
      </c>
      <c r="X235" s="388">
        <v>1699418.2899999996</v>
      </c>
      <c r="Y235" s="388">
        <v>3502218.1500000004</v>
      </c>
      <c r="Z235" s="388">
        <v>3984553.0899999994</v>
      </c>
      <c r="AA235" s="362">
        <v>17942505.585757576</v>
      </c>
      <c r="AB235" s="388">
        <v>8950444.185047498</v>
      </c>
      <c r="AC235" s="364">
        <v>36122919.095757574</v>
      </c>
      <c r="AD235" s="388">
        <v>46269013.11999999</v>
      </c>
      <c r="AE235" s="388">
        <v>10146094.02</v>
      </c>
      <c r="AF235" s="344">
        <f t="shared" si="18"/>
        <v>6.2258987626666817E-2</v>
      </c>
    </row>
    <row r="236" spans="1:32" ht="25.5">
      <c r="A236" s="390" t="s">
        <v>807</v>
      </c>
      <c r="B236" s="391" t="s">
        <v>808</v>
      </c>
      <c r="C236" s="361">
        <f t="shared" si="19"/>
        <v>0</v>
      </c>
      <c r="D236" s="361">
        <f t="shared" si="20"/>
        <v>119061.27</v>
      </c>
      <c r="E236" s="361">
        <f t="shared" si="21"/>
        <v>660225.77</v>
      </c>
      <c r="F236" s="361">
        <f t="shared" si="22"/>
        <v>475624.60000000003</v>
      </c>
      <c r="G236" s="361">
        <f t="shared" si="23"/>
        <v>1521233.2900000003</v>
      </c>
      <c r="H236" s="394">
        <v>0</v>
      </c>
      <c r="I236" s="394">
        <v>0</v>
      </c>
      <c r="J236" s="394">
        <v>0</v>
      </c>
      <c r="K236" s="394">
        <v>0</v>
      </c>
      <c r="L236" s="394">
        <v>14766.78</v>
      </c>
      <c r="M236" s="394">
        <v>89986</v>
      </c>
      <c r="N236" s="394">
        <v>5208.49</v>
      </c>
      <c r="O236" s="394">
        <v>9100</v>
      </c>
      <c r="P236" s="394">
        <v>207553.71</v>
      </c>
      <c r="Q236" s="395">
        <v>123821.53</v>
      </c>
      <c r="R236" s="394">
        <v>103350.12</v>
      </c>
      <c r="S236" s="394">
        <v>225500.41</v>
      </c>
      <c r="T236" s="394">
        <v>236550.92</v>
      </c>
      <c r="U236" s="394">
        <v>21747.13</v>
      </c>
      <c r="V236" s="394">
        <v>160889.60999999999</v>
      </c>
      <c r="W236" s="394">
        <v>56436.94000000001</v>
      </c>
      <c r="X236" s="394">
        <v>208330.51</v>
      </c>
      <c r="Y236" s="394">
        <v>42940.799999999996</v>
      </c>
      <c r="Z236" s="394">
        <v>228153.60000000001</v>
      </c>
      <c r="AA236" s="392">
        <v>1041808.3800000002</v>
      </c>
      <c r="AB236" s="394">
        <v>742009.26999999967</v>
      </c>
      <c r="AC236" s="369">
        <v>2776144.93</v>
      </c>
      <c r="AD236" s="369">
        <v>3271878.9899999998</v>
      </c>
      <c r="AE236" s="444">
        <v>495734.06</v>
      </c>
      <c r="AF236" s="344">
        <f t="shared" si="18"/>
        <v>4.7847731349873902E-3</v>
      </c>
    </row>
    <row r="237" spans="1:32" ht="25.5">
      <c r="A237" s="370" t="s">
        <v>807</v>
      </c>
      <c r="B237" s="382" t="s">
        <v>809</v>
      </c>
      <c r="C237" s="361">
        <f t="shared" si="19"/>
        <v>0</v>
      </c>
      <c r="D237" s="361">
        <f t="shared" si="20"/>
        <v>89986</v>
      </c>
      <c r="E237" s="361">
        <f t="shared" si="21"/>
        <v>585994.59</v>
      </c>
      <c r="F237" s="361">
        <f t="shared" si="22"/>
        <v>421403.53</v>
      </c>
      <c r="G237" s="361">
        <f t="shared" si="23"/>
        <v>987057.66000000015</v>
      </c>
      <c r="H237" s="371">
        <v>0</v>
      </c>
      <c r="I237" s="371">
        <v>0</v>
      </c>
      <c r="J237" s="371">
        <v>0</v>
      </c>
      <c r="K237" s="371">
        <v>0</v>
      </c>
      <c r="L237" s="371">
        <v>0</v>
      </c>
      <c r="M237" s="371">
        <v>89986</v>
      </c>
      <c r="N237" s="371">
        <v>0</v>
      </c>
      <c r="O237" s="371">
        <v>0</v>
      </c>
      <c r="P237" s="371">
        <v>207496.71</v>
      </c>
      <c r="Q237" s="371">
        <v>112492.35</v>
      </c>
      <c r="R237" s="371">
        <v>40505.120000000003</v>
      </c>
      <c r="S237" s="371">
        <v>225500.41</v>
      </c>
      <c r="T237" s="371">
        <v>226045.16</v>
      </c>
      <c r="U237" s="371">
        <v>0</v>
      </c>
      <c r="V237" s="371">
        <v>156167</v>
      </c>
      <c r="W237" s="371">
        <v>39191.370000000003</v>
      </c>
      <c r="X237" s="371">
        <v>196713.13</v>
      </c>
      <c r="Y237" s="371">
        <v>0</v>
      </c>
      <c r="Z237" s="371">
        <v>155325.57</v>
      </c>
      <c r="AA237" s="367">
        <v>635018.9600000002</v>
      </c>
      <c r="AB237" s="371">
        <v>596535.30999999959</v>
      </c>
      <c r="AC237" s="369">
        <v>2084441.7800000003</v>
      </c>
      <c r="AD237" s="369">
        <v>2528431.83</v>
      </c>
      <c r="AE237" s="444">
        <v>443990.05</v>
      </c>
      <c r="AF237" s="344">
        <f t="shared" si="18"/>
        <v>3.5926009923369874E-3</v>
      </c>
    </row>
    <row r="238" spans="1:32">
      <c r="A238" s="428" t="s">
        <v>810</v>
      </c>
      <c r="B238" s="382" t="s">
        <v>811</v>
      </c>
      <c r="C238" s="361">
        <f t="shared" si="19"/>
        <v>0</v>
      </c>
      <c r="D238" s="361">
        <f t="shared" si="20"/>
        <v>0</v>
      </c>
      <c r="E238" s="361">
        <f t="shared" si="21"/>
        <v>62845</v>
      </c>
      <c r="F238" s="361">
        <f t="shared" si="22"/>
        <v>0</v>
      </c>
      <c r="G238" s="361">
        <f t="shared" si="23"/>
        <v>221119.63030303031</v>
      </c>
      <c r="H238" s="371">
        <v>0</v>
      </c>
      <c r="I238" s="371">
        <v>0</v>
      </c>
      <c r="J238" s="371">
        <v>0</v>
      </c>
      <c r="K238" s="371">
        <v>0</v>
      </c>
      <c r="L238" s="371">
        <v>0</v>
      </c>
      <c r="M238" s="371">
        <v>0</v>
      </c>
      <c r="N238" s="371">
        <v>0</v>
      </c>
      <c r="O238" s="371">
        <v>0</v>
      </c>
      <c r="P238" s="371">
        <v>0</v>
      </c>
      <c r="Q238" s="371">
        <v>0</v>
      </c>
      <c r="R238" s="371">
        <v>62845</v>
      </c>
      <c r="S238" s="371">
        <v>0</v>
      </c>
      <c r="T238" s="371">
        <v>0</v>
      </c>
      <c r="U238" s="371">
        <v>0</v>
      </c>
      <c r="V238" s="371">
        <v>0</v>
      </c>
      <c r="W238" s="371">
        <v>0</v>
      </c>
      <c r="X238" s="371">
        <v>0</v>
      </c>
      <c r="Y238" s="371">
        <v>0</v>
      </c>
      <c r="Z238" s="371">
        <v>12895.37</v>
      </c>
      <c r="AA238" s="367">
        <v>208224.26030303031</v>
      </c>
      <c r="AB238" s="371">
        <v>56750.499696969695</v>
      </c>
      <c r="AC238" s="369">
        <v>283964.63030303031</v>
      </c>
      <c r="AD238" s="369">
        <v>289096.13</v>
      </c>
      <c r="AE238" s="444">
        <v>5131.5</v>
      </c>
      <c r="AF238" s="344">
        <f t="shared" si="18"/>
        <v>4.8942197494010714E-4</v>
      </c>
    </row>
    <row r="239" spans="1:32">
      <c r="A239" s="428" t="s">
        <v>812</v>
      </c>
      <c r="B239" s="382" t="s">
        <v>813</v>
      </c>
      <c r="C239" s="361">
        <f t="shared" si="19"/>
        <v>0</v>
      </c>
      <c r="D239" s="361">
        <f t="shared" si="20"/>
        <v>14766.78</v>
      </c>
      <c r="E239" s="361">
        <f t="shared" si="21"/>
        <v>0</v>
      </c>
      <c r="F239" s="361">
        <f t="shared" si="22"/>
        <v>0</v>
      </c>
      <c r="G239" s="361">
        <f t="shared" si="23"/>
        <v>0</v>
      </c>
      <c r="H239" s="371">
        <v>0</v>
      </c>
      <c r="I239" s="371">
        <v>0</v>
      </c>
      <c r="J239" s="371">
        <v>0</v>
      </c>
      <c r="K239" s="371">
        <v>0</v>
      </c>
      <c r="L239" s="371">
        <v>14766.78</v>
      </c>
      <c r="M239" s="371">
        <v>0</v>
      </c>
      <c r="N239" s="371">
        <v>0</v>
      </c>
      <c r="O239" s="371">
        <v>0</v>
      </c>
      <c r="P239" s="371">
        <v>0</v>
      </c>
      <c r="Q239" s="371">
        <v>0</v>
      </c>
      <c r="R239" s="371">
        <v>0</v>
      </c>
      <c r="S239" s="371">
        <v>0</v>
      </c>
      <c r="T239" s="371">
        <v>0</v>
      </c>
      <c r="U239" s="371">
        <v>0</v>
      </c>
      <c r="V239" s="371">
        <v>0</v>
      </c>
      <c r="W239" s="371">
        <v>0</v>
      </c>
      <c r="X239" s="371">
        <v>0</v>
      </c>
      <c r="Y239" s="371">
        <v>0</v>
      </c>
      <c r="Z239" s="371">
        <v>0</v>
      </c>
      <c r="AA239" s="367">
        <v>0</v>
      </c>
      <c r="AB239" s="371">
        <v>0</v>
      </c>
      <c r="AC239" s="369">
        <v>14766.78</v>
      </c>
      <c r="AD239" s="369">
        <v>14766.78</v>
      </c>
      <c r="AE239" s="444">
        <v>0</v>
      </c>
      <c r="AF239" s="344">
        <f t="shared" si="18"/>
        <v>2.5451009949350552E-5</v>
      </c>
    </row>
    <row r="240" spans="1:32">
      <c r="A240" s="428" t="s">
        <v>814</v>
      </c>
      <c r="B240" s="382" t="s">
        <v>815</v>
      </c>
      <c r="C240" s="361">
        <f t="shared" si="19"/>
        <v>0</v>
      </c>
      <c r="D240" s="361">
        <f t="shared" si="20"/>
        <v>0</v>
      </c>
      <c r="E240" s="361">
        <f t="shared" si="21"/>
        <v>11329.18</v>
      </c>
      <c r="F240" s="361">
        <f t="shared" si="22"/>
        <v>39746.949999999997</v>
      </c>
      <c r="G240" s="361">
        <f t="shared" si="23"/>
        <v>23805.48</v>
      </c>
      <c r="H240" s="371">
        <v>0</v>
      </c>
      <c r="I240" s="371">
        <v>0</v>
      </c>
      <c r="J240" s="371">
        <v>0</v>
      </c>
      <c r="K240" s="371">
        <v>0</v>
      </c>
      <c r="L240" s="371">
        <v>0</v>
      </c>
      <c r="M240" s="371">
        <v>0</v>
      </c>
      <c r="N240" s="371">
        <v>0</v>
      </c>
      <c r="O240" s="371">
        <v>0</v>
      </c>
      <c r="P240" s="371">
        <v>0</v>
      </c>
      <c r="Q240" s="371">
        <v>11329.18</v>
      </c>
      <c r="R240" s="371">
        <v>0</v>
      </c>
      <c r="S240" s="371">
        <v>0</v>
      </c>
      <c r="T240" s="371">
        <v>10505.76</v>
      </c>
      <c r="U240" s="371">
        <v>21747.13</v>
      </c>
      <c r="V240" s="371">
        <v>0</v>
      </c>
      <c r="W240" s="371">
        <v>7494.0599999999995</v>
      </c>
      <c r="X240" s="371">
        <v>0</v>
      </c>
      <c r="Y240" s="371">
        <v>10930.6</v>
      </c>
      <c r="Z240" s="371">
        <v>0</v>
      </c>
      <c r="AA240" s="367">
        <v>12874.88</v>
      </c>
      <c r="AB240" s="371">
        <v>10973.740000000003</v>
      </c>
      <c r="AC240" s="369">
        <v>74881.61</v>
      </c>
      <c r="AD240" s="369">
        <v>103348.02</v>
      </c>
      <c r="AE240" s="444">
        <v>28466.41</v>
      </c>
      <c r="AF240" s="344">
        <f t="shared" si="18"/>
        <v>1.2906081089671465E-4</v>
      </c>
    </row>
    <row r="241" spans="1:32">
      <c r="A241" s="415" t="s">
        <v>816</v>
      </c>
      <c r="B241" s="382" t="s">
        <v>817</v>
      </c>
      <c r="C241" s="361">
        <f t="shared" si="19"/>
        <v>0</v>
      </c>
      <c r="D241" s="361">
        <f t="shared" si="20"/>
        <v>14308.49</v>
      </c>
      <c r="E241" s="361">
        <f t="shared" si="21"/>
        <v>57</v>
      </c>
      <c r="F241" s="361">
        <f t="shared" si="22"/>
        <v>0</v>
      </c>
      <c r="G241" s="361">
        <f t="shared" si="23"/>
        <v>0</v>
      </c>
      <c r="H241" s="371">
        <v>0</v>
      </c>
      <c r="I241" s="371">
        <v>0</v>
      </c>
      <c r="J241" s="371">
        <v>0</v>
      </c>
      <c r="K241" s="371">
        <v>0</v>
      </c>
      <c r="L241" s="371">
        <v>0</v>
      </c>
      <c r="M241" s="371">
        <v>0</v>
      </c>
      <c r="N241" s="371">
        <v>5208.49</v>
      </c>
      <c r="O241" s="371">
        <v>9100</v>
      </c>
      <c r="P241" s="371">
        <v>57</v>
      </c>
      <c r="Q241" s="371">
        <v>0</v>
      </c>
      <c r="R241" s="371">
        <v>0</v>
      </c>
      <c r="S241" s="371">
        <v>0</v>
      </c>
      <c r="T241" s="371">
        <v>0</v>
      </c>
      <c r="U241" s="371">
        <v>0</v>
      </c>
      <c r="V241" s="371">
        <v>0</v>
      </c>
      <c r="W241" s="371">
        <v>0</v>
      </c>
      <c r="X241" s="371">
        <v>0</v>
      </c>
      <c r="Y241" s="371">
        <v>0</v>
      </c>
      <c r="Z241" s="371">
        <v>0</v>
      </c>
      <c r="AA241" s="367">
        <v>0</v>
      </c>
      <c r="AB241" s="371">
        <v>-0.48999999999978172</v>
      </c>
      <c r="AC241" s="369">
        <v>14365.49</v>
      </c>
      <c r="AD241" s="369">
        <v>14365</v>
      </c>
      <c r="AE241" s="444">
        <v>-0.49</v>
      </c>
      <c r="AF241" s="344">
        <f t="shared" si="18"/>
        <v>2.4759374008233063E-5</v>
      </c>
    </row>
    <row r="242" spans="1:32">
      <c r="A242" s="415" t="s">
        <v>818</v>
      </c>
      <c r="B242" s="382" t="s">
        <v>819</v>
      </c>
      <c r="C242" s="361">
        <f t="shared" si="19"/>
        <v>0</v>
      </c>
      <c r="D242" s="361">
        <f t="shared" si="20"/>
        <v>0</v>
      </c>
      <c r="E242" s="361">
        <f t="shared" si="21"/>
        <v>0</v>
      </c>
      <c r="F242" s="361">
        <f t="shared" si="22"/>
        <v>0</v>
      </c>
      <c r="G242" s="361">
        <f t="shared" si="23"/>
        <v>180211.13363636364</v>
      </c>
      <c r="H242" s="371"/>
      <c r="I242" s="371"/>
      <c r="J242" s="371"/>
      <c r="K242" s="371"/>
      <c r="L242" s="371"/>
      <c r="M242" s="371"/>
      <c r="N242" s="371"/>
      <c r="O242" s="371"/>
      <c r="P242" s="371"/>
      <c r="Q242" s="371"/>
      <c r="R242" s="371"/>
      <c r="S242" s="371">
        <v>0</v>
      </c>
      <c r="T242" s="371">
        <v>0</v>
      </c>
      <c r="U242" s="371">
        <v>0</v>
      </c>
      <c r="V242" s="371">
        <v>0</v>
      </c>
      <c r="W242" s="371">
        <v>0</v>
      </c>
      <c r="X242" s="371">
        <v>0</v>
      </c>
      <c r="Y242" s="371">
        <v>21907.279999999999</v>
      </c>
      <c r="Z242" s="371">
        <v>39888.379999999997</v>
      </c>
      <c r="AA242" s="367">
        <v>118415.47363636363</v>
      </c>
      <c r="AB242" s="371">
        <v>108.08636363636469</v>
      </c>
      <c r="AC242" s="369">
        <v>180211.13363636364</v>
      </c>
      <c r="AD242" s="369">
        <v>120715.6</v>
      </c>
      <c r="AE242" s="444">
        <v>-59495.53</v>
      </c>
      <c r="AF242" s="344">
        <f t="shared" si="18"/>
        <v>3.1059955895346397E-4</v>
      </c>
    </row>
    <row r="243" spans="1:32">
      <c r="A243" s="415" t="s">
        <v>820</v>
      </c>
      <c r="B243" s="382" t="s">
        <v>821</v>
      </c>
      <c r="C243" s="361">
        <f t="shared" si="19"/>
        <v>0</v>
      </c>
      <c r="D243" s="361">
        <f t="shared" si="20"/>
        <v>0</v>
      </c>
      <c r="E243" s="361">
        <f t="shared" si="21"/>
        <v>0</v>
      </c>
      <c r="F243" s="361">
        <f t="shared" si="22"/>
        <v>0</v>
      </c>
      <c r="G243" s="361">
        <f t="shared" si="23"/>
        <v>10102.92</v>
      </c>
      <c r="H243" s="371"/>
      <c r="I243" s="371"/>
      <c r="J243" s="371"/>
      <c r="K243" s="371"/>
      <c r="L243" s="371"/>
      <c r="M243" s="371"/>
      <c r="N243" s="371"/>
      <c r="O243" s="371"/>
      <c r="P243" s="371"/>
      <c r="Q243" s="371"/>
      <c r="R243" s="371"/>
      <c r="S243" s="371">
        <v>0</v>
      </c>
      <c r="T243" s="371">
        <v>0</v>
      </c>
      <c r="U243" s="371">
        <v>0</v>
      </c>
      <c r="V243" s="371">
        <v>0</v>
      </c>
      <c r="W243" s="371">
        <v>0</v>
      </c>
      <c r="X243" s="371">
        <v>0</v>
      </c>
      <c r="Y243" s="371">
        <v>10102.92</v>
      </c>
      <c r="Z243" s="371">
        <v>0</v>
      </c>
      <c r="AA243" s="367">
        <v>0</v>
      </c>
      <c r="AB243" s="371">
        <v>0</v>
      </c>
      <c r="AC243" s="369">
        <v>10102.92</v>
      </c>
      <c r="AD243" s="369">
        <v>10102.92</v>
      </c>
      <c r="AE243" s="444">
        <v>0</v>
      </c>
      <c r="AF243" s="344">
        <f t="shared" si="18"/>
        <v>1.7412700496485533E-5</v>
      </c>
    </row>
    <row r="244" spans="1:32">
      <c r="A244" s="415" t="s">
        <v>822</v>
      </c>
      <c r="B244" s="382" t="s">
        <v>823</v>
      </c>
      <c r="C244" s="361">
        <f t="shared" si="19"/>
        <v>0</v>
      </c>
      <c r="D244" s="361">
        <f t="shared" si="20"/>
        <v>0</v>
      </c>
      <c r="E244" s="361">
        <f t="shared" si="21"/>
        <v>0</v>
      </c>
      <c r="F244" s="361">
        <f t="shared" si="22"/>
        <v>14474.119999999999</v>
      </c>
      <c r="G244" s="361">
        <f t="shared" si="23"/>
        <v>0</v>
      </c>
      <c r="H244" s="371"/>
      <c r="I244" s="371"/>
      <c r="J244" s="371"/>
      <c r="K244" s="371"/>
      <c r="L244" s="371"/>
      <c r="M244" s="371"/>
      <c r="N244" s="371"/>
      <c r="O244" s="371"/>
      <c r="P244" s="371"/>
      <c r="Q244" s="371"/>
      <c r="R244" s="371"/>
      <c r="S244" s="371">
        <v>0</v>
      </c>
      <c r="T244" s="371">
        <v>0</v>
      </c>
      <c r="U244" s="371">
        <v>0</v>
      </c>
      <c r="V244" s="371">
        <v>4722.6099999999997</v>
      </c>
      <c r="W244" s="371">
        <v>9751.51</v>
      </c>
      <c r="X244" s="371">
        <v>0</v>
      </c>
      <c r="Y244" s="371">
        <v>0</v>
      </c>
      <c r="Z244" s="371">
        <v>0</v>
      </c>
      <c r="AA244" s="367">
        <v>0</v>
      </c>
      <c r="AB244" s="371">
        <v>0</v>
      </c>
      <c r="AC244" s="369">
        <v>14474.12</v>
      </c>
      <c r="AD244" s="369">
        <v>14474.12</v>
      </c>
      <c r="AE244" s="444">
        <v>0</v>
      </c>
      <c r="AF244" s="344">
        <f t="shared" si="18"/>
        <v>2.4946601231148144E-5</v>
      </c>
    </row>
    <row r="245" spans="1:32">
      <c r="A245" s="415" t="s">
        <v>824</v>
      </c>
      <c r="B245" s="382" t="s">
        <v>825</v>
      </c>
      <c r="C245" s="361">
        <f t="shared" si="19"/>
        <v>0</v>
      </c>
      <c r="D245" s="361">
        <f t="shared" si="20"/>
        <v>0</v>
      </c>
      <c r="E245" s="361">
        <f t="shared" si="21"/>
        <v>0</v>
      </c>
      <c r="F245" s="361">
        <f t="shared" si="22"/>
        <v>0</v>
      </c>
      <c r="G245" s="361">
        <f t="shared" si="23"/>
        <v>98936.466060606064</v>
      </c>
      <c r="H245" s="371"/>
      <c r="I245" s="371"/>
      <c r="J245" s="371"/>
      <c r="K245" s="371"/>
      <c r="L245" s="371"/>
      <c r="M245" s="371"/>
      <c r="N245" s="371"/>
      <c r="O245" s="371"/>
      <c r="P245" s="371"/>
      <c r="Q245" s="371"/>
      <c r="R245" s="371"/>
      <c r="S245" s="371">
        <v>0</v>
      </c>
      <c r="T245" s="371">
        <v>0</v>
      </c>
      <c r="U245" s="371">
        <v>0</v>
      </c>
      <c r="V245" s="371">
        <v>0</v>
      </c>
      <c r="W245" s="371">
        <v>0</v>
      </c>
      <c r="X245" s="371">
        <v>11617.38</v>
      </c>
      <c r="Y245" s="371">
        <v>0</v>
      </c>
      <c r="Z245" s="371">
        <v>20044.28</v>
      </c>
      <c r="AA245" s="367">
        <v>67274.806060606061</v>
      </c>
      <c r="AB245" s="371">
        <v>77642.123939393932</v>
      </c>
      <c r="AC245" s="369">
        <v>98936.466060606064</v>
      </c>
      <c r="AD245" s="369">
        <v>176578.59</v>
      </c>
      <c r="AE245" s="444">
        <v>77642.12</v>
      </c>
      <c r="AF245" s="344">
        <f t="shared" si="18"/>
        <v>1.7052011217489989E-4</v>
      </c>
    </row>
    <row r="246" spans="1:32">
      <c r="A246" s="390" t="s">
        <v>826</v>
      </c>
      <c r="B246" s="391" t="s">
        <v>827</v>
      </c>
      <c r="C246" s="361">
        <f t="shared" si="19"/>
        <v>0</v>
      </c>
      <c r="D246" s="361">
        <f t="shared" si="20"/>
        <v>0</v>
      </c>
      <c r="E246" s="361">
        <f t="shared" si="21"/>
        <v>0</v>
      </c>
      <c r="F246" s="361">
        <f t="shared" si="22"/>
        <v>240255.37</v>
      </c>
      <c r="G246" s="361">
        <f t="shared" si="23"/>
        <v>575918.36818181816</v>
      </c>
      <c r="H246" s="394">
        <v>0</v>
      </c>
      <c r="I246" s="394">
        <v>0</v>
      </c>
      <c r="J246" s="394">
        <v>0</v>
      </c>
      <c r="K246" s="394">
        <v>0</v>
      </c>
      <c r="L246" s="394">
        <v>0</v>
      </c>
      <c r="M246" s="394">
        <v>0</v>
      </c>
      <c r="N246" s="394">
        <v>0</v>
      </c>
      <c r="O246" s="394">
        <v>0</v>
      </c>
      <c r="P246" s="394">
        <v>0</v>
      </c>
      <c r="Q246" s="395">
        <v>0</v>
      </c>
      <c r="R246" s="394">
        <v>0</v>
      </c>
      <c r="S246" s="394">
        <v>0</v>
      </c>
      <c r="T246" s="394">
        <v>0</v>
      </c>
      <c r="U246" s="394">
        <v>0</v>
      </c>
      <c r="V246" s="394">
        <v>80249.669999999984</v>
      </c>
      <c r="W246" s="394">
        <v>160005.70000000001</v>
      </c>
      <c r="X246" s="394">
        <v>58134.34</v>
      </c>
      <c r="Y246" s="394">
        <v>309838.73</v>
      </c>
      <c r="Z246" s="394">
        <v>20244.169999999998</v>
      </c>
      <c r="AA246" s="392">
        <v>187701.12818181817</v>
      </c>
      <c r="AB246" s="394">
        <v>331628.02181818179</v>
      </c>
      <c r="AC246" s="373">
        <v>816173.73818181816</v>
      </c>
      <c r="AD246" s="373">
        <v>1230420.3400000001</v>
      </c>
      <c r="AE246" s="444">
        <v>414246.6</v>
      </c>
      <c r="AF246" s="344">
        <f t="shared" si="18"/>
        <v>1.4067011177023078E-3</v>
      </c>
    </row>
    <row r="247" spans="1:32">
      <c r="A247" s="415" t="s">
        <v>828</v>
      </c>
      <c r="B247" s="382" t="s">
        <v>829</v>
      </c>
      <c r="C247" s="361">
        <f t="shared" si="19"/>
        <v>0</v>
      </c>
      <c r="D247" s="361">
        <f t="shared" si="20"/>
        <v>0</v>
      </c>
      <c r="E247" s="361">
        <f t="shared" si="21"/>
        <v>0</v>
      </c>
      <c r="F247" s="361">
        <f t="shared" si="22"/>
        <v>0</v>
      </c>
      <c r="G247" s="361">
        <f t="shared" si="23"/>
        <v>145258.51999999999</v>
      </c>
      <c r="H247" s="371"/>
      <c r="I247" s="371"/>
      <c r="J247" s="371"/>
      <c r="K247" s="371"/>
      <c r="L247" s="371"/>
      <c r="M247" s="371"/>
      <c r="N247" s="371"/>
      <c r="O247" s="371"/>
      <c r="P247" s="371"/>
      <c r="Q247" s="371"/>
      <c r="R247" s="371">
        <v>0</v>
      </c>
      <c r="S247" s="371">
        <v>0</v>
      </c>
      <c r="T247" s="371">
        <v>0</v>
      </c>
      <c r="U247" s="371">
        <v>0</v>
      </c>
      <c r="V247" s="371">
        <v>0</v>
      </c>
      <c r="W247" s="371">
        <v>0</v>
      </c>
      <c r="X247" s="371">
        <v>0</v>
      </c>
      <c r="Y247" s="371">
        <v>71062.36</v>
      </c>
      <c r="Z247" s="371">
        <v>0</v>
      </c>
      <c r="AA247" s="367">
        <v>74196.159999999989</v>
      </c>
      <c r="AB247" s="371">
        <v>2.9103830456733704E-11</v>
      </c>
      <c r="AC247" s="373">
        <v>145258.51999999999</v>
      </c>
      <c r="AD247" s="369">
        <v>98022.99</v>
      </c>
      <c r="AE247" s="444">
        <v>-47235.53</v>
      </c>
      <c r="AF247" s="344">
        <f t="shared" si="18"/>
        <v>2.503576296083463E-4</v>
      </c>
    </row>
    <row r="248" spans="1:32">
      <c r="A248" s="415" t="s">
        <v>830</v>
      </c>
      <c r="B248" s="382" t="s">
        <v>831</v>
      </c>
      <c r="C248" s="361">
        <f t="shared" si="19"/>
        <v>0</v>
      </c>
      <c r="D248" s="361">
        <f t="shared" si="20"/>
        <v>0</v>
      </c>
      <c r="E248" s="361">
        <f t="shared" si="21"/>
        <v>0</v>
      </c>
      <c r="F248" s="361">
        <f t="shared" si="22"/>
        <v>0</v>
      </c>
      <c r="G248" s="361">
        <f t="shared" si="23"/>
        <v>49016.959090909091</v>
      </c>
      <c r="H248" s="371"/>
      <c r="I248" s="371"/>
      <c r="J248" s="371"/>
      <c r="K248" s="371"/>
      <c r="L248" s="371"/>
      <c r="M248" s="371"/>
      <c r="N248" s="371"/>
      <c r="O248" s="371"/>
      <c r="P248" s="371"/>
      <c r="Q248" s="371"/>
      <c r="R248" s="371">
        <v>0</v>
      </c>
      <c r="S248" s="371">
        <v>0</v>
      </c>
      <c r="T248" s="371">
        <v>0</v>
      </c>
      <c r="U248" s="371">
        <v>0</v>
      </c>
      <c r="V248" s="371">
        <v>0</v>
      </c>
      <c r="W248" s="371">
        <v>0</v>
      </c>
      <c r="X248" s="371">
        <v>23926.050000000003</v>
      </c>
      <c r="Y248" s="371">
        <v>0</v>
      </c>
      <c r="Z248" s="371">
        <v>0</v>
      </c>
      <c r="AA248" s="367">
        <v>25090.909090909092</v>
      </c>
      <c r="AB248" s="371">
        <v>47799.940909090903</v>
      </c>
      <c r="AC248" s="373">
        <v>49016.959090909091</v>
      </c>
      <c r="AD248" s="369">
        <v>96816.900000000009</v>
      </c>
      <c r="AE248" s="444">
        <v>47799.94</v>
      </c>
      <c r="AF248" s="344">
        <f t="shared" si="18"/>
        <v>8.448227125410118E-5</v>
      </c>
    </row>
    <row r="249" spans="1:32">
      <c r="A249" s="415" t="s">
        <v>832</v>
      </c>
      <c r="B249" s="382" t="s">
        <v>833</v>
      </c>
      <c r="C249" s="361">
        <f t="shared" si="19"/>
        <v>0</v>
      </c>
      <c r="D249" s="361">
        <f t="shared" si="20"/>
        <v>0</v>
      </c>
      <c r="E249" s="361">
        <f t="shared" si="21"/>
        <v>0</v>
      </c>
      <c r="F249" s="361">
        <f t="shared" si="22"/>
        <v>0</v>
      </c>
      <c r="G249" s="361">
        <f t="shared" si="23"/>
        <v>8207.9590909090912</v>
      </c>
      <c r="H249" s="371"/>
      <c r="I249" s="371"/>
      <c r="J249" s="371"/>
      <c r="K249" s="371"/>
      <c r="L249" s="371"/>
      <c r="M249" s="371"/>
      <c r="N249" s="371"/>
      <c r="O249" s="371"/>
      <c r="P249" s="371"/>
      <c r="Q249" s="371"/>
      <c r="R249" s="371">
        <v>0</v>
      </c>
      <c r="S249" s="371">
        <v>0</v>
      </c>
      <c r="T249" s="371">
        <v>0</v>
      </c>
      <c r="U249" s="371">
        <v>0</v>
      </c>
      <c r="V249" s="371">
        <v>0</v>
      </c>
      <c r="W249" s="371">
        <v>0</v>
      </c>
      <c r="X249" s="371">
        <v>0</v>
      </c>
      <c r="Y249" s="371">
        <v>0</v>
      </c>
      <c r="Z249" s="371">
        <v>0</v>
      </c>
      <c r="AA249" s="367">
        <v>8207.9590909090912</v>
      </c>
      <c r="AB249" s="371">
        <v>1850.1809090909082</v>
      </c>
      <c r="AC249" s="373">
        <v>8207.9590909090912</v>
      </c>
      <c r="AD249" s="369">
        <v>304176.14</v>
      </c>
      <c r="AE249" s="444">
        <v>295968.18</v>
      </c>
      <c r="AF249" s="344">
        <f t="shared" si="18"/>
        <v>1.4146675746952929E-5</v>
      </c>
    </row>
    <row r="250" spans="1:32">
      <c r="A250" s="415" t="s">
        <v>834</v>
      </c>
      <c r="B250" s="382" t="s">
        <v>835</v>
      </c>
      <c r="C250" s="361">
        <f t="shared" si="19"/>
        <v>0</v>
      </c>
      <c r="D250" s="361">
        <f t="shared" si="20"/>
        <v>0</v>
      </c>
      <c r="E250" s="361">
        <f t="shared" si="21"/>
        <v>0</v>
      </c>
      <c r="F250" s="361">
        <f t="shared" si="22"/>
        <v>3813.87</v>
      </c>
      <c r="G250" s="361">
        <f t="shared" si="23"/>
        <v>0</v>
      </c>
      <c r="H250" s="371"/>
      <c r="I250" s="371"/>
      <c r="J250" s="371"/>
      <c r="K250" s="371"/>
      <c r="L250" s="371"/>
      <c r="M250" s="371"/>
      <c r="N250" s="371"/>
      <c r="O250" s="371"/>
      <c r="P250" s="371"/>
      <c r="Q250" s="371"/>
      <c r="R250" s="371">
        <v>0</v>
      </c>
      <c r="S250" s="371">
        <v>0</v>
      </c>
      <c r="T250" s="371">
        <v>0</v>
      </c>
      <c r="U250" s="371">
        <v>0</v>
      </c>
      <c r="V250" s="371">
        <v>3813.87</v>
      </c>
      <c r="W250" s="371">
        <v>0</v>
      </c>
      <c r="X250" s="371">
        <v>0</v>
      </c>
      <c r="Y250" s="371">
        <v>0</v>
      </c>
      <c r="Z250" s="371">
        <v>0</v>
      </c>
      <c r="AA250" s="367">
        <v>0</v>
      </c>
      <c r="AB250" s="371">
        <v>0</v>
      </c>
      <c r="AC250" s="373">
        <v>3813.87</v>
      </c>
      <c r="AD250" s="369">
        <v>3813.87</v>
      </c>
      <c r="AE250" s="444">
        <v>0</v>
      </c>
      <c r="AF250" s="344">
        <f t="shared" si="18"/>
        <v>6.5733249439301986E-6</v>
      </c>
    </row>
    <row r="251" spans="1:32">
      <c r="A251" s="415" t="s">
        <v>836</v>
      </c>
      <c r="B251" s="382" t="s">
        <v>837</v>
      </c>
      <c r="C251" s="361">
        <f t="shared" si="19"/>
        <v>0</v>
      </c>
      <c r="D251" s="361">
        <f t="shared" si="20"/>
        <v>0</v>
      </c>
      <c r="E251" s="361">
        <f t="shared" si="21"/>
        <v>0</v>
      </c>
      <c r="F251" s="361">
        <f t="shared" si="22"/>
        <v>150000</v>
      </c>
      <c r="G251" s="361">
        <f t="shared" si="23"/>
        <v>75000</v>
      </c>
      <c r="H251" s="371"/>
      <c r="I251" s="371"/>
      <c r="J251" s="371"/>
      <c r="K251" s="371"/>
      <c r="L251" s="371"/>
      <c r="M251" s="371"/>
      <c r="N251" s="371"/>
      <c r="O251" s="371"/>
      <c r="P251" s="371"/>
      <c r="Q251" s="371"/>
      <c r="R251" s="371">
        <v>0</v>
      </c>
      <c r="S251" s="371">
        <v>0</v>
      </c>
      <c r="T251" s="371">
        <v>0</v>
      </c>
      <c r="U251" s="371">
        <v>0</v>
      </c>
      <c r="V251" s="371">
        <v>0</v>
      </c>
      <c r="W251" s="371">
        <v>150000</v>
      </c>
      <c r="X251" s="371">
        <v>25000</v>
      </c>
      <c r="Y251" s="371">
        <v>0</v>
      </c>
      <c r="Z251" s="372">
        <v>0</v>
      </c>
      <c r="AA251" s="367">
        <v>50000</v>
      </c>
      <c r="AB251" s="371">
        <v>275000</v>
      </c>
      <c r="AC251" s="373">
        <v>225000</v>
      </c>
      <c r="AD251" s="369">
        <v>175000</v>
      </c>
      <c r="AE251" s="444">
        <v>-50000</v>
      </c>
      <c r="AF251" s="344">
        <f t="shared" si="18"/>
        <v>3.8779457936014987E-4</v>
      </c>
    </row>
    <row r="252" spans="1:32" ht="25.5">
      <c r="A252" s="390" t="s">
        <v>838</v>
      </c>
      <c r="B252" s="391" t="s">
        <v>839</v>
      </c>
      <c r="C252" s="361">
        <f t="shared" si="19"/>
        <v>0</v>
      </c>
      <c r="D252" s="361">
        <f t="shared" si="20"/>
        <v>0</v>
      </c>
      <c r="E252" s="361">
        <f t="shared" si="21"/>
        <v>0</v>
      </c>
      <c r="F252" s="361">
        <f t="shared" si="22"/>
        <v>16864.18</v>
      </c>
      <c r="G252" s="361">
        <f t="shared" si="23"/>
        <v>69161.73</v>
      </c>
      <c r="H252" s="394"/>
      <c r="I252" s="394"/>
      <c r="J252" s="394"/>
      <c r="K252" s="394"/>
      <c r="L252" s="394"/>
      <c r="M252" s="394"/>
      <c r="N252" s="394"/>
      <c r="O252" s="394"/>
      <c r="P252" s="394"/>
      <c r="Q252" s="395"/>
      <c r="R252" s="394">
        <v>0</v>
      </c>
      <c r="S252" s="394">
        <v>0</v>
      </c>
      <c r="T252" s="394">
        <v>0</v>
      </c>
      <c r="U252" s="394">
        <v>0</v>
      </c>
      <c r="V252" s="394">
        <v>6858.48</v>
      </c>
      <c r="W252" s="394">
        <v>10005.700000000001</v>
      </c>
      <c r="X252" s="394">
        <v>9208.2900000000009</v>
      </c>
      <c r="Y252" s="394">
        <v>9503.17</v>
      </c>
      <c r="Z252" s="394">
        <v>20244.169999999998</v>
      </c>
      <c r="AA252" s="392">
        <v>30206.100000000002</v>
      </c>
      <c r="AB252" s="394">
        <v>3078.1100000000006</v>
      </c>
      <c r="AC252" s="373">
        <v>86025.91</v>
      </c>
      <c r="AD252" s="373">
        <v>89118</v>
      </c>
      <c r="AE252" s="444">
        <v>3092.09</v>
      </c>
      <c r="AF252" s="344">
        <f t="shared" si="18"/>
        <v>1.4826836258899606E-4</v>
      </c>
    </row>
    <row r="253" spans="1:32" ht="25.5">
      <c r="A253" s="415" t="s">
        <v>840</v>
      </c>
      <c r="B253" s="382" t="s">
        <v>841</v>
      </c>
      <c r="C253" s="361">
        <f t="shared" si="19"/>
        <v>0</v>
      </c>
      <c r="D253" s="361">
        <f t="shared" si="20"/>
        <v>0</v>
      </c>
      <c r="E253" s="361">
        <f t="shared" si="21"/>
        <v>0</v>
      </c>
      <c r="F253" s="361">
        <f t="shared" si="22"/>
        <v>13371.9</v>
      </c>
      <c r="G253" s="361">
        <f t="shared" si="23"/>
        <v>58549.990000000005</v>
      </c>
      <c r="H253" s="371"/>
      <c r="I253" s="371"/>
      <c r="J253" s="371"/>
      <c r="K253" s="371"/>
      <c r="L253" s="371"/>
      <c r="M253" s="371"/>
      <c r="N253" s="371"/>
      <c r="O253" s="371"/>
      <c r="P253" s="371"/>
      <c r="Q253" s="371"/>
      <c r="R253" s="371">
        <v>0</v>
      </c>
      <c r="S253" s="371">
        <v>0</v>
      </c>
      <c r="T253" s="371">
        <v>0</v>
      </c>
      <c r="U253" s="371">
        <v>0</v>
      </c>
      <c r="V253" s="371">
        <v>6858.48</v>
      </c>
      <c r="W253" s="371">
        <v>6513.42</v>
      </c>
      <c r="X253" s="371">
        <v>6415.2</v>
      </c>
      <c r="Y253" s="371">
        <v>6632.12</v>
      </c>
      <c r="Z253" s="371">
        <v>17429.77</v>
      </c>
      <c r="AA253" s="367">
        <v>28072.9</v>
      </c>
      <c r="AB253" s="371">
        <v>3078.1100000000006</v>
      </c>
      <c r="AC253" s="373">
        <v>71921.890000000014</v>
      </c>
      <c r="AD253" s="369">
        <v>75000</v>
      </c>
      <c r="AE253" s="444">
        <v>3078.11</v>
      </c>
      <c r="AF253" s="344">
        <f t="shared" si="18"/>
        <v>1.2395964035260879E-4</v>
      </c>
    </row>
    <row r="254" spans="1:32">
      <c r="A254" s="428" t="s">
        <v>842</v>
      </c>
      <c r="B254" s="382" t="s">
        <v>843</v>
      </c>
      <c r="C254" s="361">
        <f t="shared" si="19"/>
        <v>0</v>
      </c>
      <c r="D254" s="361">
        <f t="shared" si="20"/>
        <v>0</v>
      </c>
      <c r="E254" s="361">
        <f t="shared" si="21"/>
        <v>0</v>
      </c>
      <c r="F254" s="361">
        <f t="shared" si="22"/>
        <v>3492.28</v>
      </c>
      <c r="G254" s="361">
        <f t="shared" si="23"/>
        <v>10611.740000000002</v>
      </c>
      <c r="H254" s="371"/>
      <c r="I254" s="371"/>
      <c r="J254" s="371"/>
      <c r="K254" s="371"/>
      <c r="L254" s="371"/>
      <c r="M254" s="371"/>
      <c r="N254" s="371"/>
      <c r="O254" s="371"/>
      <c r="P254" s="371"/>
      <c r="Q254" s="371"/>
      <c r="R254" s="371">
        <v>0</v>
      </c>
      <c r="S254" s="371">
        <v>0</v>
      </c>
      <c r="T254" s="371">
        <v>0</v>
      </c>
      <c r="U254" s="371">
        <v>0</v>
      </c>
      <c r="V254" s="371">
        <v>0</v>
      </c>
      <c r="W254" s="371">
        <v>3492.28</v>
      </c>
      <c r="X254" s="371">
        <v>2793.09</v>
      </c>
      <c r="Y254" s="371">
        <v>2871.05</v>
      </c>
      <c r="Z254" s="371">
        <v>2814.4</v>
      </c>
      <c r="AA254" s="367">
        <v>2133.1999999999998</v>
      </c>
      <c r="AB254" s="371">
        <v>0</v>
      </c>
      <c r="AC254" s="373">
        <v>14104.02</v>
      </c>
      <c r="AD254" s="369">
        <v>14118</v>
      </c>
      <c r="AE254" s="444">
        <v>13.98</v>
      </c>
      <c r="AF254" s="344">
        <f t="shared" si="18"/>
        <v>2.4308722236387295E-5</v>
      </c>
    </row>
    <row r="255" spans="1:32" ht="25.5">
      <c r="A255" s="415" t="s">
        <v>844</v>
      </c>
      <c r="B255" s="382" t="s">
        <v>845</v>
      </c>
      <c r="C255" s="361">
        <f t="shared" si="19"/>
        <v>0</v>
      </c>
      <c r="D255" s="361">
        <f t="shared" si="20"/>
        <v>0</v>
      </c>
      <c r="E255" s="361">
        <f t="shared" si="21"/>
        <v>0</v>
      </c>
      <c r="F255" s="361">
        <f t="shared" si="22"/>
        <v>0</v>
      </c>
      <c r="G255" s="361">
        <f t="shared" si="23"/>
        <v>0</v>
      </c>
      <c r="H255" s="371"/>
      <c r="I255" s="371"/>
      <c r="J255" s="371"/>
      <c r="K255" s="371"/>
      <c r="L255" s="371"/>
      <c r="M255" s="371"/>
      <c r="N255" s="371"/>
      <c r="O255" s="371"/>
      <c r="P255" s="371"/>
      <c r="Q255" s="371"/>
      <c r="R255" s="371">
        <v>0</v>
      </c>
      <c r="S255" s="371">
        <v>0</v>
      </c>
      <c r="T255" s="371">
        <v>0</v>
      </c>
      <c r="U255" s="371">
        <v>0</v>
      </c>
      <c r="V255" s="371">
        <v>0</v>
      </c>
      <c r="W255" s="371">
        <v>0</v>
      </c>
      <c r="X255" s="371">
        <v>0</v>
      </c>
      <c r="Y255" s="371">
        <v>0</v>
      </c>
      <c r="Z255" s="371">
        <v>0</v>
      </c>
      <c r="AA255" s="367">
        <v>0</v>
      </c>
      <c r="AB255" s="371">
        <v>0</v>
      </c>
      <c r="AC255" s="373">
        <v>0</v>
      </c>
      <c r="AD255" s="369">
        <v>60722.13</v>
      </c>
      <c r="AE255" s="444">
        <v>60722.13</v>
      </c>
      <c r="AF255" s="344">
        <f t="shared" si="18"/>
        <v>0</v>
      </c>
    </row>
    <row r="256" spans="1:32">
      <c r="A256" s="415" t="s">
        <v>846</v>
      </c>
      <c r="B256" s="382" t="s">
        <v>847</v>
      </c>
      <c r="C256" s="361">
        <f t="shared" si="19"/>
        <v>0</v>
      </c>
      <c r="D256" s="361">
        <f t="shared" si="20"/>
        <v>0</v>
      </c>
      <c r="E256" s="361">
        <f t="shared" si="21"/>
        <v>0</v>
      </c>
      <c r="F256" s="361">
        <f t="shared" si="22"/>
        <v>69577.319999999992</v>
      </c>
      <c r="G256" s="361">
        <f t="shared" si="23"/>
        <v>229273.2</v>
      </c>
      <c r="H256" s="371"/>
      <c r="I256" s="371"/>
      <c r="J256" s="371"/>
      <c r="K256" s="371"/>
      <c r="L256" s="371"/>
      <c r="M256" s="371"/>
      <c r="N256" s="371"/>
      <c r="O256" s="371"/>
      <c r="P256" s="371"/>
      <c r="Q256" s="371"/>
      <c r="R256" s="371">
        <v>0</v>
      </c>
      <c r="S256" s="371">
        <v>0</v>
      </c>
      <c r="T256" s="371">
        <v>0</v>
      </c>
      <c r="U256" s="371">
        <v>0</v>
      </c>
      <c r="V256" s="371">
        <v>69577.319999999992</v>
      </c>
      <c r="W256" s="371">
        <v>0</v>
      </c>
      <c r="X256" s="371">
        <v>0</v>
      </c>
      <c r="Y256" s="371">
        <v>229273.2</v>
      </c>
      <c r="Z256" s="371">
        <v>0</v>
      </c>
      <c r="AA256" s="367">
        <v>0</v>
      </c>
      <c r="AB256" s="371">
        <v>3899.789999999979</v>
      </c>
      <c r="AC256" s="373">
        <v>298850.52</v>
      </c>
      <c r="AD256" s="369">
        <v>402750.31</v>
      </c>
      <c r="AE256" s="444">
        <v>103899.79</v>
      </c>
      <c r="AF256" s="344">
        <f t="shared" si="18"/>
        <v>5.1507827419983144E-4</v>
      </c>
    </row>
    <row r="257" spans="1:32" ht="25.5">
      <c r="A257" s="390" t="s">
        <v>848</v>
      </c>
      <c r="B257" s="391" t="s">
        <v>849</v>
      </c>
      <c r="C257" s="361">
        <f t="shared" si="19"/>
        <v>0</v>
      </c>
      <c r="D257" s="361">
        <f t="shared" si="20"/>
        <v>0</v>
      </c>
      <c r="E257" s="361">
        <f t="shared" si="21"/>
        <v>0</v>
      </c>
      <c r="F257" s="361">
        <f t="shared" si="22"/>
        <v>0</v>
      </c>
      <c r="G257" s="361">
        <f t="shared" si="23"/>
        <v>6779620.2803030303</v>
      </c>
      <c r="H257" s="394">
        <v>0</v>
      </c>
      <c r="I257" s="394">
        <v>0</v>
      </c>
      <c r="J257" s="394">
        <v>0</v>
      </c>
      <c r="K257" s="394">
        <v>0</v>
      </c>
      <c r="L257" s="394">
        <v>0</v>
      </c>
      <c r="M257" s="394">
        <v>0</v>
      </c>
      <c r="N257" s="394">
        <v>0</v>
      </c>
      <c r="O257" s="394">
        <v>0</v>
      </c>
      <c r="P257" s="394">
        <v>0</v>
      </c>
      <c r="Q257" s="395">
        <v>0</v>
      </c>
      <c r="R257" s="394">
        <v>0</v>
      </c>
      <c r="S257" s="394">
        <v>0</v>
      </c>
      <c r="T257" s="394">
        <v>0</v>
      </c>
      <c r="U257" s="394">
        <v>0</v>
      </c>
      <c r="V257" s="394">
        <v>0</v>
      </c>
      <c r="W257" s="394">
        <v>0</v>
      </c>
      <c r="X257" s="394">
        <v>0</v>
      </c>
      <c r="Y257" s="394">
        <v>689193.44</v>
      </c>
      <c r="Z257" s="394">
        <v>859457.92999999993</v>
      </c>
      <c r="AA257" s="392">
        <v>5230968.9103030302</v>
      </c>
      <c r="AB257" s="394">
        <v>4182102.7196969702</v>
      </c>
      <c r="AC257" s="373">
        <v>6779620.2803030303</v>
      </c>
      <c r="AD257" s="373">
        <v>9242537.2399999984</v>
      </c>
      <c r="AE257" s="444">
        <v>2462916.96</v>
      </c>
      <c r="AF257" s="344">
        <f t="shared" si="18"/>
        <v>1.1684888865874023E-2</v>
      </c>
    </row>
    <row r="258" spans="1:32" ht="25.5">
      <c r="A258" s="455" t="s">
        <v>850</v>
      </c>
      <c r="B258" s="456" t="s">
        <v>851</v>
      </c>
      <c r="C258" s="361">
        <f t="shared" si="19"/>
        <v>0</v>
      </c>
      <c r="D258" s="361">
        <f t="shared" si="20"/>
        <v>0</v>
      </c>
      <c r="E258" s="361">
        <f t="shared" si="21"/>
        <v>0</v>
      </c>
      <c r="F258" s="361">
        <f t="shared" si="22"/>
        <v>0</v>
      </c>
      <c r="G258" s="361">
        <f t="shared" si="23"/>
        <v>4065352.6390909092</v>
      </c>
      <c r="H258" s="371">
        <v>0</v>
      </c>
      <c r="I258" s="371">
        <v>0</v>
      </c>
      <c r="J258" s="371">
        <v>0</v>
      </c>
      <c r="K258" s="371">
        <v>0</v>
      </c>
      <c r="L258" s="371">
        <v>0</v>
      </c>
      <c r="M258" s="371">
        <v>0</v>
      </c>
      <c r="N258" s="371">
        <v>0</v>
      </c>
      <c r="O258" s="371">
        <v>0</v>
      </c>
      <c r="P258" s="371">
        <v>0</v>
      </c>
      <c r="Q258" s="371">
        <v>0</v>
      </c>
      <c r="R258" s="371">
        <v>0</v>
      </c>
      <c r="S258" s="371">
        <v>0</v>
      </c>
      <c r="T258" s="371">
        <v>0</v>
      </c>
      <c r="U258" s="371">
        <v>0</v>
      </c>
      <c r="V258" s="371">
        <v>0</v>
      </c>
      <c r="W258" s="371">
        <v>0</v>
      </c>
      <c r="X258" s="371">
        <v>0</v>
      </c>
      <c r="Y258" s="371">
        <v>381905.33999999997</v>
      </c>
      <c r="Z258" s="371">
        <v>334895.40999999997</v>
      </c>
      <c r="AA258" s="367">
        <v>3348551.8890909092</v>
      </c>
      <c r="AB258" s="371">
        <v>1337900.5709090913</v>
      </c>
      <c r="AC258" s="373">
        <v>4065352.6390909092</v>
      </c>
      <c r="AD258" s="373">
        <v>3485158.92</v>
      </c>
      <c r="AE258" s="444">
        <v>-580193.72</v>
      </c>
      <c r="AF258" s="344">
        <f t="shared" si="18"/>
        <v>7.006763185008597E-3</v>
      </c>
    </row>
    <row r="259" spans="1:32">
      <c r="A259" s="455" t="s">
        <v>852</v>
      </c>
      <c r="B259" s="456" t="s">
        <v>853</v>
      </c>
      <c r="C259" s="361">
        <f t="shared" si="19"/>
        <v>0</v>
      </c>
      <c r="D259" s="361">
        <f t="shared" si="20"/>
        <v>0</v>
      </c>
      <c r="E259" s="361">
        <f t="shared" si="21"/>
        <v>0</v>
      </c>
      <c r="F259" s="361">
        <f t="shared" si="22"/>
        <v>0</v>
      </c>
      <c r="G259" s="361">
        <f t="shared" si="23"/>
        <v>1047382.191212121</v>
      </c>
      <c r="H259" s="371">
        <v>0</v>
      </c>
      <c r="I259" s="371">
        <v>0</v>
      </c>
      <c r="J259" s="371">
        <v>0</v>
      </c>
      <c r="K259" s="371">
        <v>0</v>
      </c>
      <c r="L259" s="371">
        <v>0</v>
      </c>
      <c r="M259" s="371">
        <v>0</v>
      </c>
      <c r="N259" s="371">
        <v>0</v>
      </c>
      <c r="O259" s="371">
        <v>0</v>
      </c>
      <c r="P259" s="371">
        <v>0</v>
      </c>
      <c r="Q259" s="371">
        <v>0</v>
      </c>
      <c r="R259" s="371">
        <v>0</v>
      </c>
      <c r="S259" s="371">
        <v>0</v>
      </c>
      <c r="T259" s="371">
        <v>0</v>
      </c>
      <c r="U259" s="371">
        <v>0</v>
      </c>
      <c r="V259" s="371">
        <v>0</v>
      </c>
      <c r="W259" s="371">
        <v>0</v>
      </c>
      <c r="X259" s="371">
        <v>0</v>
      </c>
      <c r="Y259" s="371">
        <v>81114.799999999988</v>
      </c>
      <c r="Z259" s="371">
        <v>56741.16</v>
      </c>
      <c r="AA259" s="367">
        <v>909526.23121212109</v>
      </c>
      <c r="AB259" s="371">
        <v>1036231.3287878789</v>
      </c>
      <c r="AC259" s="373">
        <v>1047382.1912121212</v>
      </c>
      <c r="AD259" s="373">
        <v>2288325.5599999996</v>
      </c>
      <c r="AE259" s="444">
        <v>1240943.3700000001</v>
      </c>
      <c r="AF259" s="344">
        <f t="shared" si="18"/>
        <v>1.8051961612018516E-3</v>
      </c>
    </row>
    <row r="260" spans="1:32">
      <c r="A260" s="455" t="s">
        <v>854</v>
      </c>
      <c r="B260" s="456" t="s">
        <v>855</v>
      </c>
      <c r="C260" s="361">
        <f t="shared" si="19"/>
        <v>0</v>
      </c>
      <c r="D260" s="361">
        <f t="shared" si="20"/>
        <v>0</v>
      </c>
      <c r="E260" s="361">
        <f t="shared" si="21"/>
        <v>0</v>
      </c>
      <c r="F260" s="361">
        <f t="shared" si="22"/>
        <v>0</v>
      </c>
      <c r="G260" s="361">
        <f t="shared" si="23"/>
        <v>1229615.7400000002</v>
      </c>
      <c r="H260" s="371">
        <v>0</v>
      </c>
      <c r="I260" s="371">
        <v>0</v>
      </c>
      <c r="J260" s="371">
        <v>0</v>
      </c>
      <c r="K260" s="371">
        <v>0</v>
      </c>
      <c r="L260" s="371">
        <v>0</v>
      </c>
      <c r="M260" s="371">
        <v>0</v>
      </c>
      <c r="N260" s="371">
        <v>0</v>
      </c>
      <c r="O260" s="371">
        <v>0</v>
      </c>
      <c r="P260" s="371">
        <v>0</v>
      </c>
      <c r="Q260" s="371">
        <v>0</v>
      </c>
      <c r="R260" s="371">
        <v>0</v>
      </c>
      <c r="S260" s="371">
        <v>0</v>
      </c>
      <c r="T260" s="371">
        <v>0</v>
      </c>
      <c r="U260" s="371">
        <v>0</v>
      </c>
      <c r="V260" s="371">
        <v>0</v>
      </c>
      <c r="W260" s="371">
        <v>0</v>
      </c>
      <c r="X260" s="371">
        <v>0</v>
      </c>
      <c r="Y260" s="371">
        <v>226173.3</v>
      </c>
      <c r="Z260" s="371">
        <v>342219.27</v>
      </c>
      <c r="AA260" s="367">
        <v>661223.17000000004</v>
      </c>
      <c r="AB260" s="371">
        <v>1807971.69</v>
      </c>
      <c r="AC260" s="373">
        <v>1229615.7400000002</v>
      </c>
      <c r="AD260" s="373">
        <v>2480032.7599999998</v>
      </c>
      <c r="AE260" s="444">
        <v>1250417.02</v>
      </c>
      <c r="AF260" s="344">
        <f t="shared" si="18"/>
        <v>2.1192814163018643E-3</v>
      </c>
    </row>
    <row r="261" spans="1:32">
      <c r="A261" s="455" t="s">
        <v>856</v>
      </c>
      <c r="B261" s="456" t="s">
        <v>857</v>
      </c>
      <c r="C261" s="361">
        <f t="shared" si="19"/>
        <v>0</v>
      </c>
      <c r="D261" s="361">
        <f t="shared" si="20"/>
        <v>0</v>
      </c>
      <c r="E261" s="361">
        <f t="shared" si="21"/>
        <v>0</v>
      </c>
      <c r="F261" s="361">
        <f t="shared" si="22"/>
        <v>0</v>
      </c>
      <c r="G261" s="361">
        <f t="shared" si="23"/>
        <v>0</v>
      </c>
      <c r="H261" s="371">
        <v>0</v>
      </c>
      <c r="I261" s="371">
        <v>0</v>
      </c>
      <c r="J261" s="371">
        <v>0</v>
      </c>
      <c r="K261" s="371">
        <v>0</v>
      </c>
      <c r="L261" s="371">
        <v>0</v>
      </c>
      <c r="M261" s="371">
        <v>0</v>
      </c>
      <c r="N261" s="371">
        <v>0</v>
      </c>
      <c r="O261" s="371">
        <v>0</v>
      </c>
      <c r="P261" s="371">
        <v>0</v>
      </c>
      <c r="Q261" s="371">
        <v>0</v>
      </c>
      <c r="R261" s="371">
        <v>0</v>
      </c>
      <c r="S261" s="371">
        <v>0</v>
      </c>
      <c r="T261" s="371">
        <v>0</v>
      </c>
      <c r="U261" s="371">
        <v>0</v>
      </c>
      <c r="V261" s="371">
        <v>0</v>
      </c>
      <c r="W261" s="371">
        <v>0</v>
      </c>
      <c r="X261" s="371">
        <v>0</v>
      </c>
      <c r="Y261" s="371">
        <v>0</v>
      </c>
      <c r="Z261" s="371">
        <v>0</v>
      </c>
      <c r="AA261" s="367">
        <v>0</v>
      </c>
      <c r="AB261" s="371">
        <v>0</v>
      </c>
      <c r="AC261" s="373">
        <v>0</v>
      </c>
      <c r="AD261" s="373">
        <v>30000</v>
      </c>
      <c r="AE261" s="444">
        <v>30000</v>
      </c>
      <c r="AF261" s="344">
        <f t="shared" ref="AF261:AF324" si="24">AC261/$AC$556</f>
        <v>0</v>
      </c>
    </row>
    <row r="262" spans="1:32">
      <c r="A262" s="457" t="s">
        <v>858</v>
      </c>
      <c r="B262" s="458" t="s">
        <v>859</v>
      </c>
      <c r="C262" s="361">
        <f t="shared" ref="C262:C325" si="25">SUM(H262:K262)</f>
        <v>0</v>
      </c>
      <c r="D262" s="361">
        <f t="shared" ref="D262:D325" si="26">SUM(L262:O262)</f>
        <v>0</v>
      </c>
      <c r="E262" s="361">
        <f t="shared" ref="E262:E325" si="27">SUM(P262:S262)</f>
        <v>0</v>
      </c>
      <c r="F262" s="361">
        <f t="shared" ref="F262:F325" si="28">SUM(T262:W262)</f>
        <v>0</v>
      </c>
      <c r="G262" s="361">
        <f t="shared" ref="G262:G325" si="29">SUM(X262:AA262)</f>
        <v>358804.58999999997</v>
      </c>
      <c r="H262" s="371">
        <v>0</v>
      </c>
      <c r="I262" s="371">
        <v>0</v>
      </c>
      <c r="J262" s="371">
        <v>0</v>
      </c>
      <c r="K262" s="371">
        <v>0</v>
      </c>
      <c r="L262" s="371">
        <v>0</v>
      </c>
      <c r="M262" s="371">
        <v>0</v>
      </c>
      <c r="N262" s="371">
        <v>0</v>
      </c>
      <c r="O262" s="371">
        <v>0</v>
      </c>
      <c r="P262" s="371">
        <v>0</v>
      </c>
      <c r="Q262" s="371">
        <v>0</v>
      </c>
      <c r="R262" s="371">
        <v>0</v>
      </c>
      <c r="S262" s="371">
        <v>0</v>
      </c>
      <c r="T262" s="371">
        <v>0</v>
      </c>
      <c r="U262" s="371">
        <v>0</v>
      </c>
      <c r="V262" s="371">
        <v>0</v>
      </c>
      <c r="W262" s="371">
        <v>0</v>
      </c>
      <c r="X262" s="371">
        <v>0</v>
      </c>
      <c r="Y262" s="371">
        <v>0</v>
      </c>
      <c r="Z262" s="371">
        <v>125602.09</v>
      </c>
      <c r="AA262" s="367">
        <v>233202.5</v>
      </c>
      <c r="AB262" s="371">
        <v>5.8207660913467407E-11</v>
      </c>
      <c r="AC262" s="373">
        <v>358804.58999999997</v>
      </c>
      <c r="AD262" s="373">
        <v>359020</v>
      </c>
      <c r="AE262" s="444">
        <v>215.41</v>
      </c>
      <c r="AF262" s="344">
        <f t="shared" si="24"/>
        <v>6.1841100022907124E-4</v>
      </c>
    </row>
    <row r="263" spans="1:32">
      <c r="A263" s="455" t="s">
        <v>860</v>
      </c>
      <c r="B263" s="456" t="s">
        <v>861</v>
      </c>
      <c r="C263" s="361">
        <f t="shared" si="25"/>
        <v>0</v>
      </c>
      <c r="D263" s="361">
        <f t="shared" si="26"/>
        <v>0</v>
      </c>
      <c r="E263" s="361">
        <f t="shared" si="27"/>
        <v>0</v>
      </c>
      <c r="F263" s="361">
        <f t="shared" si="28"/>
        <v>0</v>
      </c>
      <c r="G263" s="361">
        <f t="shared" si="29"/>
        <v>78465.119999999995</v>
      </c>
      <c r="H263" s="371">
        <v>0</v>
      </c>
      <c r="I263" s="371">
        <v>0</v>
      </c>
      <c r="J263" s="371">
        <v>0</v>
      </c>
      <c r="K263" s="371">
        <v>0</v>
      </c>
      <c r="L263" s="371">
        <v>0</v>
      </c>
      <c r="M263" s="371">
        <v>0</v>
      </c>
      <c r="N263" s="371">
        <v>0</v>
      </c>
      <c r="O263" s="371">
        <v>0</v>
      </c>
      <c r="P263" s="371">
        <v>0</v>
      </c>
      <c r="Q263" s="371">
        <v>0</v>
      </c>
      <c r="R263" s="371">
        <v>0</v>
      </c>
      <c r="S263" s="371">
        <v>0</v>
      </c>
      <c r="T263" s="371">
        <v>0</v>
      </c>
      <c r="U263" s="371">
        <v>0</v>
      </c>
      <c r="V263" s="371">
        <v>0</v>
      </c>
      <c r="W263" s="371">
        <v>0</v>
      </c>
      <c r="X263" s="371">
        <v>0</v>
      </c>
      <c r="Y263" s="371">
        <v>0</v>
      </c>
      <c r="Z263" s="372">
        <v>0</v>
      </c>
      <c r="AA263" s="367">
        <v>78465.119999999995</v>
      </c>
      <c r="AB263" s="371">
        <v>-0.86999999999534339</v>
      </c>
      <c r="AC263" s="373">
        <v>78465.119999999995</v>
      </c>
      <c r="AD263" s="373">
        <v>600000</v>
      </c>
      <c r="AE263" s="444">
        <v>521534.88</v>
      </c>
      <c r="AF263" s="344">
        <f t="shared" si="24"/>
        <v>1.3523710313263857E-4</v>
      </c>
    </row>
    <row r="264" spans="1:32">
      <c r="A264" s="459" t="s">
        <v>862</v>
      </c>
      <c r="B264" s="460" t="s">
        <v>863</v>
      </c>
      <c r="C264" s="361">
        <f t="shared" si="25"/>
        <v>0</v>
      </c>
      <c r="D264" s="361">
        <f t="shared" si="26"/>
        <v>0</v>
      </c>
      <c r="E264" s="361">
        <f t="shared" si="27"/>
        <v>0</v>
      </c>
      <c r="F264" s="361">
        <f t="shared" si="28"/>
        <v>4093747.68</v>
      </c>
      <c r="G264" s="361">
        <f t="shared" si="29"/>
        <v>-4093747.6799999997</v>
      </c>
      <c r="H264" s="394">
        <v>0</v>
      </c>
      <c r="I264" s="394">
        <v>0</v>
      </c>
      <c r="J264" s="394">
        <v>0</v>
      </c>
      <c r="K264" s="394">
        <v>0</v>
      </c>
      <c r="L264" s="394">
        <v>0</v>
      </c>
      <c r="M264" s="394">
        <v>0</v>
      </c>
      <c r="N264" s="394">
        <v>0</v>
      </c>
      <c r="O264" s="394">
        <v>0</v>
      </c>
      <c r="P264" s="394">
        <v>0</v>
      </c>
      <c r="Q264" s="394">
        <v>0</v>
      </c>
      <c r="R264" s="394">
        <v>0</v>
      </c>
      <c r="S264" s="394">
        <v>0</v>
      </c>
      <c r="T264" s="394">
        <v>627439.07999999996</v>
      </c>
      <c r="U264" s="394">
        <v>1166260.26</v>
      </c>
      <c r="V264" s="394">
        <v>1044597.4099999999</v>
      </c>
      <c r="W264" s="394">
        <v>1255450.9300000002</v>
      </c>
      <c r="X264" s="394">
        <v>1122909.79</v>
      </c>
      <c r="Y264" s="461">
        <v>-5216657.47</v>
      </c>
      <c r="Z264" s="462">
        <v>0</v>
      </c>
      <c r="AA264" s="463">
        <v>0</v>
      </c>
      <c r="AB264" s="463">
        <v>0</v>
      </c>
      <c r="AC264" s="373">
        <v>0</v>
      </c>
      <c r="AD264" s="373">
        <v>0</v>
      </c>
      <c r="AE264" s="444">
        <v>0</v>
      </c>
      <c r="AF264" s="344">
        <f t="shared" si="24"/>
        <v>0</v>
      </c>
    </row>
    <row r="265" spans="1:32">
      <c r="A265" s="464" t="s">
        <v>864</v>
      </c>
      <c r="B265" s="382" t="s">
        <v>865</v>
      </c>
      <c r="C265" s="361">
        <f t="shared" si="25"/>
        <v>0</v>
      </c>
      <c r="D265" s="361">
        <f t="shared" si="26"/>
        <v>0</v>
      </c>
      <c r="E265" s="361">
        <f t="shared" si="27"/>
        <v>0</v>
      </c>
      <c r="F265" s="361">
        <f t="shared" si="28"/>
        <v>0</v>
      </c>
      <c r="G265" s="361">
        <f t="shared" si="29"/>
        <v>2613800.5472727269</v>
      </c>
      <c r="H265" s="394"/>
      <c r="I265" s="394"/>
      <c r="J265" s="394"/>
      <c r="K265" s="394"/>
      <c r="L265" s="394"/>
      <c r="M265" s="394"/>
      <c r="N265" s="394"/>
      <c r="O265" s="394"/>
      <c r="P265" s="394"/>
      <c r="Q265" s="394"/>
      <c r="R265" s="394"/>
      <c r="S265" s="394"/>
      <c r="T265" s="394"/>
      <c r="U265" s="394"/>
      <c r="V265" s="394"/>
      <c r="W265" s="394"/>
      <c r="X265" s="394"/>
      <c r="Y265" s="371">
        <v>769136.79</v>
      </c>
      <c r="Z265" s="372">
        <v>503371.63</v>
      </c>
      <c r="AA265" s="367">
        <v>1341292.1272727272</v>
      </c>
      <c r="AB265" s="371">
        <v>-0.30727272713556886</v>
      </c>
      <c r="AC265" s="373">
        <v>2613800.5472727269</v>
      </c>
      <c r="AD265" s="373">
        <v>2354695.0100000002</v>
      </c>
      <c r="AE265" s="444">
        <v>-259105.54</v>
      </c>
      <c r="AF265" s="344">
        <f t="shared" si="24"/>
        <v>4.5049674833820292E-3</v>
      </c>
    </row>
    <row r="266" spans="1:32">
      <c r="A266" s="464" t="s">
        <v>866</v>
      </c>
      <c r="B266" s="382" t="s">
        <v>867</v>
      </c>
      <c r="C266" s="361">
        <f t="shared" si="25"/>
        <v>0</v>
      </c>
      <c r="D266" s="361">
        <f t="shared" si="26"/>
        <v>0</v>
      </c>
      <c r="E266" s="361">
        <f t="shared" si="27"/>
        <v>0</v>
      </c>
      <c r="F266" s="361">
        <f t="shared" si="28"/>
        <v>0</v>
      </c>
      <c r="G266" s="361">
        <f t="shared" si="29"/>
        <v>5818491.6045454554</v>
      </c>
      <c r="H266" s="394"/>
      <c r="I266" s="394"/>
      <c r="J266" s="394"/>
      <c r="K266" s="394"/>
      <c r="L266" s="394"/>
      <c r="M266" s="394"/>
      <c r="N266" s="394"/>
      <c r="O266" s="394"/>
      <c r="P266" s="394"/>
      <c r="Q266" s="394"/>
      <c r="R266" s="394"/>
      <c r="S266" s="394"/>
      <c r="T266" s="394"/>
      <c r="U266" s="394"/>
      <c r="V266" s="394"/>
      <c r="W266" s="394"/>
      <c r="X266" s="394"/>
      <c r="Y266" s="371">
        <v>2092379.6</v>
      </c>
      <c r="Z266" s="372">
        <v>1182192.68</v>
      </c>
      <c r="AA266" s="367">
        <v>2543919.3245454547</v>
      </c>
      <c r="AB266" s="371">
        <v>0.21545454580336809</v>
      </c>
      <c r="AC266" s="373">
        <v>5818491.6045454554</v>
      </c>
      <c r="AD266" s="373">
        <v>4228291.03</v>
      </c>
      <c r="AE266" s="444">
        <v>-1590200.57</v>
      </c>
      <c r="AF266" s="344">
        <f t="shared" si="24"/>
        <v>1.0028353352423415E-2</v>
      </c>
    </row>
    <row r="267" spans="1:32">
      <c r="A267" s="464" t="s">
        <v>868</v>
      </c>
      <c r="B267" s="382" t="s">
        <v>869</v>
      </c>
      <c r="C267" s="361">
        <f t="shared" si="25"/>
        <v>0</v>
      </c>
      <c r="D267" s="361">
        <f t="shared" si="26"/>
        <v>0</v>
      </c>
      <c r="E267" s="361">
        <f t="shared" si="27"/>
        <v>0</v>
      </c>
      <c r="F267" s="361">
        <f t="shared" si="28"/>
        <v>0</v>
      </c>
      <c r="G267" s="361">
        <f t="shared" si="29"/>
        <v>3636935.7784848483</v>
      </c>
      <c r="H267" s="394"/>
      <c r="I267" s="394"/>
      <c r="J267" s="394"/>
      <c r="K267" s="394"/>
      <c r="L267" s="394"/>
      <c r="M267" s="394"/>
      <c r="N267" s="394"/>
      <c r="O267" s="394"/>
      <c r="P267" s="394"/>
      <c r="Q267" s="394"/>
      <c r="R267" s="394"/>
      <c r="S267" s="394"/>
      <c r="T267" s="394"/>
      <c r="U267" s="394"/>
      <c r="V267" s="394"/>
      <c r="W267" s="394"/>
      <c r="X267" s="394"/>
      <c r="Y267" s="371">
        <v>1894191.0999999999</v>
      </c>
      <c r="Z267" s="372">
        <v>393751.43</v>
      </c>
      <c r="AA267" s="367">
        <v>1348993.2484848485</v>
      </c>
      <c r="AB267" s="371">
        <v>5.1515151048079133E-2</v>
      </c>
      <c r="AC267" s="373">
        <v>3636935.7784848488</v>
      </c>
      <c r="AD267" s="373">
        <v>4268799.2300000004</v>
      </c>
      <c r="AE267" s="444">
        <v>631863.44999999995</v>
      </c>
      <c r="AF267" s="344">
        <f t="shared" si="24"/>
        <v>6.2683732461218276E-3</v>
      </c>
    </row>
    <row r="268" spans="1:32">
      <c r="A268" s="464" t="s">
        <v>870</v>
      </c>
      <c r="B268" s="382" t="s">
        <v>871</v>
      </c>
      <c r="C268" s="361">
        <f t="shared" si="25"/>
        <v>0</v>
      </c>
      <c r="D268" s="361">
        <f t="shared" si="26"/>
        <v>0</v>
      </c>
      <c r="E268" s="361">
        <f t="shared" si="27"/>
        <v>0</v>
      </c>
      <c r="F268" s="361">
        <f t="shared" si="28"/>
        <v>0</v>
      </c>
      <c r="G268" s="361">
        <f t="shared" si="29"/>
        <v>3492885.5572727276</v>
      </c>
      <c r="H268" s="394"/>
      <c r="I268" s="394"/>
      <c r="J268" s="394"/>
      <c r="K268" s="394"/>
      <c r="L268" s="394"/>
      <c r="M268" s="394"/>
      <c r="N268" s="394"/>
      <c r="O268" s="394"/>
      <c r="P268" s="394"/>
      <c r="Q268" s="394"/>
      <c r="R268" s="394"/>
      <c r="S268" s="394"/>
      <c r="T268" s="394"/>
      <c r="U268" s="394"/>
      <c r="V268" s="394"/>
      <c r="W268" s="394"/>
      <c r="X268" s="394"/>
      <c r="Y268" s="371">
        <v>2364678.3600000003</v>
      </c>
      <c r="Z268" s="372">
        <v>405846.55</v>
      </c>
      <c r="AA268" s="367">
        <v>722360.64727272722</v>
      </c>
      <c r="AB268" s="371">
        <v>-0.37727272743359208</v>
      </c>
      <c r="AC268" s="373">
        <v>3492885.5572727267</v>
      </c>
      <c r="AD268" s="373">
        <v>3342691.05</v>
      </c>
      <c r="AE268" s="444">
        <v>-150194.51</v>
      </c>
      <c r="AF268" s="344">
        <f t="shared" si="24"/>
        <v>6.0200981574920877E-3</v>
      </c>
    </row>
    <row r="269" spans="1:32">
      <c r="A269" s="393" t="s">
        <v>872</v>
      </c>
      <c r="B269" s="391" t="s">
        <v>873</v>
      </c>
      <c r="C269" s="361">
        <f t="shared" si="25"/>
        <v>174684.51</v>
      </c>
      <c r="D269" s="361">
        <f t="shared" si="26"/>
        <v>443255.48</v>
      </c>
      <c r="E269" s="361">
        <f t="shared" si="27"/>
        <v>15938.029999999999</v>
      </c>
      <c r="F269" s="361">
        <f t="shared" si="28"/>
        <v>0</v>
      </c>
      <c r="G269" s="361">
        <f t="shared" si="29"/>
        <v>40004.51</v>
      </c>
      <c r="H269" s="394">
        <v>0</v>
      </c>
      <c r="I269" s="394">
        <v>0</v>
      </c>
      <c r="J269" s="394">
        <v>0</v>
      </c>
      <c r="K269" s="394">
        <v>174684.51</v>
      </c>
      <c r="L269" s="394">
        <v>27187.39</v>
      </c>
      <c r="M269" s="394">
        <v>0</v>
      </c>
      <c r="N269" s="394">
        <v>166518.18</v>
      </c>
      <c r="O269" s="394">
        <v>249549.91</v>
      </c>
      <c r="P269" s="394">
        <v>15938.029999999999</v>
      </c>
      <c r="Q269" s="395">
        <v>0</v>
      </c>
      <c r="R269" s="394">
        <v>0</v>
      </c>
      <c r="S269" s="394">
        <v>0</v>
      </c>
      <c r="T269" s="394">
        <v>0</v>
      </c>
      <c r="U269" s="394">
        <v>0</v>
      </c>
      <c r="V269" s="394">
        <v>0</v>
      </c>
      <c r="W269" s="394">
        <v>0</v>
      </c>
      <c r="X269" s="394">
        <v>40004.51</v>
      </c>
      <c r="Y269" s="394">
        <v>0</v>
      </c>
      <c r="Z269" s="394">
        <v>0</v>
      </c>
      <c r="AA269" s="392">
        <v>0</v>
      </c>
      <c r="AB269" s="394">
        <v>0</v>
      </c>
      <c r="AC269" s="373">
        <v>673882.53</v>
      </c>
      <c r="AD269" s="373">
        <v>673882.53</v>
      </c>
      <c r="AE269" s="444">
        <v>0</v>
      </c>
      <c r="AF269" s="344">
        <f t="shared" si="24"/>
        <v>1.1614577433755715E-3</v>
      </c>
    </row>
    <row r="270" spans="1:32">
      <c r="A270" s="428" t="s">
        <v>872</v>
      </c>
      <c r="B270" s="382" t="s">
        <v>873</v>
      </c>
      <c r="C270" s="361">
        <f t="shared" si="25"/>
        <v>174684.51</v>
      </c>
      <c r="D270" s="361">
        <f t="shared" si="26"/>
        <v>435518.24</v>
      </c>
      <c r="E270" s="361">
        <f t="shared" si="27"/>
        <v>1844</v>
      </c>
      <c r="F270" s="361">
        <f t="shared" si="28"/>
        <v>0</v>
      </c>
      <c r="G270" s="361">
        <f t="shared" si="29"/>
        <v>0</v>
      </c>
      <c r="H270" s="371">
        <v>0</v>
      </c>
      <c r="I270" s="371">
        <v>0</v>
      </c>
      <c r="J270" s="371">
        <v>0</v>
      </c>
      <c r="K270" s="371">
        <v>174684.51</v>
      </c>
      <c r="L270" s="371">
        <v>19450.150000000001</v>
      </c>
      <c r="M270" s="371">
        <v>0</v>
      </c>
      <c r="N270" s="371">
        <v>166518.18</v>
      </c>
      <c r="O270" s="371">
        <v>249549.91</v>
      </c>
      <c r="P270" s="371">
        <v>1844</v>
      </c>
      <c r="Q270" s="371">
        <v>0</v>
      </c>
      <c r="R270" s="371">
        <v>0</v>
      </c>
      <c r="S270" s="371">
        <v>0</v>
      </c>
      <c r="T270" s="371">
        <v>0</v>
      </c>
      <c r="U270" s="371">
        <v>0</v>
      </c>
      <c r="V270" s="371">
        <v>0</v>
      </c>
      <c r="W270" s="371">
        <v>0</v>
      </c>
      <c r="X270" s="371">
        <v>0</v>
      </c>
      <c r="Y270" s="371">
        <v>0</v>
      </c>
      <c r="Z270" s="371">
        <v>0</v>
      </c>
      <c r="AA270" s="367">
        <v>0</v>
      </c>
      <c r="AB270" s="371">
        <v>0</v>
      </c>
      <c r="AC270" s="373">
        <v>612046.75</v>
      </c>
      <c r="AD270" s="373">
        <v>612046.75</v>
      </c>
      <c r="AE270" s="444">
        <v>0</v>
      </c>
      <c r="AF270" s="344">
        <f t="shared" si="24"/>
        <v>1.0548818309555413E-3</v>
      </c>
    </row>
    <row r="271" spans="1:32">
      <c r="A271" s="428" t="s">
        <v>874</v>
      </c>
      <c r="B271" s="382" t="s">
        <v>875</v>
      </c>
      <c r="C271" s="361">
        <f t="shared" si="25"/>
        <v>0</v>
      </c>
      <c r="D271" s="361">
        <f t="shared" si="26"/>
        <v>7737.24</v>
      </c>
      <c r="E271" s="361">
        <f t="shared" si="27"/>
        <v>14094.029999999999</v>
      </c>
      <c r="F271" s="361">
        <f t="shared" si="28"/>
        <v>0</v>
      </c>
      <c r="G271" s="361">
        <f t="shared" si="29"/>
        <v>0</v>
      </c>
      <c r="H271" s="371">
        <v>0</v>
      </c>
      <c r="I271" s="371">
        <v>0</v>
      </c>
      <c r="J271" s="371">
        <v>0</v>
      </c>
      <c r="K271" s="371">
        <v>0</v>
      </c>
      <c r="L271" s="371">
        <v>7737.24</v>
      </c>
      <c r="M271" s="371">
        <v>0</v>
      </c>
      <c r="N271" s="371">
        <v>0</v>
      </c>
      <c r="O271" s="371">
        <v>0</v>
      </c>
      <c r="P271" s="371">
        <v>14094.029999999999</v>
      </c>
      <c r="Q271" s="371">
        <v>0</v>
      </c>
      <c r="R271" s="371">
        <v>0</v>
      </c>
      <c r="S271" s="371">
        <v>0</v>
      </c>
      <c r="T271" s="371">
        <v>0</v>
      </c>
      <c r="U271" s="371">
        <v>0</v>
      </c>
      <c r="V271" s="371">
        <v>0</v>
      </c>
      <c r="W271" s="371">
        <v>0</v>
      </c>
      <c r="X271" s="371">
        <v>0</v>
      </c>
      <c r="Y271" s="371">
        <v>0</v>
      </c>
      <c r="Z271" s="371">
        <v>0</v>
      </c>
      <c r="AA271" s="367">
        <v>0</v>
      </c>
      <c r="AB271" s="371">
        <v>0</v>
      </c>
      <c r="AC271" s="373">
        <v>21831.27</v>
      </c>
      <c r="AD271" s="373">
        <v>21831.27</v>
      </c>
      <c r="AE271" s="444">
        <v>0</v>
      </c>
      <c r="AF271" s="344">
        <f t="shared" si="24"/>
        <v>3.762688074021271E-5</v>
      </c>
    </row>
    <row r="272" spans="1:32" ht="25.5">
      <c r="A272" s="428" t="s">
        <v>876</v>
      </c>
      <c r="B272" s="382" t="s">
        <v>877</v>
      </c>
      <c r="C272" s="361">
        <f t="shared" si="25"/>
        <v>0</v>
      </c>
      <c r="D272" s="361">
        <f t="shared" si="26"/>
        <v>0</v>
      </c>
      <c r="E272" s="361">
        <f t="shared" si="27"/>
        <v>0</v>
      </c>
      <c r="F272" s="361">
        <f t="shared" si="28"/>
        <v>0</v>
      </c>
      <c r="G272" s="361">
        <f t="shared" si="29"/>
        <v>40004.51</v>
      </c>
      <c r="H272" s="371">
        <v>0</v>
      </c>
      <c r="I272" s="371">
        <v>0</v>
      </c>
      <c r="J272" s="371">
        <v>0</v>
      </c>
      <c r="K272" s="371">
        <v>0</v>
      </c>
      <c r="L272" s="371">
        <v>0</v>
      </c>
      <c r="M272" s="371">
        <v>0</v>
      </c>
      <c r="N272" s="371">
        <v>0</v>
      </c>
      <c r="O272" s="371">
        <v>0</v>
      </c>
      <c r="P272" s="371">
        <v>0</v>
      </c>
      <c r="Q272" s="371">
        <v>0</v>
      </c>
      <c r="R272" s="371">
        <v>0</v>
      </c>
      <c r="S272" s="371">
        <v>0</v>
      </c>
      <c r="T272" s="371">
        <v>0</v>
      </c>
      <c r="U272" s="371">
        <v>0</v>
      </c>
      <c r="V272" s="371">
        <v>0</v>
      </c>
      <c r="W272" s="371">
        <v>0</v>
      </c>
      <c r="X272" s="371">
        <v>40004.51</v>
      </c>
      <c r="Y272" s="371">
        <v>0</v>
      </c>
      <c r="Z272" s="371">
        <v>0</v>
      </c>
      <c r="AA272" s="367">
        <v>0</v>
      </c>
      <c r="AB272" s="371">
        <v>0</v>
      </c>
      <c r="AC272" s="373">
        <v>40004.51</v>
      </c>
      <c r="AD272" s="373">
        <v>40004.51</v>
      </c>
      <c r="AE272" s="444">
        <v>0</v>
      </c>
      <c r="AF272" s="344">
        <f t="shared" si="24"/>
        <v>6.8949031679817373E-5</v>
      </c>
    </row>
    <row r="273" spans="1:32">
      <c r="A273" s="393" t="s">
        <v>878</v>
      </c>
      <c r="B273" s="391" t="s">
        <v>879</v>
      </c>
      <c r="C273" s="361">
        <f t="shared" si="25"/>
        <v>0</v>
      </c>
      <c r="D273" s="361">
        <f t="shared" si="26"/>
        <v>293251.45999999996</v>
      </c>
      <c r="E273" s="361">
        <f t="shared" si="27"/>
        <v>1497063.62</v>
      </c>
      <c r="F273" s="361">
        <f t="shared" si="28"/>
        <v>87932</v>
      </c>
      <c r="G273" s="361">
        <f t="shared" si="29"/>
        <v>71831.831212121207</v>
      </c>
      <c r="H273" s="394">
        <v>0</v>
      </c>
      <c r="I273" s="394">
        <v>0</v>
      </c>
      <c r="J273" s="394">
        <v>0</v>
      </c>
      <c r="K273" s="394">
        <v>0</v>
      </c>
      <c r="L273" s="394">
        <v>3381.4700000000003</v>
      </c>
      <c r="M273" s="394">
        <v>167013.29999999999</v>
      </c>
      <c r="N273" s="394">
        <v>-25.22</v>
      </c>
      <c r="O273" s="394">
        <v>122881.91</v>
      </c>
      <c r="P273" s="394">
        <v>304637.31</v>
      </c>
      <c r="Q273" s="395">
        <v>65934.399999999994</v>
      </c>
      <c r="R273" s="394">
        <v>1126491.9100000001</v>
      </c>
      <c r="S273" s="394">
        <v>0</v>
      </c>
      <c r="T273" s="394">
        <v>87932</v>
      </c>
      <c r="U273" s="394">
        <v>0</v>
      </c>
      <c r="V273" s="394">
        <v>0</v>
      </c>
      <c r="W273" s="394">
        <v>0</v>
      </c>
      <c r="X273" s="394">
        <v>0</v>
      </c>
      <c r="Y273" s="394">
        <v>0</v>
      </c>
      <c r="Z273" s="394">
        <v>37119.619999999995</v>
      </c>
      <c r="AA273" s="392">
        <v>34712.211212121212</v>
      </c>
      <c r="AB273" s="394">
        <v>20465.538787878875</v>
      </c>
      <c r="AC273" s="373">
        <v>1950078.9112121214</v>
      </c>
      <c r="AD273" s="373">
        <v>1970544.7200000002</v>
      </c>
      <c r="AE273" s="444">
        <v>20465.810000000001</v>
      </c>
      <c r="AF273" s="344">
        <f t="shared" si="24"/>
        <v>3.3610223604115716E-3</v>
      </c>
    </row>
    <row r="274" spans="1:32">
      <c r="A274" s="428" t="s">
        <v>878</v>
      </c>
      <c r="B274" s="382" t="s">
        <v>880</v>
      </c>
      <c r="C274" s="361">
        <f t="shared" si="25"/>
        <v>0</v>
      </c>
      <c r="D274" s="361">
        <f t="shared" si="26"/>
        <v>222393.61</v>
      </c>
      <c r="E274" s="361">
        <f t="shared" si="27"/>
        <v>705058.21</v>
      </c>
      <c r="F274" s="361">
        <f t="shared" si="28"/>
        <v>87932</v>
      </c>
      <c r="G274" s="361">
        <f t="shared" si="29"/>
        <v>0</v>
      </c>
      <c r="H274" s="371">
        <v>0</v>
      </c>
      <c r="I274" s="371">
        <v>0</v>
      </c>
      <c r="J274" s="371">
        <v>0</v>
      </c>
      <c r="K274" s="371">
        <v>0</v>
      </c>
      <c r="L274" s="371">
        <v>0</v>
      </c>
      <c r="M274" s="371">
        <v>167013.29999999999</v>
      </c>
      <c r="N274" s="371">
        <v>-25.22</v>
      </c>
      <c r="O274" s="371">
        <v>55405.53</v>
      </c>
      <c r="P274" s="371">
        <v>304637.31</v>
      </c>
      <c r="Q274" s="371">
        <v>40272.400000000001</v>
      </c>
      <c r="R274" s="371">
        <v>360148.5</v>
      </c>
      <c r="S274" s="371">
        <v>0</v>
      </c>
      <c r="T274" s="371">
        <v>87932</v>
      </c>
      <c r="U274" s="371">
        <v>0</v>
      </c>
      <c r="V274" s="371">
        <v>0</v>
      </c>
      <c r="W274" s="371">
        <v>0</v>
      </c>
      <c r="X274" s="371">
        <v>0</v>
      </c>
      <c r="Y274" s="371">
        <v>0</v>
      </c>
      <c r="Z274" s="371">
        <v>0</v>
      </c>
      <c r="AA274" s="367">
        <v>0</v>
      </c>
      <c r="AB274" s="371">
        <v>-0.26999999990221113</v>
      </c>
      <c r="AC274" s="373">
        <v>1015383.82</v>
      </c>
      <c r="AD274" s="373">
        <v>1015383.8200000001</v>
      </c>
      <c r="AE274" s="444">
        <v>0</v>
      </c>
      <c r="AF274" s="344">
        <f t="shared" si="24"/>
        <v>1.7500459616266761E-3</v>
      </c>
    </row>
    <row r="275" spans="1:32">
      <c r="A275" s="428" t="s">
        <v>881</v>
      </c>
      <c r="B275" s="382" t="s">
        <v>879</v>
      </c>
      <c r="C275" s="361">
        <f t="shared" si="25"/>
        <v>0</v>
      </c>
      <c r="D275" s="361">
        <f t="shared" si="26"/>
        <v>3381.4700000000003</v>
      </c>
      <c r="E275" s="361">
        <f t="shared" si="27"/>
        <v>766343.41</v>
      </c>
      <c r="F275" s="361">
        <f t="shared" si="28"/>
        <v>0</v>
      </c>
      <c r="G275" s="361">
        <f t="shared" si="29"/>
        <v>0</v>
      </c>
      <c r="H275" s="371">
        <v>0</v>
      </c>
      <c r="I275" s="371">
        <v>0</v>
      </c>
      <c r="J275" s="371">
        <v>0</v>
      </c>
      <c r="K275" s="371">
        <v>0</v>
      </c>
      <c r="L275" s="371">
        <v>3381.4700000000003</v>
      </c>
      <c r="M275" s="371">
        <v>0</v>
      </c>
      <c r="N275" s="371">
        <v>0</v>
      </c>
      <c r="O275" s="371">
        <v>0</v>
      </c>
      <c r="P275" s="371">
        <v>0</v>
      </c>
      <c r="Q275" s="371">
        <v>0</v>
      </c>
      <c r="R275" s="371">
        <v>766343.41</v>
      </c>
      <c r="S275" s="371">
        <v>0</v>
      </c>
      <c r="T275" s="371">
        <v>0</v>
      </c>
      <c r="U275" s="371">
        <v>0</v>
      </c>
      <c r="V275" s="371">
        <v>0</v>
      </c>
      <c r="W275" s="371">
        <v>0</v>
      </c>
      <c r="X275" s="371">
        <v>0</v>
      </c>
      <c r="Y275" s="371">
        <v>0</v>
      </c>
      <c r="Z275" s="371">
        <v>0</v>
      </c>
      <c r="AA275" s="367">
        <v>0</v>
      </c>
      <c r="AB275" s="371">
        <v>0</v>
      </c>
      <c r="AC275" s="373">
        <v>769724.88</v>
      </c>
      <c r="AD275" s="373">
        <v>769724.88</v>
      </c>
      <c r="AE275" s="444">
        <v>0</v>
      </c>
      <c r="AF275" s="344">
        <f t="shared" si="24"/>
        <v>1.326645049167297E-3</v>
      </c>
    </row>
    <row r="276" spans="1:32">
      <c r="A276" s="428" t="s">
        <v>882</v>
      </c>
      <c r="B276" s="382" t="s">
        <v>883</v>
      </c>
      <c r="C276" s="361">
        <f t="shared" si="25"/>
        <v>0</v>
      </c>
      <c r="D276" s="361">
        <f t="shared" si="26"/>
        <v>67476.38</v>
      </c>
      <c r="E276" s="361">
        <f t="shared" si="27"/>
        <v>25662</v>
      </c>
      <c r="F276" s="361">
        <f t="shared" si="28"/>
        <v>0</v>
      </c>
      <c r="G276" s="361">
        <f t="shared" si="29"/>
        <v>71831.831212121207</v>
      </c>
      <c r="H276" s="371">
        <v>0</v>
      </c>
      <c r="I276" s="371">
        <v>0</v>
      </c>
      <c r="J276" s="371">
        <v>0</v>
      </c>
      <c r="K276" s="371">
        <v>0</v>
      </c>
      <c r="L276" s="371">
        <v>0</v>
      </c>
      <c r="M276" s="371">
        <v>0</v>
      </c>
      <c r="N276" s="371">
        <v>0</v>
      </c>
      <c r="O276" s="371">
        <v>67476.38</v>
      </c>
      <c r="P276" s="371">
        <v>0</v>
      </c>
      <c r="Q276" s="371">
        <v>25662</v>
      </c>
      <c r="R276" s="371">
        <v>0</v>
      </c>
      <c r="S276" s="371">
        <v>0</v>
      </c>
      <c r="T276" s="371">
        <v>0</v>
      </c>
      <c r="U276" s="371">
        <v>0</v>
      </c>
      <c r="V276" s="371">
        <v>0</v>
      </c>
      <c r="W276" s="371">
        <v>0</v>
      </c>
      <c r="X276" s="371">
        <v>0</v>
      </c>
      <c r="Y276" s="371">
        <v>0</v>
      </c>
      <c r="Z276" s="371">
        <v>37119.619999999995</v>
      </c>
      <c r="AA276" s="367">
        <v>34712.211212121212</v>
      </c>
      <c r="AB276" s="371">
        <v>20465.808787878777</v>
      </c>
      <c r="AC276" s="373">
        <v>164970.21121212121</v>
      </c>
      <c r="AD276" s="373">
        <v>185436.02</v>
      </c>
      <c r="AE276" s="444">
        <v>20465.810000000001</v>
      </c>
      <c r="AF276" s="344">
        <f t="shared" si="24"/>
        <v>2.8433134961759835E-4</v>
      </c>
    </row>
    <row r="277" spans="1:32">
      <c r="A277" s="393" t="s">
        <v>884</v>
      </c>
      <c r="B277" s="391" t="s">
        <v>885</v>
      </c>
      <c r="C277" s="361">
        <f t="shared" si="25"/>
        <v>0</v>
      </c>
      <c r="D277" s="361">
        <f t="shared" si="26"/>
        <v>0</v>
      </c>
      <c r="E277" s="361">
        <f t="shared" si="27"/>
        <v>0</v>
      </c>
      <c r="F277" s="361">
        <f t="shared" si="28"/>
        <v>816290.57000000007</v>
      </c>
      <c r="G277" s="361">
        <f t="shared" si="29"/>
        <v>742897.41999999993</v>
      </c>
      <c r="H277" s="394">
        <v>0</v>
      </c>
      <c r="I277" s="394">
        <v>0</v>
      </c>
      <c r="J277" s="394">
        <v>0</v>
      </c>
      <c r="K277" s="394">
        <v>0</v>
      </c>
      <c r="L277" s="394">
        <v>0</v>
      </c>
      <c r="M277" s="394">
        <v>0</v>
      </c>
      <c r="N277" s="394">
        <v>0</v>
      </c>
      <c r="O277" s="394">
        <v>0</v>
      </c>
      <c r="P277" s="394">
        <v>0</v>
      </c>
      <c r="Q277" s="395">
        <v>0</v>
      </c>
      <c r="R277" s="394">
        <v>0</v>
      </c>
      <c r="S277" s="394">
        <v>0</v>
      </c>
      <c r="T277" s="394">
        <v>0</v>
      </c>
      <c r="U277" s="394">
        <v>284597.8</v>
      </c>
      <c r="V277" s="394">
        <v>248591.99</v>
      </c>
      <c r="W277" s="394">
        <v>283100.78000000003</v>
      </c>
      <c r="X277" s="394">
        <v>161684.29</v>
      </c>
      <c r="Y277" s="394">
        <v>0</v>
      </c>
      <c r="Z277" s="394">
        <v>111113.66</v>
      </c>
      <c r="AA277" s="392">
        <v>470099.47</v>
      </c>
      <c r="AB277" s="394">
        <v>1014552.9799999999</v>
      </c>
      <c r="AC277" s="373">
        <v>1559187.99</v>
      </c>
      <c r="AD277" s="373">
        <v>2892080.92</v>
      </c>
      <c r="AE277" s="444">
        <v>1332892.93</v>
      </c>
      <c r="AF277" s="344">
        <f t="shared" si="24"/>
        <v>2.687309558779767E-3</v>
      </c>
    </row>
    <row r="278" spans="1:32" ht="38.25">
      <c r="A278" s="411" t="s">
        <v>886</v>
      </c>
      <c r="B278" s="366" t="s">
        <v>885</v>
      </c>
      <c r="C278" s="361">
        <f t="shared" si="25"/>
        <v>0</v>
      </c>
      <c r="D278" s="361">
        <f t="shared" si="26"/>
        <v>0</v>
      </c>
      <c r="E278" s="361">
        <f t="shared" si="27"/>
        <v>0</v>
      </c>
      <c r="F278" s="361">
        <f t="shared" si="28"/>
        <v>816290.57000000007</v>
      </c>
      <c r="G278" s="361">
        <f t="shared" si="29"/>
        <v>742897.41999999993</v>
      </c>
      <c r="H278" s="371">
        <v>0</v>
      </c>
      <c r="I278" s="371">
        <v>0</v>
      </c>
      <c r="J278" s="371">
        <v>0</v>
      </c>
      <c r="K278" s="371">
        <v>0</v>
      </c>
      <c r="L278" s="371">
        <v>0</v>
      </c>
      <c r="M278" s="371">
        <v>0</v>
      </c>
      <c r="N278" s="371">
        <v>0</v>
      </c>
      <c r="O278" s="371">
        <v>0</v>
      </c>
      <c r="P278" s="371">
        <v>0</v>
      </c>
      <c r="Q278" s="371">
        <v>0</v>
      </c>
      <c r="R278" s="371">
        <v>0</v>
      </c>
      <c r="S278" s="371">
        <v>0</v>
      </c>
      <c r="T278" s="371">
        <v>0</v>
      </c>
      <c r="U278" s="371">
        <v>284597.8</v>
      </c>
      <c r="V278" s="371">
        <v>248591.99</v>
      </c>
      <c r="W278" s="371">
        <v>283100.78000000003</v>
      </c>
      <c r="X278" s="371">
        <v>161684.29</v>
      </c>
      <c r="Y278" s="371">
        <v>0</v>
      </c>
      <c r="Z278" s="371">
        <v>111113.66</v>
      </c>
      <c r="AA278" s="367">
        <v>470099.47</v>
      </c>
      <c r="AB278" s="371">
        <v>1014552.9799999999</v>
      </c>
      <c r="AC278" s="373">
        <v>1559187.99</v>
      </c>
      <c r="AD278" s="373">
        <v>2892080.92</v>
      </c>
      <c r="AE278" s="444">
        <v>1332892.93</v>
      </c>
      <c r="AF278" s="344">
        <f t="shared" si="24"/>
        <v>2.687309558779767E-3</v>
      </c>
    </row>
    <row r="279" spans="1:32">
      <c r="A279" s="393" t="s">
        <v>887</v>
      </c>
      <c r="B279" s="391" t="s">
        <v>888</v>
      </c>
      <c r="C279" s="361">
        <f t="shared" si="25"/>
        <v>0</v>
      </c>
      <c r="D279" s="361">
        <f t="shared" si="26"/>
        <v>0</v>
      </c>
      <c r="E279" s="361">
        <f t="shared" si="27"/>
        <v>0</v>
      </c>
      <c r="F279" s="361">
        <f t="shared" si="28"/>
        <v>0</v>
      </c>
      <c r="G279" s="361">
        <f t="shared" si="29"/>
        <v>273828</v>
      </c>
      <c r="H279" s="394">
        <v>0</v>
      </c>
      <c r="I279" s="394">
        <v>0</v>
      </c>
      <c r="J279" s="394">
        <v>0</v>
      </c>
      <c r="K279" s="394">
        <v>0</v>
      </c>
      <c r="L279" s="394">
        <v>0</v>
      </c>
      <c r="M279" s="394">
        <v>0</v>
      </c>
      <c r="N279" s="394">
        <v>0</v>
      </c>
      <c r="O279" s="394">
        <v>0</v>
      </c>
      <c r="P279" s="394">
        <v>0</v>
      </c>
      <c r="Q279" s="395">
        <v>0</v>
      </c>
      <c r="R279" s="394">
        <v>0</v>
      </c>
      <c r="S279" s="394">
        <v>0</v>
      </c>
      <c r="T279" s="394">
        <v>0</v>
      </c>
      <c r="U279" s="394">
        <v>0</v>
      </c>
      <c r="V279" s="394">
        <v>0</v>
      </c>
      <c r="W279" s="394">
        <v>0</v>
      </c>
      <c r="X279" s="394">
        <v>0</v>
      </c>
      <c r="Y279" s="394">
        <v>0</v>
      </c>
      <c r="Z279" s="394">
        <v>0</v>
      </c>
      <c r="AA279" s="392">
        <v>273828</v>
      </c>
      <c r="AB279" s="394">
        <v>0</v>
      </c>
      <c r="AC279" s="373">
        <v>273828</v>
      </c>
      <c r="AD279" s="373">
        <v>8612069</v>
      </c>
      <c r="AE279" s="444">
        <v>8338241</v>
      </c>
      <c r="AF279" s="344">
        <f t="shared" si="24"/>
        <v>4.7195117367569386E-4</v>
      </c>
    </row>
    <row r="280" spans="1:32">
      <c r="A280" s="415" t="s">
        <v>889</v>
      </c>
      <c r="B280" s="366" t="s">
        <v>888</v>
      </c>
      <c r="C280" s="361">
        <f t="shared" si="25"/>
        <v>0</v>
      </c>
      <c r="D280" s="361">
        <f t="shared" si="26"/>
        <v>0</v>
      </c>
      <c r="E280" s="361">
        <f t="shared" si="27"/>
        <v>0</v>
      </c>
      <c r="F280" s="361">
        <f t="shared" si="28"/>
        <v>0</v>
      </c>
      <c r="G280" s="361">
        <f t="shared" si="29"/>
        <v>0</v>
      </c>
      <c r="H280" s="374">
        <v>0</v>
      </c>
      <c r="I280" s="374">
        <v>0</v>
      </c>
      <c r="J280" s="374">
        <v>0</v>
      </c>
      <c r="K280" s="374">
        <v>0</v>
      </c>
      <c r="L280" s="374">
        <v>0</v>
      </c>
      <c r="M280" s="374">
        <v>0</v>
      </c>
      <c r="N280" s="374">
        <v>0</v>
      </c>
      <c r="O280" s="374">
        <v>0</v>
      </c>
      <c r="P280" s="374">
        <v>0</v>
      </c>
      <c r="Q280" s="374">
        <v>0</v>
      </c>
      <c r="R280" s="374">
        <v>0</v>
      </c>
      <c r="S280" s="374">
        <v>0</v>
      </c>
      <c r="T280" s="374">
        <v>0</v>
      </c>
      <c r="U280" s="374">
        <v>0</v>
      </c>
      <c r="V280" s="374">
        <v>0</v>
      </c>
      <c r="W280" s="374">
        <v>0</v>
      </c>
      <c r="X280" s="374">
        <v>0</v>
      </c>
      <c r="Y280" s="374">
        <v>0</v>
      </c>
      <c r="Z280" s="383">
        <v>0</v>
      </c>
      <c r="AA280" s="367">
        <v>0</v>
      </c>
      <c r="AB280" s="374">
        <v>0</v>
      </c>
      <c r="AC280" s="373">
        <v>0</v>
      </c>
      <c r="AD280" s="373">
        <v>8295735.1600000001</v>
      </c>
      <c r="AE280" s="444">
        <v>8295735.1600000001</v>
      </c>
      <c r="AF280" s="344">
        <f t="shared" si="24"/>
        <v>0</v>
      </c>
    </row>
    <row r="281" spans="1:32">
      <c r="A281" s="415" t="s">
        <v>890</v>
      </c>
      <c r="B281" s="366" t="s">
        <v>891</v>
      </c>
      <c r="C281" s="361">
        <f t="shared" si="25"/>
        <v>0</v>
      </c>
      <c r="D281" s="361">
        <f t="shared" si="26"/>
        <v>0</v>
      </c>
      <c r="E281" s="361">
        <f t="shared" si="27"/>
        <v>0</v>
      </c>
      <c r="F281" s="361">
        <f t="shared" si="28"/>
        <v>0</v>
      </c>
      <c r="G281" s="361">
        <f t="shared" si="29"/>
        <v>273828</v>
      </c>
      <c r="H281" s="374">
        <v>0</v>
      </c>
      <c r="I281" s="374">
        <v>0</v>
      </c>
      <c r="J281" s="374">
        <v>0</v>
      </c>
      <c r="K281" s="374">
        <v>0</v>
      </c>
      <c r="L281" s="374">
        <v>0</v>
      </c>
      <c r="M281" s="374">
        <v>0</v>
      </c>
      <c r="N281" s="374">
        <v>0</v>
      </c>
      <c r="O281" s="374">
        <v>0</v>
      </c>
      <c r="P281" s="374">
        <v>0</v>
      </c>
      <c r="Q281" s="374">
        <v>0</v>
      </c>
      <c r="R281" s="374">
        <v>0</v>
      </c>
      <c r="S281" s="374">
        <v>0</v>
      </c>
      <c r="T281" s="374">
        <v>0</v>
      </c>
      <c r="U281" s="374">
        <v>0</v>
      </c>
      <c r="V281" s="374">
        <v>0</v>
      </c>
      <c r="W281" s="374">
        <v>0</v>
      </c>
      <c r="X281" s="374">
        <v>0</v>
      </c>
      <c r="Y281" s="374">
        <v>0</v>
      </c>
      <c r="Z281" s="374">
        <v>0</v>
      </c>
      <c r="AA281" s="367">
        <v>273828</v>
      </c>
      <c r="AB281" s="374">
        <v>0</v>
      </c>
      <c r="AC281" s="373">
        <v>273828</v>
      </c>
      <c r="AD281" s="373">
        <v>273828.34999999998</v>
      </c>
      <c r="AE281" s="444">
        <v>0.35</v>
      </c>
      <c r="AF281" s="344">
        <f t="shared" si="24"/>
        <v>4.7195117367569386E-4</v>
      </c>
    </row>
    <row r="282" spans="1:32">
      <c r="A282" s="415" t="s">
        <v>892</v>
      </c>
      <c r="B282" s="366" t="s">
        <v>893</v>
      </c>
      <c r="C282" s="361">
        <f t="shared" si="25"/>
        <v>0</v>
      </c>
      <c r="D282" s="361">
        <f t="shared" si="26"/>
        <v>0</v>
      </c>
      <c r="E282" s="361">
        <f t="shared" si="27"/>
        <v>0</v>
      </c>
      <c r="F282" s="361">
        <f t="shared" si="28"/>
        <v>0</v>
      </c>
      <c r="G282" s="361">
        <f t="shared" si="29"/>
        <v>0</v>
      </c>
      <c r="H282" s="374">
        <v>0</v>
      </c>
      <c r="I282" s="374">
        <v>0</v>
      </c>
      <c r="J282" s="374">
        <v>0</v>
      </c>
      <c r="K282" s="374">
        <v>0</v>
      </c>
      <c r="L282" s="374">
        <v>0</v>
      </c>
      <c r="M282" s="374">
        <v>0</v>
      </c>
      <c r="N282" s="374">
        <v>0</v>
      </c>
      <c r="O282" s="374">
        <v>0</v>
      </c>
      <c r="P282" s="374">
        <v>0</v>
      </c>
      <c r="Q282" s="374">
        <v>0</v>
      </c>
      <c r="R282" s="374">
        <v>0</v>
      </c>
      <c r="S282" s="374">
        <v>0</v>
      </c>
      <c r="T282" s="374">
        <v>0</v>
      </c>
      <c r="U282" s="374">
        <v>0</v>
      </c>
      <c r="V282" s="374">
        <v>0</v>
      </c>
      <c r="W282" s="374">
        <v>0</v>
      </c>
      <c r="X282" s="374">
        <v>0</v>
      </c>
      <c r="Y282" s="374">
        <v>0</v>
      </c>
      <c r="Z282" s="374">
        <v>0</v>
      </c>
      <c r="AA282" s="367">
        <v>0</v>
      </c>
      <c r="AB282" s="374">
        <v>0</v>
      </c>
      <c r="AC282" s="373">
        <v>0</v>
      </c>
      <c r="AD282" s="373">
        <v>42505.49</v>
      </c>
      <c r="AE282" s="444">
        <v>42505.49</v>
      </c>
      <c r="AF282" s="344">
        <f t="shared" si="24"/>
        <v>0</v>
      </c>
    </row>
    <row r="283" spans="1:32">
      <c r="A283" s="393" t="s">
        <v>894</v>
      </c>
      <c r="B283" s="391" t="s">
        <v>895</v>
      </c>
      <c r="C283" s="361">
        <f t="shared" si="25"/>
        <v>0</v>
      </c>
      <c r="D283" s="361">
        <f t="shared" si="26"/>
        <v>0</v>
      </c>
      <c r="E283" s="361">
        <f t="shared" si="27"/>
        <v>0</v>
      </c>
      <c r="F283" s="361">
        <f t="shared" si="28"/>
        <v>5076893.6199999992</v>
      </c>
      <c r="G283" s="361">
        <f t="shared" si="29"/>
        <v>4271256.6106060604</v>
      </c>
      <c r="H283" s="394">
        <v>0</v>
      </c>
      <c r="I283" s="394">
        <v>0</v>
      </c>
      <c r="J283" s="394">
        <v>0</v>
      </c>
      <c r="K283" s="394">
        <v>0</v>
      </c>
      <c r="L283" s="394">
        <v>0</v>
      </c>
      <c r="M283" s="394">
        <v>0</v>
      </c>
      <c r="N283" s="394">
        <v>0</v>
      </c>
      <c r="O283" s="394">
        <v>0</v>
      </c>
      <c r="P283" s="394">
        <v>0</v>
      </c>
      <c r="Q283" s="395">
        <v>0</v>
      </c>
      <c r="R283" s="394">
        <v>0</v>
      </c>
      <c r="S283" s="394">
        <v>0</v>
      </c>
      <c r="T283" s="394">
        <v>0</v>
      </c>
      <c r="U283" s="394">
        <v>0</v>
      </c>
      <c r="V283" s="394">
        <v>3967612.1899999995</v>
      </c>
      <c r="W283" s="394">
        <v>1109281.43</v>
      </c>
      <c r="X283" s="394">
        <v>90589.95</v>
      </c>
      <c r="Y283" s="394">
        <v>538656.30000000005</v>
      </c>
      <c r="Z283" s="394">
        <v>213935.72</v>
      </c>
      <c r="AA283" s="392">
        <v>3428074.6406060606</v>
      </c>
      <c r="AB283" s="394">
        <v>-6.0606059625570197E-2</v>
      </c>
      <c r="AC283" s="373">
        <v>9348150.2306060605</v>
      </c>
      <c r="AD283" s="373">
        <v>6711034.8700000001</v>
      </c>
      <c r="AE283" s="444">
        <v>-2637115.36</v>
      </c>
      <c r="AF283" s="344">
        <f t="shared" si="24"/>
        <v>1.6111831050992734E-2</v>
      </c>
    </row>
    <row r="284" spans="1:32">
      <c r="A284" s="415" t="s">
        <v>896</v>
      </c>
      <c r="B284" s="366" t="s">
        <v>897</v>
      </c>
      <c r="C284" s="361">
        <f t="shared" si="25"/>
        <v>0</v>
      </c>
      <c r="D284" s="361">
        <f t="shared" si="26"/>
        <v>0</v>
      </c>
      <c r="E284" s="361">
        <f t="shared" si="27"/>
        <v>0</v>
      </c>
      <c r="F284" s="361">
        <f t="shared" si="28"/>
        <v>4563300.42</v>
      </c>
      <c r="G284" s="361">
        <f t="shared" si="29"/>
        <v>4085635.6206060601</v>
      </c>
      <c r="H284" s="374">
        <v>0</v>
      </c>
      <c r="I284" s="374">
        <v>0</v>
      </c>
      <c r="J284" s="374">
        <v>0</v>
      </c>
      <c r="K284" s="374">
        <v>0</v>
      </c>
      <c r="L284" s="374">
        <v>0</v>
      </c>
      <c r="M284" s="374">
        <v>0</v>
      </c>
      <c r="N284" s="374">
        <v>0</v>
      </c>
      <c r="O284" s="374">
        <v>0</v>
      </c>
      <c r="P284" s="374">
        <v>0</v>
      </c>
      <c r="Q284" s="374">
        <v>0</v>
      </c>
      <c r="R284" s="374">
        <v>0</v>
      </c>
      <c r="S284" s="374">
        <v>0</v>
      </c>
      <c r="T284" s="374">
        <v>0</v>
      </c>
      <c r="U284" s="374">
        <v>0</v>
      </c>
      <c r="V284" s="374">
        <v>3656623.8999999994</v>
      </c>
      <c r="W284" s="374">
        <v>906676.52</v>
      </c>
      <c r="X284" s="374">
        <v>72559.61</v>
      </c>
      <c r="Y284" s="374">
        <v>439399.01999999996</v>
      </c>
      <c r="Z284" s="374">
        <v>211590.28</v>
      </c>
      <c r="AA284" s="367">
        <v>3362086.7106060605</v>
      </c>
      <c r="AB284" s="374">
        <v>-6.0606059618294239E-2</v>
      </c>
      <c r="AC284" s="373">
        <v>8648936.040606061</v>
      </c>
      <c r="AD284" s="373">
        <v>6021655.2400000002</v>
      </c>
      <c r="AE284" s="444">
        <v>-2627280.7999999998</v>
      </c>
      <c r="AF284" s="344">
        <f t="shared" si="24"/>
        <v>1.4906713394576301E-2</v>
      </c>
    </row>
    <row r="285" spans="1:32">
      <c r="A285" s="415" t="s">
        <v>898</v>
      </c>
      <c r="B285" s="366" t="s">
        <v>899</v>
      </c>
      <c r="C285" s="361">
        <f t="shared" si="25"/>
        <v>0</v>
      </c>
      <c r="D285" s="361">
        <f t="shared" si="26"/>
        <v>0</v>
      </c>
      <c r="E285" s="361">
        <f t="shared" si="27"/>
        <v>0</v>
      </c>
      <c r="F285" s="361">
        <f t="shared" si="28"/>
        <v>513593.19999999995</v>
      </c>
      <c r="G285" s="361">
        <f t="shared" si="29"/>
        <v>142420.99</v>
      </c>
      <c r="H285" s="374">
        <v>0</v>
      </c>
      <c r="I285" s="374">
        <v>0</v>
      </c>
      <c r="J285" s="374">
        <v>0</v>
      </c>
      <c r="K285" s="374">
        <v>0</v>
      </c>
      <c r="L285" s="374">
        <v>0</v>
      </c>
      <c r="M285" s="374">
        <v>0</v>
      </c>
      <c r="N285" s="374">
        <v>0</v>
      </c>
      <c r="O285" s="374">
        <v>0</v>
      </c>
      <c r="P285" s="374">
        <v>0</v>
      </c>
      <c r="Q285" s="374">
        <v>0</v>
      </c>
      <c r="R285" s="374">
        <v>0</v>
      </c>
      <c r="S285" s="374">
        <v>0</v>
      </c>
      <c r="T285" s="374">
        <v>0</v>
      </c>
      <c r="U285" s="374">
        <v>0</v>
      </c>
      <c r="V285" s="374">
        <v>310988.28999999998</v>
      </c>
      <c r="W285" s="374">
        <v>202604.91</v>
      </c>
      <c r="X285" s="374">
        <v>18030.34</v>
      </c>
      <c r="Y285" s="374">
        <v>99257.279999999999</v>
      </c>
      <c r="Z285" s="374">
        <v>2345.44</v>
      </c>
      <c r="AA285" s="367">
        <v>22787.93</v>
      </c>
      <c r="AB285" s="374">
        <v>-7.2759576141834259E-12</v>
      </c>
      <c r="AC285" s="373">
        <v>656014.18999999994</v>
      </c>
      <c r="AD285" s="373">
        <v>640801.93000000005</v>
      </c>
      <c r="AE285" s="444">
        <v>-15212.26</v>
      </c>
      <c r="AF285" s="344">
        <f t="shared" si="24"/>
        <v>1.1306610971792864E-3</v>
      </c>
    </row>
    <row r="286" spans="1:32">
      <c r="A286" s="415" t="s">
        <v>900</v>
      </c>
      <c r="B286" s="366" t="s">
        <v>901</v>
      </c>
      <c r="C286" s="361">
        <f t="shared" si="25"/>
        <v>0</v>
      </c>
      <c r="D286" s="361">
        <f t="shared" si="26"/>
        <v>0</v>
      </c>
      <c r="E286" s="361">
        <f t="shared" si="27"/>
        <v>0</v>
      </c>
      <c r="F286" s="361">
        <f t="shared" si="28"/>
        <v>0</v>
      </c>
      <c r="G286" s="361">
        <f t="shared" si="29"/>
        <v>43200</v>
      </c>
      <c r="H286" s="374"/>
      <c r="I286" s="374"/>
      <c r="J286" s="374"/>
      <c r="K286" s="374"/>
      <c r="L286" s="374"/>
      <c r="M286" s="374"/>
      <c r="N286" s="374"/>
      <c r="O286" s="374"/>
      <c r="P286" s="374"/>
      <c r="Q286" s="374"/>
      <c r="R286" s="374"/>
      <c r="S286" s="374"/>
      <c r="T286" s="374"/>
      <c r="U286" s="374"/>
      <c r="V286" s="374"/>
      <c r="W286" s="374"/>
      <c r="X286" s="374"/>
      <c r="Y286" s="374">
        <v>0</v>
      </c>
      <c r="Z286" s="374">
        <v>0</v>
      </c>
      <c r="AA286" s="367">
        <v>43200</v>
      </c>
      <c r="AB286" s="374">
        <v>0</v>
      </c>
      <c r="AC286" s="373">
        <v>43200</v>
      </c>
      <c r="AD286" s="373">
        <v>48577.7</v>
      </c>
      <c r="AE286" s="444">
        <v>5377.7</v>
      </c>
      <c r="AF286" s="344">
        <f t="shared" si="24"/>
        <v>7.445655923714877E-5</v>
      </c>
    </row>
    <row r="287" spans="1:32">
      <c r="A287" s="393" t="s">
        <v>902</v>
      </c>
      <c r="B287" s="391" t="s">
        <v>903</v>
      </c>
      <c r="C287" s="361">
        <f t="shared" si="25"/>
        <v>0</v>
      </c>
      <c r="D287" s="361">
        <f t="shared" si="26"/>
        <v>0</v>
      </c>
      <c r="E287" s="361">
        <f t="shared" si="27"/>
        <v>0</v>
      </c>
      <c r="F287" s="361">
        <f t="shared" si="28"/>
        <v>0</v>
      </c>
      <c r="G287" s="361">
        <f t="shared" si="29"/>
        <v>596773.66787878785</v>
      </c>
      <c r="H287" s="394">
        <v>0</v>
      </c>
      <c r="I287" s="394">
        <v>0</v>
      </c>
      <c r="J287" s="394">
        <v>0</v>
      </c>
      <c r="K287" s="394">
        <v>0</v>
      </c>
      <c r="L287" s="394">
        <v>0</v>
      </c>
      <c r="M287" s="394">
        <v>0</v>
      </c>
      <c r="N287" s="394">
        <v>0</v>
      </c>
      <c r="O287" s="394">
        <v>0</v>
      </c>
      <c r="P287" s="394">
        <v>0</v>
      </c>
      <c r="Q287" s="395">
        <v>0</v>
      </c>
      <c r="R287" s="394">
        <v>0</v>
      </c>
      <c r="S287" s="394">
        <v>0</v>
      </c>
      <c r="T287" s="394">
        <v>0</v>
      </c>
      <c r="U287" s="394">
        <v>0</v>
      </c>
      <c r="V287" s="394">
        <v>0</v>
      </c>
      <c r="W287" s="394">
        <v>0</v>
      </c>
      <c r="X287" s="394">
        <v>17764.900000000001</v>
      </c>
      <c r="Y287" s="394">
        <v>17860.5</v>
      </c>
      <c r="Z287" s="394">
        <v>29366.1</v>
      </c>
      <c r="AA287" s="392">
        <v>531782.16787878785</v>
      </c>
      <c r="AB287" s="394">
        <v>3777.9221212121774</v>
      </c>
      <c r="AC287" s="373">
        <v>596773.66787878785</v>
      </c>
      <c r="AD287" s="373">
        <v>529530.93999999994</v>
      </c>
      <c r="AE287" s="444">
        <v>-67242.73</v>
      </c>
      <c r="AF287" s="344">
        <f t="shared" si="24"/>
        <v>1.0285581933700814E-3</v>
      </c>
    </row>
    <row r="288" spans="1:32">
      <c r="A288" s="415" t="s">
        <v>904</v>
      </c>
      <c r="B288" s="366" t="s">
        <v>905</v>
      </c>
      <c r="C288" s="361">
        <f t="shared" si="25"/>
        <v>0</v>
      </c>
      <c r="D288" s="361">
        <f t="shared" si="26"/>
        <v>0</v>
      </c>
      <c r="E288" s="361">
        <f t="shared" si="27"/>
        <v>0</v>
      </c>
      <c r="F288" s="361">
        <f t="shared" si="28"/>
        <v>0</v>
      </c>
      <c r="G288" s="361">
        <f t="shared" si="29"/>
        <v>88728.91</v>
      </c>
      <c r="H288" s="374">
        <v>0</v>
      </c>
      <c r="I288" s="374">
        <v>0</v>
      </c>
      <c r="J288" s="374">
        <v>0</v>
      </c>
      <c r="K288" s="374">
        <v>0</v>
      </c>
      <c r="L288" s="374">
        <v>0</v>
      </c>
      <c r="M288" s="374">
        <v>0</v>
      </c>
      <c r="N288" s="374">
        <v>0</v>
      </c>
      <c r="O288" s="374">
        <v>0</v>
      </c>
      <c r="P288" s="374">
        <v>0</v>
      </c>
      <c r="Q288" s="374">
        <v>0</v>
      </c>
      <c r="R288" s="374">
        <v>0</v>
      </c>
      <c r="S288" s="374">
        <v>0</v>
      </c>
      <c r="T288" s="374">
        <v>0</v>
      </c>
      <c r="U288" s="374">
        <v>0</v>
      </c>
      <c r="V288" s="374">
        <v>0</v>
      </c>
      <c r="W288" s="374">
        <v>0</v>
      </c>
      <c r="X288" s="374">
        <v>17764.900000000001</v>
      </c>
      <c r="Y288" s="374">
        <v>17860.5</v>
      </c>
      <c r="Z288" s="374">
        <v>29366.1</v>
      </c>
      <c r="AA288" s="367">
        <v>23737.41</v>
      </c>
      <c r="AB288" s="374">
        <v>3778.3699999999953</v>
      </c>
      <c r="AC288" s="373">
        <v>88728.91</v>
      </c>
      <c r="AD288" s="373">
        <v>92710</v>
      </c>
      <c r="AE288" s="444">
        <v>3981.09</v>
      </c>
      <c r="AF288" s="344">
        <f t="shared" si="24"/>
        <v>1.5292706813570931E-4</v>
      </c>
    </row>
    <row r="289" spans="1:32" ht="25.5">
      <c r="A289" s="415" t="s">
        <v>906</v>
      </c>
      <c r="B289" s="366" t="s">
        <v>907</v>
      </c>
      <c r="C289" s="361">
        <f t="shared" si="25"/>
        <v>0</v>
      </c>
      <c r="D289" s="361">
        <f t="shared" si="26"/>
        <v>0</v>
      </c>
      <c r="E289" s="361">
        <f t="shared" si="27"/>
        <v>0</v>
      </c>
      <c r="F289" s="361">
        <f t="shared" si="28"/>
        <v>0</v>
      </c>
      <c r="G289" s="361">
        <f t="shared" si="29"/>
        <v>508044.75787878782</v>
      </c>
      <c r="H289" s="374">
        <v>0</v>
      </c>
      <c r="I289" s="374">
        <v>0</v>
      </c>
      <c r="J289" s="374">
        <v>0</v>
      </c>
      <c r="K289" s="374">
        <v>0</v>
      </c>
      <c r="L289" s="374">
        <v>0</v>
      </c>
      <c r="M289" s="374">
        <v>0</v>
      </c>
      <c r="N289" s="374">
        <v>0</v>
      </c>
      <c r="O289" s="374">
        <v>0</v>
      </c>
      <c r="P289" s="374">
        <v>0</v>
      </c>
      <c r="Q289" s="374">
        <v>0</v>
      </c>
      <c r="R289" s="374">
        <v>0</v>
      </c>
      <c r="S289" s="374">
        <v>0</v>
      </c>
      <c r="T289" s="374">
        <v>0</v>
      </c>
      <c r="U289" s="374">
        <v>0</v>
      </c>
      <c r="V289" s="374">
        <v>0</v>
      </c>
      <c r="W289" s="374">
        <v>0</v>
      </c>
      <c r="X289" s="374">
        <v>0</v>
      </c>
      <c r="Y289" s="374">
        <v>0</v>
      </c>
      <c r="Z289" s="374">
        <v>0</v>
      </c>
      <c r="AA289" s="367">
        <v>508044.75787878782</v>
      </c>
      <c r="AB289" s="374">
        <v>-0.44787878781789914</v>
      </c>
      <c r="AC289" s="373">
        <v>508044.75787878782</v>
      </c>
      <c r="AD289" s="373">
        <v>436820.94</v>
      </c>
      <c r="AE289" s="444">
        <v>-71223.820000000007</v>
      </c>
      <c r="AF289" s="344">
        <f t="shared" si="24"/>
        <v>8.7563112523437201E-4</v>
      </c>
    </row>
    <row r="290" spans="1:32">
      <c r="A290" s="384" t="s">
        <v>908</v>
      </c>
      <c r="B290" s="385">
        <v>0</v>
      </c>
      <c r="C290" s="361">
        <f t="shared" si="25"/>
        <v>0</v>
      </c>
      <c r="D290" s="361">
        <f t="shared" si="26"/>
        <v>0</v>
      </c>
      <c r="E290" s="361">
        <f t="shared" si="27"/>
        <v>0</v>
      </c>
      <c r="F290" s="361">
        <f t="shared" si="28"/>
        <v>0</v>
      </c>
      <c r="G290" s="361">
        <f t="shared" si="29"/>
        <v>0</v>
      </c>
      <c r="H290" s="386">
        <v>0</v>
      </c>
      <c r="I290" s="386">
        <v>0</v>
      </c>
      <c r="J290" s="386">
        <v>0</v>
      </c>
      <c r="K290" s="386">
        <v>0</v>
      </c>
      <c r="L290" s="386">
        <v>0</v>
      </c>
      <c r="M290" s="386">
        <v>0</v>
      </c>
      <c r="N290" s="386">
        <v>0</v>
      </c>
      <c r="O290" s="386">
        <v>0</v>
      </c>
      <c r="P290" s="386">
        <v>0</v>
      </c>
      <c r="Q290" s="386">
        <v>0</v>
      </c>
      <c r="R290" s="386">
        <v>0</v>
      </c>
      <c r="S290" s="386">
        <v>0</v>
      </c>
      <c r="T290" s="386">
        <v>0</v>
      </c>
      <c r="U290" s="386">
        <v>0</v>
      </c>
      <c r="V290" s="386">
        <v>0</v>
      </c>
      <c r="W290" s="386">
        <v>0</v>
      </c>
      <c r="X290" s="386">
        <v>0</v>
      </c>
      <c r="Y290" s="386">
        <v>0</v>
      </c>
      <c r="Z290" s="386">
        <v>0</v>
      </c>
      <c r="AA290" s="387">
        <v>0</v>
      </c>
      <c r="AB290" s="386"/>
      <c r="AC290" s="373">
        <v>-5000000</v>
      </c>
      <c r="AD290" s="373">
        <v>-5000000</v>
      </c>
      <c r="AE290" s="369">
        <v>0</v>
      </c>
      <c r="AF290" s="344">
        <f t="shared" si="24"/>
        <v>-8.6176573191144423E-3</v>
      </c>
    </row>
    <row r="291" spans="1:32" ht="25.5">
      <c r="A291" s="384" t="s">
        <v>536</v>
      </c>
      <c r="B291" s="385">
        <v>0</v>
      </c>
      <c r="C291" s="361">
        <f t="shared" si="25"/>
        <v>0</v>
      </c>
      <c r="D291" s="361">
        <f t="shared" si="26"/>
        <v>0</v>
      </c>
      <c r="E291" s="361">
        <f t="shared" si="27"/>
        <v>0</v>
      </c>
      <c r="F291" s="361">
        <f t="shared" si="28"/>
        <v>0</v>
      </c>
      <c r="G291" s="361">
        <f t="shared" si="29"/>
        <v>0</v>
      </c>
      <c r="H291" s="386">
        <v>0</v>
      </c>
      <c r="I291" s="386">
        <v>0</v>
      </c>
      <c r="J291" s="386">
        <v>0</v>
      </c>
      <c r="K291" s="386">
        <v>0</v>
      </c>
      <c r="L291" s="386">
        <v>0</v>
      </c>
      <c r="M291" s="386">
        <v>0</v>
      </c>
      <c r="N291" s="386">
        <v>0</v>
      </c>
      <c r="O291" s="386">
        <v>0</v>
      </c>
      <c r="P291" s="386">
        <v>0</v>
      </c>
      <c r="Q291" s="386">
        <v>0</v>
      </c>
      <c r="R291" s="386">
        <v>0</v>
      </c>
      <c r="S291" s="386">
        <v>0</v>
      </c>
      <c r="T291" s="386">
        <v>0</v>
      </c>
      <c r="U291" s="386">
        <v>0</v>
      </c>
      <c r="V291" s="386">
        <v>0</v>
      </c>
      <c r="W291" s="386">
        <v>0</v>
      </c>
      <c r="X291" s="386">
        <v>0</v>
      </c>
      <c r="Y291" s="386">
        <v>0</v>
      </c>
      <c r="Z291" s="386">
        <v>0</v>
      </c>
      <c r="AA291" s="387">
        <v>0</v>
      </c>
      <c r="AB291" s="386">
        <v>2655908.2108050734</v>
      </c>
      <c r="AC291" s="373">
        <v>0</v>
      </c>
      <c r="AD291" s="373">
        <v>0</v>
      </c>
      <c r="AE291" s="369">
        <v>0</v>
      </c>
      <c r="AF291" s="344">
        <f t="shared" si="24"/>
        <v>0</v>
      </c>
    </row>
    <row r="292" spans="1:32">
      <c r="A292" s="384" t="s">
        <v>537</v>
      </c>
      <c r="B292" s="385"/>
      <c r="C292" s="361">
        <f t="shared" si="25"/>
        <v>0</v>
      </c>
      <c r="D292" s="361">
        <f t="shared" si="26"/>
        <v>0</v>
      </c>
      <c r="E292" s="361">
        <f t="shared" si="27"/>
        <v>0</v>
      </c>
      <c r="F292" s="361">
        <f t="shared" si="28"/>
        <v>0</v>
      </c>
      <c r="G292" s="361">
        <f t="shared" si="29"/>
        <v>786965.33000000007</v>
      </c>
      <c r="H292" s="386">
        <v>0</v>
      </c>
      <c r="I292" s="386">
        <v>0</v>
      </c>
      <c r="J292" s="386">
        <v>0</v>
      </c>
      <c r="K292" s="386">
        <v>0</v>
      </c>
      <c r="L292" s="386">
        <v>0</v>
      </c>
      <c r="M292" s="386">
        <v>0</v>
      </c>
      <c r="N292" s="386">
        <v>0</v>
      </c>
      <c r="O292" s="386">
        <v>0</v>
      </c>
      <c r="P292" s="386">
        <v>0</v>
      </c>
      <c r="Q292" s="386">
        <v>0</v>
      </c>
      <c r="R292" s="386">
        <v>0</v>
      </c>
      <c r="S292" s="386">
        <v>0</v>
      </c>
      <c r="T292" s="386">
        <v>0</v>
      </c>
      <c r="U292" s="386">
        <v>0</v>
      </c>
      <c r="V292" s="386">
        <v>0</v>
      </c>
      <c r="W292" s="386">
        <v>0</v>
      </c>
      <c r="X292" s="386">
        <v>0</v>
      </c>
      <c r="Y292" s="386">
        <v>0</v>
      </c>
      <c r="Z292" s="386">
        <v>0</v>
      </c>
      <c r="AA292" s="387">
        <v>786965.33000000007</v>
      </c>
      <c r="AB292" s="386"/>
      <c r="AC292" s="373">
        <v>786965.33000000007</v>
      </c>
      <c r="AD292" s="373">
        <v>1940557.25</v>
      </c>
      <c r="AE292" s="369">
        <v>1153591.92</v>
      </c>
      <c r="AF292" s="344">
        <f t="shared" si="24"/>
        <v>1.3563595071927625E-3</v>
      </c>
    </row>
    <row r="293" spans="1:32">
      <c r="A293" s="434" t="s">
        <v>909</v>
      </c>
      <c r="B293" s="427" t="s">
        <v>910</v>
      </c>
      <c r="C293" s="361">
        <f t="shared" si="25"/>
        <v>0</v>
      </c>
      <c r="D293" s="361">
        <f t="shared" si="26"/>
        <v>324107.46999999997</v>
      </c>
      <c r="E293" s="361">
        <f t="shared" si="27"/>
        <v>616321.24</v>
      </c>
      <c r="F293" s="361">
        <f t="shared" si="28"/>
        <v>255807.47</v>
      </c>
      <c r="G293" s="361">
        <f t="shared" si="29"/>
        <v>9080331.2300000004</v>
      </c>
      <c r="H293" s="388">
        <v>0</v>
      </c>
      <c r="I293" s="388">
        <v>0</v>
      </c>
      <c r="J293" s="388">
        <v>0</v>
      </c>
      <c r="K293" s="388">
        <v>0</v>
      </c>
      <c r="L293" s="388">
        <v>0</v>
      </c>
      <c r="M293" s="388">
        <v>0</v>
      </c>
      <c r="N293" s="388">
        <v>92536.14</v>
      </c>
      <c r="O293" s="388">
        <v>231571.33</v>
      </c>
      <c r="P293" s="388">
        <v>0</v>
      </c>
      <c r="Q293" s="389">
        <v>601250</v>
      </c>
      <c r="R293" s="388">
        <v>0</v>
      </c>
      <c r="S293" s="388">
        <v>15071.240000000002</v>
      </c>
      <c r="T293" s="388">
        <v>-0.45000000000000284</v>
      </c>
      <c r="U293" s="388">
        <v>0</v>
      </c>
      <c r="V293" s="388">
        <v>7083.92</v>
      </c>
      <c r="W293" s="388">
        <v>248724</v>
      </c>
      <c r="X293" s="388">
        <v>1224343.72</v>
      </c>
      <c r="Y293" s="388">
        <v>591585.26</v>
      </c>
      <c r="Z293" s="388">
        <v>2020668.62</v>
      </c>
      <c r="AA293" s="362">
        <v>5243733.63</v>
      </c>
      <c r="AB293" s="388">
        <v>0.31000000010135409</v>
      </c>
      <c r="AC293" s="364">
        <v>10276567.41</v>
      </c>
      <c r="AD293" s="388">
        <v>9357631.8800000008</v>
      </c>
      <c r="AE293" s="388">
        <v>-918935.53</v>
      </c>
      <c r="AF293" s="344">
        <f t="shared" si="24"/>
        <v>1.771198727123189E-2</v>
      </c>
    </row>
    <row r="294" spans="1:32">
      <c r="A294" s="465" t="s">
        <v>911</v>
      </c>
      <c r="B294" s="466" t="s">
        <v>912</v>
      </c>
      <c r="C294" s="361">
        <f t="shared" si="25"/>
        <v>0</v>
      </c>
      <c r="D294" s="361">
        <f t="shared" si="26"/>
        <v>324107.46999999997</v>
      </c>
      <c r="E294" s="361">
        <f t="shared" si="27"/>
        <v>601250</v>
      </c>
      <c r="F294" s="361">
        <f t="shared" si="28"/>
        <v>0</v>
      </c>
      <c r="G294" s="361">
        <f t="shared" si="29"/>
        <v>0</v>
      </c>
      <c r="H294" s="374">
        <v>0</v>
      </c>
      <c r="I294" s="374">
        <v>0</v>
      </c>
      <c r="J294" s="374">
        <v>0</v>
      </c>
      <c r="K294" s="374">
        <v>0</v>
      </c>
      <c r="L294" s="374">
        <v>0</v>
      </c>
      <c r="M294" s="374">
        <v>0</v>
      </c>
      <c r="N294" s="374">
        <v>92536.14</v>
      </c>
      <c r="O294" s="374">
        <v>231571.33</v>
      </c>
      <c r="P294" s="374">
        <v>0</v>
      </c>
      <c r="Q294" s="374">
        <v>601250</v>
      </c>
      <c r="R294" s="374">
        <v>0</v>
      </c>
      <c r="S294" s="374">
        <v>0</v>
      </c>
      <c r="T294" s="374">
        <v>0</v>
      </c>
      <c r="U294" s="374">
        <v>0</v>
      </c>
      <c r="V294" s="374">
        <v>0</v>
      </c>
      <c r="W294" s="374">
        <v>0</v>
      </c>
      <c r="X294" s="374">
        <v>0</v>
      </c>
      <c r="Y294" s="374">
        <v>0</v>
      </c>
      <c r="Z294" s="374">
        <v>0</v>
      </c>
      <c r="AA294" s="367">
        <v>0</v>
      </c>
      <c r="AB294" s="374">
        <v>0</v>
      </c>
      <c r="AC294" s="369">
        <v>925357.47</v>
      </c>
      <c r="AD294" s="369">
        <v>925357.47</v>
      </c>
      <c r="AE294" s="444">
        <v>0</v>
      </c>
      <c r="AF294" s="344">
        <f t="shared" si="24"/>
        <v>1.5948827148285444E-3</v>
      </c>
    </row>
    <row r="295" spans="1:32">
      <c r="A295" s="465" t="s">
        <v>913</v>
      </c>
      <c r="B295" s="466" t="s">
        <v>914</v>
      </c>
      <c r="C295" s="361">
        <f t="shared" si="25"/>
        <v>0</v>
      </c>
      <c r="D295" s="361">
        <f t="shared" si="26"/>
        <v>0</v>
      </c>
      <c r="E295" s="361">
        <f t="shared" si="27"/>
        <v>0</v>
      </c>
      <c r="F295" s="361">
        <f t="shared" si="28"/>
        <v>0</v>
      </c>
      <c r="G295" s="361">
        <f t="shared" si="29"/>
        <v>5700000</v>
      </c>
      <c r="H295" s="374">
        <v>0</v>
      </c>
      <c r="I295" s="374">
        <v>0</v>
      </c>
      <c r="J295" s="374">
        <v>0</v>
      </c>
      <c r="K295" s="374">
        <v>0</v>
      </c>
      <c r="L295" s="374">
        <v>0</v>
      </c>
      <c r="M295" s="374">
        <v>0</v>
      </c>
      <c r="N295" s="374">
        <v>0</v>
      </c>
      <c r="O295" s="374">
        <v>0</v>
      </c>
      <c r="P295" s="374">
        <v>0</v>
      </c>
      <c r="Q295" s="374">
        <v>0</v>
      </c>
      <c r="R295" s="374">
        <v>0</v>
      </c>
      <c r="S295" s="374">
        <v>0</v>
      </c>
      <c r="T295" s="374">
        <v>0</v>
      </c>
      <c r="U295" s="374">
        <v>0</v>
      </c>
      <c r="V295" s="374">
        <v>0</v>
      </c>
      <c r="W295" s="374">
        <v>0</v>
      </c>
      <c r="X295" s="374">
        <v>570000</v>
      </c>
      <c r="Y295" s="374">
        <v>0</v>
      </c>
      <c r="Z295" s="383">
        <v>889776</v>
      </c>
      <c r="AA295" s="367">
        <v>4240224</v>
      </c>
      <c r="AB295" s="374">
        <v>0</v>
      </c>
      <c r="AC295" s="373">
        <v>5700000</v>
      </c>
      <c r="AD295" s="373">
        <v>4756559</v>
      </c>
      <c r="AE295" s="444">
        <v>-943441</v>
      </c>
      <c r="AF295" s="344">
        <f t="shared" si="24"/>
        <v>9.824129343790464E-3</v>
      </c>
    </row>
    <row r="296" spans="1:32">
      <c r="A296" s="467" t="s">
        <v>915</v>
      </c>
      <c r="B296" s="466" t="s">
        <v>916</v>
      </c>
      <c r="C296" s="361">
        <f t="shared" si="25"/>
        <v>0</v>
      </c>
      <c r="D296" s="361">
        <f t="shared" si="26"/>
        <v>0</v>
      </c>
      <c r="E296" s="361">
        <f t="shared" si="27"/>
        <v>0</v>
      </c>
      <c r="F296" s="361">
        <f t="shared" si="28"/>
        <v>0</v>
      </c>
      <c r="G296" s="361">
        <f t="shared" si="29"/>
        <v>0</v>
      </c>
      <c r="H296" s="374">
        <v>0</v>
      </c>
      <c r="I296" s="374">
        <v>0</v>
      </c>
      <c r="J296" s="374">
        <v>0</v>
      </c>
      <c r="K296" s="374">
        <v>0</v>
      </c>
      <c r="L296" s="374">
        <v>0</v>
      </c>
      <c r="M296" s="374">
        <v>0</v>
      </c>
      <c r="N296" s="374">
        <v>0</v>
      </c>
      <c r="O296" s="374">
        <v>0</v>
      </c>
      <c r="P296" s="374">
        <v>0</v>
      </c>
      <c r="Q296" s="374">
        <v>0</v>
      </c>
      <c r="R296" s="374">
        <v>0</v>
      </c>
      <c r="S296" s="374">
        <v>0</v>
      </c>
      <c r="T296" s="374">
        <v>0</v>
      </c>
      <c r="U296" s="374">
        <v>0</v>
      </c>
      <c r="V296" s="374">
        <v>0</v>
      </c>
      <c r="W296" s="374">
        <v>0</v>
      </c>
      <c r="X296" s="374">
        <v>0</v>
      </c>
      <c r="Y296" s="374">
        <v>0</v>
      </c>
      <c r="Z296" s="374">
        <v>0</v>
      </c>
      <c r="AA296" s="367">
        <v>0</v>
      </c>
      <c r="AB296" s="374">
        <v>0</v>
      </c>
      <c r="AC296" s="373">
        <v>0</v>
      </c>
      <c r="AD296" s="373">
        <v>0</v>
      </c>
      <c r="AE296" s="444">
        <v>0</v>
      </c>
      <c r="AF296" s="344">
        <f t="shared" si="24"/>
        <v>0</v>
      </c>
    </row>
    <row r="297" spans="1:32">
      <c r="A297" s="465" t="s">
        <v>917</v>
      </c>
      <c r="B297" s="466" t="s">
        <v>918</v>
      </c>
      <c r="C297" s="361">
        <f t="shared" si="25"/>
        <v>0</v>
      </c>
      <c r="D297" s="361">
        <f t="shared" si="26"/>
        <v>0</v>
      </c>
      <c r="E297" s="361">
        <f t="shared" si="27"/>
        <v>0</v>
      </c>
      <c r="F297" s="361">
        <f t="shared" si="28"/>
        <v>0</v>
      </c>
      <c r="G297" s="361">
        <f t="shared" si="29"/>
        <v>1112293.44</v>
      </c>
      <c r="H297" s="374">
        <v>0</v>
      </c>
      <c r="I297" s="374">
        <v>0</v>
      </c>
      <c r="J297" s="374">
        <v>0</v>
      </c>
      <c r="K297" s="374">
        <v>0</v>
      </c>
      <c r="L297" s="374">
        <v>0</v>
      </c>
      <c r="M297" s="374">
        <v>0</v>
      </c>
      <c r="N297" s="374">
        <v>0</v>
      </c>
      <c r="O297" s="374">
        <v>0</v>
      </c>
      <c r="P297" s="374">
        <v>0</v>
      </c>
      <c r="Q297" s="374">
        <v>0</v>
      </c>
      <c r="R297" s="374">
        <v>0</v>
      </c>
      <c r="S297" s="374">
        <v>0</v>
      </c>
      <c r="T297" s="374">
        <v>0</v>
      </c>
      <c r="U297" s="374">
        <v>0</v>
      </c>
      <c r="V297" s="374">
        <v>0</v>
      </c>
      <c r="W297" s="374">
        <v>0</v>
      </c>
      <c r="X297" s="374">
        <v>276343.71999999997</v>
      </c>
      <c r="Y297" s="374">
        <v>115305.26000000001</v>
      </c>
      <c r="Z297" s="383">
        <v>258934.83000000002</v>
      </c>
      <c r="AA297" s="367">
        <v>461709.63</v>
      </c>
      <c r="AB297" s="374">
        <v>-0.13999999989755452</v>
      </c>
      <c r="AC297" s="373">
        <v>1112293.44</v>
      </c>
      <c r="AD297" s="373">
        <v>1114991.02</v>
      </c>
      <c r="AE297" s="444">
        <v>2697.58</v>
      </c>
      <c r="AF297" s="344">
        <f t="shared" si="24"/>
        <v>1.9170727408437959E-3</v>
      </c>
    </row>
    <row r="298" spans="1:32">
      <c r="A298" s="467" t="s">
        <v>919</v>
      </c>
      <c r="B298" s="466" t="s">
        <v>920</v>
      </c>
      <c r="C298" s="361">
        <f t="shared" si="25"/>
        <v>0</v>
      </c>
      <c r="D298" s="361">
        <f t="shared" si="26"/>
        <v>0</v>
      </c>
      <c r="E298" s="361">
        <f t="shared" si="27"/>
        <v>15071.240000000002</v>
      </c>
      <c r="F298" s="361">
        <f t="shared" si="28"/>
        <v>-0.45000000000000284</v>
      </c>
      <c r="G298" s="361">
        <f t="shared" si="29"/>
        <v>0</v>
      </c>
      <c r="H298" s="374">
        <v>0</v>
      </c>
      <c r="I298" s="374">
        <v>0</v>
      </c>
      <c r="J298" s="374">
        <v>0</v>
      </c>
      <c r="K298" s="374">
        <v>0</v>
      </c>
      <c r="L298" s="374">
        <v>0</v>
      </c>
      <c r="M298" s="374">
        <v>0</v>
      </c>
      <c r="N298" s="374">
        <v>0</v>
      </c>
      <c r="O298" s="374">
        <v>0</v>
      </c>
      <c r="P298" s="374">
        <v>0</v>
      </c>
      <c r="Q298" s="374">
        <v>0</v>
      </c>
      <c r="R298" s="374">
        <v>0</v>
      </c>
      <c r="S298" s="374">
        <v>15071.240000000002</v>
      </c>
      <c r="T298" s="374">
        <v>-0.45000000000000284</v>
      </c>
      <c r="U298" s="374">
        <v>0</v>
      </c>
      <c r="V298" s="374">
        <v>0</v>
      </c>
      <c r="W298" s="374">
        <v>0</v>
      </c>
      <c r="X298" s="374">
        <v>0</v>
      </c>
      <c r="Y298" s="374">
        <v>0</v>
      </c>
      <c r="Z298" s="374">
        <v>0</v>
      </c>
      <c r="AA298" s="367">
        <v>0</v>
      </c>
      <c r="AB298" s="374">
        <v>0.44999999999890861</v>
      </c>
      <c r="AC298" s="373">
        <v>15070.79</v>
      </c>
      <c r="AD298" s="373">
        <v>15071.24</v>
      </c>
      <c r="AE298" s="444">
        <v>0.45</v>
      </c>
      <c r="AF298" s="344">
        <f t="shared" si="24"/>
        <v>2.5974980749667347E-5</v>
      </c>
    </row>
    <row r="299" spans="1:32">
      <c r="A299" s="465" t="s">
        <v>921</v>
      </c>
      <c r="B299" s="466" t="s">
        <v>922</v>
      </c>
      <c r="C299" s="361">
        <f t="shared" si="25"/>
        <v>0</v>
      </c>
      <c r="D299" s="361">
        <f t="shared" si="26"/>
        <v>0</v>
      </c>
      <c r="E299" s="361">
        <f t="shared" si="27"/>
        <v>0</v>
      </c>
      <c r="F299" s="361">
        <f t="shared" si="28"/>
        <v>248724</v>
      </c>
      <c r="G299" s="361">
        <f t="shared" si="29"/>
        <v>2268037.79</v>
      </c>
      <c r="H299" s="374">
        <v>0</v>
      </c>
      <c r="I299" s="374">
        <v>0</v>
      </c>
      <c r="J299" s="374">
        <v>0</v>
      </c>
      <c r="K299" s="374">
        <v>0</v>
      </c>
      <c r="L299" s="374">
        <v>0</v>
      </c>
      <c r="M299" s="374">
        <v>0</v>
      </c>
      <c r="N299" s="374">
        <v>0</v>
      </c>
      <c r="O299" s="374">
        <v>0</v>
      </c>
      <c r="P299" s="374">
        <v>0</v>
      </c>
      <c r="Q299" s="374">
        <v>0</v>
      </c>
      <c r="R299" s="374">
        <v>0</v>
      </c>
      <c r="S299" s="374">
        <v>0</v>
      </c>
      <c r="T299" s="374">
        <v>0</v>
      </c>
      <c r="U299" s="374">
        <v>0</v>
      </c>
      <c r="V299" s="374">
        <v>0</v>
      </c>
      <c r="W299" s="374">
        <v>248724</v>
      </c>
      <c r="X299" s="374">
        <v>378000</v>
      </c>
      <c r="Y299" s="374">
        <v>476280</v>
      </c>
      <c r="Z299" s="374">
        <v>871957.79</v>
      </c>
      <c r="AA299" s="367">
        <v>541800</v>
      </c>
      <c r="AB299" s="374">
        <v>0</v>
      </c>
      <c r="AC299" s="373">
        <v>2516761.79</v>
      </c>
      <c r="AD299" s="373">
        <v>2516724</v>
      </c>
      <c r="AE299" s="444">
        <v>-37.79</v>
      </c>
      <c r="AF299" s="344">
        <f t="shared" si="24"/>
        <v>4.3377181320122127E-3</v>
      </c>
    </row>
    <row r="300" spans="1:32">
      <c r="A300" s="467" t="s">
        <v>923</v>
      </c>
      <c r="B300" s="466" t="s">
        <v>924</v>
      </c>
      <c r="C300" s="361">
        <f t="shared" si="25"/>
        <v>0</v>
      </c>
      <c r="D300" s="361">
        <f t="shared" si="26"/>
        <v>0</v>
      </c>
      <c r="E300" s="361">
        <f t="shared" si="27"/>
        <v>0</v>
      </c>
      <c r="F300" s="361">
        <f t="shared" si="28"/>
        <v>0</v>
      </c>
      <c r="G300" s="361">
        <f t="shared" si="29"/>
        <v>0</v>
      </c>
      <c r="H300" s="374">
        <v>0</v>
      </c>
      <c r="I300" s="374">
        <v>0</v>
      </c>
      <c r="J300" s="374">
        <v>0</v>
      </c>
      <c r="K300" s="374">
        <v>0</v>
      </c>
      <c r="L300" s="374">
        <v>0</v>
      </c>
      <c r="M300" s="374">
        <v>0</v>
      </c>
      <c r="N300" s="374">
        <v>0</v>
      </c>
      <c r="O300" s="374">
        <v>0</v>
      </c>
      <c r="P300" s="374">
        <v>0</v>
      </c>
      <c r="Q300" s="374">
        <v>0</v>
      </c>
      <c r="R300" s="374">
        <v>0</v>
      </c>
      <c r="S300" s="374">
        <v>0</v>
      </c>
      <c r="T300" s="374">
        <v>0</v>
      </c>
      <c r="U300" s="374">
        <v>0</v>
      </c>
      <c r="V300" s="374">
        <v>0</v>
      </c>
      <c r="W300" s="374">
        <v>0</v>
      </c>
      <c r="X300" s="374">
        <v>0</v>
      </c>
      <c r="Y300" s="374">
        <v>0</v>
      </c>
      <c r="Z300" s="374">
        <v>0</v>
      </c>
      <c r="AA300" s="367">
        <v>0</v>
      </c>
      <c r="AB300" s="374">
        <v>0</v>
      </c>
      <c r="AC300" s="373">
        <v>0</v>
      </c>
      <c r="AD300" s="373">
        <v>0</v>
      </c>
      <c r="AE300" s="444">
        <v>0</v>
      </c>
      <c r="AF300" s="344">
        <f t="shared" si="24"/>
        <v>0</v>
      </c>
    </row>
    <row r="301" spans="1:32">
      <c r="A301" s="467" t="s">
        <v>925</v>
      </c>
      <c r="B301" s="466" t="s">
        <v>926</v>
      </c>
      <c r="C301" s="361">
        <f t="shared" si="25"/>
        <v>0</v>
      </c>
      <c r="D301" s="361">
        <f t="shared" si="26"/>
        <v>0</v>
      </c>
      <c r="E301" s="361">
        <f t="shared" si="27"/>
        <v>0</v>
      </c>
      <c r="F301" s="361">
        <f t="shared" si="28"/>
        <v>7083.92</v>
      </c>
      <c r="G301" s="361">
        <f t="shared" si="29"/>
        <v>0</v>
      </c>
      <c r="H301" s="374">
        <v>0</v>
      </c>
      <c r="I301" s="374">
        <v>0</v>
      </c>
      <c r="J301" s="374">
        <v>0</v>
      </c>
      <c r="K301" s="374">
        <v>0</v>
      </c>
      <c r="L301" s="374">
        <v>0</v>
      </c>
      <c r="M301" s="374">
        <v>0</v>
      </c>
      <c r="N301" s="374">
        <v>0</v>
      </c>
      <c r="O301" s="374">
        <v>0</v>
      </c>
      <c r="P301" s="374">
        <v>0</v>
      </c>
      <c r="Q301" s="374">
        <v>0</v>
      </c>
      <c r="R301" s="374">
        <v>0</v>
      </c>
      <c r="S301" s="374">
        <v>0</v>
      </c>
      <c r="T301" s="374">
        <v>0</v>
      </c>
      <c r="U301" s="374">
        <v>0</v>
      </c>
      <c r="V301" s="374">
        <v>7083.92</v>
      </c>
      <c r="W301" s="374">
        <v>0</v>
      </c>
      <c r="X301" s="374">
        <v>0</v>
      </c>
      <c r="Y301" s="374">
        <v>0</v>
      </c>
      <c r="Z301" s="374">
        <v>0</v>
      </c>
      <c r="AA301" s="367">
        <v>0</v>
      </c>
      <c r="AB301" s="374">
        <v>0</v>
      </c>
      <c r="AC301" s="373">
        <v>7083.92</v>
      </c>
      <c r="AD301" s="373">
        <v>7083.92</v>
      </c>
      <c r="AE301" s="444">
        <v>0</v>
      </c>
      <c r="AF301" s="344">
        <f t="shared" si="24"/>
        <v>1.2209359007204235E-5</v>
      </c>
    </row>
    <row r="302" spans="1:32">
      <c r="A302" s="384" t="s">
        <v>535</v>
      </c>
      <c r="B302" s="385">
        <v>0</v>
      </c>
      <c r="C302" s="361">
        <f t="shared" si="25"/>
        <v>0</v>
      </c>
      <c r="D302" s="361">
        <f t="shared" si="26"/>
        <v>0</v>
      </c>
      <c r="E302" s="361">
        <f t="shared" si="27"/>
        <v>0</v>
      </c>
      <c r="F302" s="361">
        <f t="shared" si="28"/>
        <v>0</v>
      </c>
      <c r="G302" s="361">
        <f t="shared" si="29"/>
        <v>0</v>
      </c>
      <c r="H302" s="386">
        <v>0</v>
      </c>
      <c r="I302" s="386">
        <v>0</v>
      </c>
      <c r="J302" s="386">
        <v>0</v>
      </c>
      <c r="K302" s="386">
        <v>0</v>
      </c>
      <c r="L302" s="386">
        <v>0</v>
      </c>
      <c r="M302" s="386">
        <v>0</v>
      </c>
      <c r="N302" s="386">
        <v>0</v>
      </c>
      <c r="O302" s="386">
        <v>0</v>
      </c>
      <c r="P302" s="386">
        <v>0</v>
      </c>
      <c r="Q302" s="386">
        <v>0</v>
      </c>
      <c r="R302" s="386">
        <v>0</v>
      </c>
      <c r="S302" s="386">
        <v>0</v>
      </c>
      <c r="T302" s="386">
        <v>0</v>
      </c>
      <c r="U302" s="386">
        <v>0</v>
      </c>
      <c r="V302" s="386">
        <v>0</v>
      </c>
      <c r="W302" s="386">
        <v>0</v>
      </c>
      <c r="X302" s="386">
        <v>0</v>
      </c>
      <c r="Y302" s="386">
        <v>0</v>
      </c>
      <c r="Z302" s="386">
        <v>0</v>
      </c>
      <c r="AA302" s="387">
        <v>0</v>
      </c>
      <c r="AB302" s="386">
        <v>0</v>
      </c>
      <c r="AC302" s="373">
        <v>0</v>
      </c>
      <c r="AD302" s="373">
        <v>0</v>
      </c>
      <c r="AE302" s="369">
        <v>0</v>
      </c>
      <c r="AF302" s="344">
        <f t="shared" si="24"/>
        <v>0</v>
      </c>
    </row>
    <row r="303" spans="1:32" ht="25.5">
      <c r="A303" s="384" t="s">
        <v>536</v>
      </c>
      <c r="B303" s="385">
        <v>0</v>
      </c>
      <c r="C303" s="361">
        <f t="shared" si="25"/>
        <v>0</v>
      </c>
      <c r="D303" s="361">
        <f t="shared" si="26"/>
        <v>0</v>
      </c>
      <c r="E303" s="361">
        <f t="shared" si="27"/>
        <v>0</v>
      </c>
      <c r="F303" s="361">
        <f t="shared" si="28"/>
        <v>0</v>
      </c>
      <c r="G303" s="361">
        <f t="shared" si="29"/>
        <v>0</v>
      </c>
      <c r="H303" s="386">
        <v>0</v>
      </c>
      <c r="I303" s="386">
        <v>0</v>
      </c>
      <c r="J303" s="386">
        <v>0</v>
      </c>
      <c r="K303" s="386">
        <v>0</v>
      </c>
      <c r="L303" s="386">
        <v>0</v>
      </c>
      <c r="M303" s="386">
        <v>0</v>
      </c>
      <c r="N303" s="386">
        <v>0</v>
      </c>
      <c r="O303" s="386">
        <v>0</v>
      </c>
      <c r="P303" s="386">
        <v>0</v>
      </c>
      <c r="Q303" s="386">
        <v>0</v>
      </c>
      <c r="R303" s="386">
        <v>0</v>
      </c>
      <c r="S303" s="386">
        <v>0</v>
      </c>
      <c r="T303" s="386">
        <v>0</v>
      </c>
      <c r="U303" s="386">
        <v>0</v>
      </c>
      <c r="V303" s="386">
        <v>0</v>
      </c>
      <c r="W303" s="386">
        <v>0</v>
      </c>
      <c r="X303" s="386">
        <v>0</v>
      </c>
      <c r="Y303" s="386">
        <v>0</v>
      </c>
      <c r="Z303" s="386">
        <v>0</v>
      </c>
      <c r="AA303" s="387">
        <v>0</v>
      </c>
      <c r="AB303" s="386">
        <v>0</v>
      </c>
      <c r="AC303" s="373">
        <v>0</v>
      </c>
      <c r="AD303" s="373">
        <v>0</v>
      </c>
      <c r="AE303" s="369">
        <v>0</v>
      </c>
      <c r="AF303" s="344">
        <f t="shared" si="24"/>
        <v>0</v>
      </c>
    </row>
    <row r="304" spans="1:32">
      <c r="A304" s="384" t="s">
        <v>537</v>
      </c>
      <c r="B304" s="385"/>
      <c r="C304" s="361">
        <f t="shared" si="25"/>
        <v>0</v>
      </c>
      <c r="D304" s="361">
        <f t="shared" si="26"/>
        <v>0</v>
      </c>
      <c r="E304" s="361">
        <f t="shared" si="27"/>
        <v>0</v>
      </c>
      <c r="F304" s="361">
        <f t="shared" si="28"/>
        <v>0</v>
      </c>
      <c r="G304" s="361">
        <f t="shared" si="29"/>
        <v>0</v>
      </c>
      <c r="H304" s="386">
        <v>0</v>
      </c>
      <c r="I304" s="386">
        <v>0</v>
      </c>
      <c r="J304" s="386">
        <v>0</v>
      </c>
      <c r="K304" s="386">
        <v>0</v>
      </c>
      <c r="L304" s="386">
        <v>0</v>
      </c>
      <c r="M304" s="386">
        <v>0</v>
      </c>
      <c r="N304" s="386">
        <v>0</v>
      </c>
      <c r="O304" s="386">
        <v>0</v>
      </c>
      <c r="P304" s="386">
        <v>0</v>
      </c>
      <c r="Q304" s="386">
        <v>0</v>
      </c>
      <c r="R304" s="386">
        <v>0</v>
      </c>
      <c r="S304" s="386">
        <v>0</v>
      </c>
      <c r="T304" s="386">
        <v>0</v>
      </c>
      <c r="U304" s="386">
        <v>0</v>
      </c>
      <c r="V304" s="386">
        <v>0</v>
      </c>
      <c r="W304" s="386">
        <v>0</v>
      </c>
      <c r="X304" s="386">
        <v>0</v>
      </c>
      <c r="Y304" s="386">
        <v>0</v>
      </c>
      <c r="Z304" s="386">
        <v>0</v>
      </c>
      <c r="AA304" s="387">
        <v>0</v>
      </c>
      <c r="AB304" s="386"/>
      <c r="AC304" s="373">
        <v>0</v>
      </c>
      <c r="AD304" s="373">
        <v>21845.23</v>
      </c>
      <c r="AE304" s="369">
        <v>21845.23</v>
      </c>
      <c r="AF304" s="344">
        <f t="shared" si="24"/>
        <v>0</v>
      </c>
    </row>
    <row r="305" spans="1:32">
      <c r="A305" s="434" t="s">
        <v>927</v>
      </c>
      <c r="B305" s="427" t="s">
        <v>638</v>
      </c>
      <c r="C305" s="361">
        <f t="shared" si="25"/>
        <v>0</v>
      </c>
      <c r="D305" s="361">
        <f t="shared" si="26"/>
        <v>0</v>
      </c>
      <c r="E305" s="361">
        <f t="shared" si="27"/>
        <v>0</v>
      </c>
      <c r="F305" s="361">
        <f t="shared" si="28"/>
        <v>236033.51000000021</v>
      </c>
      <c r="G305" s="361">
        <f t="shared" si="29"/>
        <v>523214.32920110191</v>
      </c>
      <c r="H305" s="388">
        <v>0</v>
      </c>
      <c r="I305" s="388">
        <v>0</v>
      </c>
      <c r="J305" s="388">
        <v>0</v>
      </c>
      <c r="K305" s="388">
        <v>0</v>
      </c>
      <c r="L305" s="388">
        <v>0</v>
      </c>
      <c r="M305" s="388">
        <v>0</v>
      </c>
      <c r="N305" s="388">
        <v>0</v>
      </c>
      <c r="O305" s="388">
        <v>0</v>
      </c>
      <c r="P305" s="388">
        <v>0</v>
      </c>
      <c r="Q305" s="388">
        <v>0</v>
      </c>
      <c r="R305" s="388">
        <v>0</v>
      </c>
      <c r="S305" s="388">
        <v>0</v>
      </c>
      <c r="T305" s="388">
        <v>0</v>
      </c>
      <c r="U305" s="388">
        <v>57345.32999999958</v>
      </c>
      <c r="V305" s="388">
        <v>89158.180000000633</v>
      </c>
      <c r="W305" s="388">
        <v>89530</v>
      </c>
      <c r="X305" s="388">
        <v>87623.25</v>
      </c>
      <c r="Y305" s="388">
        <v>122667.90999999999</v>
      </c>
      <c r="Z305" s="388">
        <v>114539.70999999999</v>
      </c>
      <c r="AA305" s="362">
        <v>198383.45920110194</v>
      </c>
      <c r="AB305" s="388">
        <v>-7.9999999936262611E-2</v>
      </c>
      <c r="AC305" s="364">
        <v>756933.51920110185</v>
      </c>
      <c r="AD305" s="388">
        <v>624544.27</v>
      </c>
      <c r="AE305" s="388">
        <v>-132389.25</v>
      </c>
      <c r="AF305" s="344">
        <f t="shared" si="24"/>
        <v>1.3045987363652855E-3</v>
      </c>
    </row>
    <row r="306" spans="1:32">
      <c r="A306" s="417" t="s">
        <v>639</v>
      </c>
      <c r="B306" s="418"/>
      <c r="C306" s="361">
        <f t="shared" si="25"/>
        <v>0</v>
      </c>
      <c r="D306" s="361">
        <f t="shared" si="26"/>
        <v>0</v>
      </c>
      <c r="E306" s="361">
        <f t="shared" si="27"/>
        <v>0</v>
      </c>
      <c r="F306" s="361">
        <f t="shared" si="28"/>
        <v>195962.15</v>
      </c>
      <c r="G306" s="361">
        <f t="shared" si="29"/>
        <v>372211.54950413218</v>
      </c>
      <c r="H306" s="367"/>
      <c r="I306" s="367">
        <v>0</v>
      </c>
      <c r="J306" s="367">
        <v>0</v>
      </c>
      <c r="K306" s="367">
        <v>0</v>
      </c>
      <c r="L306" s="367">
        <v>0</v>
      </c>
      <c r="M306" s="367">
        <v>0</v>
      </c>
      <c r="N306" s="367">
        <v>0</v>
      </c>
      <c r="O306" s="367">
        <v>0</v>
      </c>
      <c r="P306" s="367">
        <v>0</v>
      </c>
      <c r="Q306" s="367">
        <v>0</v>
      </c>
      <c r="R306" s="371">
        <v>0</v>
      </c>
      <c r="S306" s="371">
        <v>0</v>
      </c>
      <c r="T306" s="371">
        <v>0</v>
      </c>
      <c r="U306" s="371">
        <v>49762.03</v>
      </c>
      <c r="V306" s="371">
        <v>74516.25</v>
      </c>
      <c r="W306" s="371">
        <v>71683.87</v>
      </c>
      <c r="X306" s="371">
        <v>74145.34</v>
      </c>
      <c r="Y306" s="371">
        <v>93634.02</v>
      </c>
      <c r="Z306" s="372">
        <v>80765.09</v>
      </c>
      <c r="AA306" s="367">
        <v>123667.09950413222</v>
      </c>
      <c r="AB306" s="371">
        <v>-8.0000000045401976E-2</v>
      </c>
      <c r="AC306" s="468">
        <v>568173.69950413215</v>
      </c>
      <c r="AD306" s="468">
        <v>518792.93</v>
      </c>
      <c r="AE306" s="468">
        <v>-49380.77</v>
      </c>
      <c r="AF306" s="344">
        <f t="shared" si="24"/>
        <v>9.7926524801202281E-4</v>
      </c>
    </row>
    <row r="307" spans="1:32">
      <c r="A307" s="417" t="s">
        <v>640</v>
      </c>
      <c r="B307" s="418"/>
      <c r="C307" s="361">
        <f t="shared" si="25"/>
        <v>0</v>
      </c>
      <c r="D307" s="361">
        <f t="shared" si="26"/>
        <v>0</v>
      </c>
      <c r="E307" s="361">
        <f t="shared" si="27"/>
        <v>0</v>
      </c>
      <c r="F307" s="361">
        <f t="shared" si="28"/>
        <v>40071.360000000219</v>
      </c>
      <c r="G307" s="361">
        <f t="shared" si="29"/>
        <v>146069.86969696969</v>
      </c>
      <c r="H307" s="367"/>
      <c r="I307" s="367">
        <v>0</v>
      </c>
      <c r="J307" s="367">
        <v>0</v>
      </c>
      <c r="K307" s="367">
        <v>0</v>
      </c>
      <c r="L307" s="367">
        <v>0</v>
      </c>
      <c r="M307" s="367">
        <v>0</v>
      </c>
      <c r="N307" s="367">
        <v>0</v>
      </c>
      <c r="O307" s="367">
        <v>0</v>
      </c>
      <c r="P307" s="367">
        <v>0</v>
      </c>
      <c r="Q307" s="367">
        <v>0</v>
      </c>
      <c r="R307" s="371">
        <v>0</v>
      </c>
      <c r="S307" s="371">
        <v>0</v>
      </c>
      <c r="T307" s="371">
        <v>0</v>
      </c>
      <c r="U307" s="371">
        <v>7583.2999999995809</v>
      </c>
      <c r="V307" s="371">
        <v>14641.930000000633</v>
      </c>
      <c r="W307" s="371">
        <v>17846.13</v>
      </c>
      <c r="X307" s="371">
        <v>13477.91</v>
      </c>
      <c r="Y307" s="371">
        <v>29033.890000000003</v>
      </c>
      <c r="Z307" s="372">
        <v>33774.620000000003</v>
      </c>
      <c r="AA307" s="367">
        <v>69783.449696969692</v>
      </c>
      <c r="AB307" s="371">
        <v>1.0913936421275139E-10</v>
      </c>
      <c r="AC307" s="468">
        <v>183826.90969696967</v>
      </c>
      <c r="AD307" s="468">
        <v>99588.88</v>
      </c>
      <c r="AE307" s="468">
        <v>-84238.03</v>
      </c>
      <c r="AF307" s="344">
        <f t="shared" si="24"/>
        <v>3.1683146276005603E-4</v>
      </c>
    </row>
    <row r="308" spans="1:32" ht="25.5">
      <c r="A308" s="384" t="s">
        <v>536</v>
      </c>
      <c r="B308" s="385"/>
      <c r="C308" s="361">
        <f t="shared" si="25"/>
        <v>0</v>
      </c>
      <c r="D308" s="361">
        <f t="shared" si="26"/>
        <v>0</v>
      </c>
      <c r="E308" s="361">
        <f t="shared" si="27"/>
        <v>0</v>
      </c>
      <c r="F308" s="361">
        <f t="shared" si="28"/>
        <v>0</v>
      </c>
      <c r="G308" s="361">
        <f t="shared" si="29"/>
        <v>0</v>
      </c>
      <c r="H308" s="386">
        <v>0</v>
      </c>
      <c r="I308" s="386">
        <v>0</v>
      </c>
      <c r="J308" s="386">
        <v>0</v>
      </c>
      <c r="K308" s="386">
        <v>0</v>
      </c>
      <c r="L308" s="386">
        <v>0</v>
      </c>
      <c r="M308" s="386">
        <v>0</v>
      </c>
      <c r="N308" s="386">
        <v>0</v>
      </c>
      <c r="O308" s="386">
        <v>0</v>
      </c>
      <c r="P308" s="386">
        <v>0</v>
      </c>
      <c r="Q308" s="386">
        <v>0</v>
      </c>
      <c r="R308" s="386">
        <v>0</v>
      </c>
      <c r="S308" s="386">
        <v>0</v>
      </c>
      <c r="T308" s="386">
        <v>0</v>
      </c>
      <c r="U308" s="386">
        <v>0</v>
      </c>
      <c r="V308" s="386">
        <v>0</v>
      </c>
      <c r="W308" s="386">
        <v>0</v>
      </c>
      <c r="X308" s="386">
        <v>0</v>
      </c>
      <c r="Y308" s="386">
        <v>0</v>
      </c>
      <c r="Z308" s="386">
        <v>0</v>
      </c>
      <c r="AA308" s="387">
        <v>0</v>
      </c>
      <c r="AB308" s="386">
        <v>0</v>
      </c>
      <c r="AC308" s="373">
        <v>0</v>
      </c>
      <c r="AD308" s="373">
        <v>0</v>
      </c>
      <c r="AE308" s="369">
        <v>0</v>
      </c>
      <c r="AF308" s="344">
        <f t="shared" si="24"/>
        <v>0</v>
      </c>
    </row>
    <row r="309" spans="1:32">
      <c r="A309" s="384" t="s">
        <v>537</v>
      </c>
      <c r="B309" s="385"/>
      <c r="C309" s="361">
        <f t="shared" si="25"/>
        <v>0</v>
      </c>
      <c r="D309" s="361">
        <f t="shared" si="26"/>
        <v>0</v>
      </c>
      <c r="E309" s="361">
        <f t="shared" si="27"/>
        <v>0</v>
      </c>
      <c r="F309" s="361">
        <f t="shared" si="28"/>
        <v>0</v>
      </c>
      <c r="G309" s="361">
        <f t="shared" si="29"/>
        <v>4932.91</v>
      </c>
      <c r="H309" s="386"/>
      <c r="I309" s="386"/>
      <c r="J309" s="386"/>
      <c r="K309" s="386"/>
      <c r="L309" s="386"/>
      <c r="M309" s="386"/>
      <c r="N309" s="386"/>
      <c r="O309" s="386">
        <v>0</v>
      </c>
      <c r="P309" s="386">
        <v>0</v>
      </c>
      <c r="Q309" s="386">
        <v>0</v>
      </c>
      <c r="R309" s="386">
        <v>0</v>
      </c>
      <c r="S309" s="386">
        <v>0</v>
      </c>
      <c r="T309" s="386">
        <v>0</v>
      </c>
      <c r="U309" s="386">
        <v>0</v>
      </c>
      <c r="V309" s="386">
        <v>0</v>
      </c>
      <c r="W309" s="386">
        <v>0</v>
      </c>
      <c r="X309" s="386">
        <v>0</v>
      </c>
      <c r="Y309" s="386">
        <v>0</v>
      </c>
      <c r="Z309" s="387">
        <v>0</v>
      </c>
      <c r="AA309" s="387">
        <v>4932.91</v>
      </c>
      <c r="AB309" s="386"/>
      <c r="AC309" s="373">
        <v>4932.91</v>
      </c>
      <c r="AD309" s="373">
        <v>6162.46</v>
      </c>
      <c r="AE309" s="369">
        <v>1229.55</v>
      </c>
      <c r="AF309" s="344">
        <f t="shared" si="24"/>
        <v>8.5020255932065643E-6</v>
      </c>
    </row>
    <row r="310" spans="1:32">
      <c r="A310" s="434" t="s">
        <v>928</v>
      </c>
      <c r="B310" s="427" t="s">
        <v>638</v>
      </c>
      <c r="C310" s="361">
        <f t="shared" si="25"/>
        <v>0</v>
      </c>
      <c r="D310" s="361">
        <f t="shared" si="26"/>
        <v>0</v>
      </c>
      <c r="E310" s="361">
        <f t="shared" si="27"/>
        <v>0</v>
      </c>
      <c r="F310" s="361">
        <f t="shared" si="28"/>
        <v>1028851.0099999998</v>
      </c>
      <c r="G310" s="361">
        <f t="shared" si="29"/>
        <v>1490893.5815151515</v>
      </c>
      <c r="H310" s="388">
        <v>0</v>
      </c>
      <c r="I310" s="388">
        <v>0</v>
      </c>
      <c r="J310" s="388">
        <v>0</v>
      </c>
      <c r="K310" s="388">
        <v>0</v>
      </c>
      <c r="L310" s="388">
        <v>0</v>
      </c>
      <c r="M310" s="388">
        <v>0</v>
      </c>
      <c r="N310" s="388">
        <v>0</v>
      </c>
      <c r="O310" s="388">
        <v>0</v>
      </c>
      <c r="P310" s="388">
        <v>0</v>
      </c>
      <c r="Q310" s="388">
        <v>0</v>
      </c>
      <c r="R310" s="388">
        <v>0</v>
      </c>
      <c r="S310" s="388">
        <v>0</v>
      </c>
      <c r="T310" s="388">
        <v>0</v>
      </c>
      <c r="U310" s="388">
        <v>313290.80000000028</v>
      </c>
      <c r="V310" s="388">
        <v>373124.08999999933</v>
      </c>
      <c r="W310" s="388">
        <v>342436.12000000005</v>
      </c>
      <c r="X310" s="388">
        <v>386622.78</v>
      </c>
      <c r="Y310" s="388">
        <v>292643.3</v>
      </c>
      <c r="Z310" s="388">
        <v>306993.26999999973</v>
      </c>
      <c r="AA310" s="362">
        <v>504634.23151515162</v>
      </c>
      <c r="AB310" s="388">
        <v>122602.26571371127</v>
      </c>
      <c r="AC310" s="364">
        <v>2513524.3215151513</v>
      </c>
      <c r="AD310" s="388">
        <v>2841565.5999999996</v>
      </c>
      <c r="AE310" s="388">
        <v>328041.28000000003</v>
      </c>
      <c r="AF310" s="344">
        <f t="shared" si="24"/>
        <v>4.3321382532154409E-3</v>
      </c>
    </row>
    <row r="311" spans="1:32">
      <c r="A311" s="417" t="s">
        <v>639</v>
      </c>
      <c r="B311" s="418"/>
      <c r="C311" s="361">
        <f t="shared" si="25"/>
        <v>0</v>
      </c>
      <c r="D311" s="361">
        <f t="shared" si="26"/>
        <v>0</v>
      </c>
      <c r="E311" s="361">
        <f t="shared" si="27"/>
        <v>0</v>
      </c>
      <c r="F311" s="361">
        <f t="shared" si="28"/>
        <v>862156.56</v>
      </c>
      <c r="G311" s="361">
        <f t="shared" si="29"/>
        <v>1227463.5</v>
      </c>
      <c r="H311" s="367"/>
      <c r="I311" s="367">
        <v>0</v>
      </c>
      <c r="J311" s="367">
        <v>0</v>
      </c>
      <c r="K311" s="367">
        <v>0</v>
      </c>
      <c r="L311" s="367">
        <v>0</v>
      </c>
      <c r="M311" s="367">
        <v>0</v>
      </c>
      <c r="N311" s="367">
        <v>0</v>
      </c>
      <c r="O311" s="367">
        <v>0</v>
      </c>
      <c r="P311" s="367">
        <v>0</v>
      </c>
      <c r="Q311" s="367">
        <v>0</v>
      </c>
      <c r="R311" s="371">
        <v>0</v>
      </c>
      <c r="S311" s="371">
        <v>0</v>
      </c>
      <c r="T311" s="371">
        <v>0</v>
      </c>
      <c r="U311" s="371">
        <v>278299.71999999997</v>
      </c>
      <c r="V311" s="371">
        <v>282667.38</v>
      </c>
      <c r="W311" s="371">
        <v>301189.46000000002</v>
      </c>
      <c r="X311" s="371">
        <v>290685.58</v>
      </c>
      <c r="Y311" s="371">
        <v>243315.06</v>
      </c>
      <c r="Z311" s="372">
        <v>253948.11</v>
      </c>
      <c r="AA311" s="367">
        <v>439514.75000000006</v>
      </c>
      <c r="AB311" s="371">
        <v>-3027.1700000001583</v>
      </c>
      <c r="AC311" s="468">
        <v>2089620.06</v>
      </c>
      <c r="AD311" s="468">
        <v>2326663.19</v>
      </c>
      <c r="AE311" s="468">
        <v>237043.13</v>
      </c>
      <c r="AF311" s="344">
        <f t="shared" si="24"/>
        <v>3.6015259208454719E-3</v>
      </c>
    </row>
    <row r="312" spans="1:32">
      <c r="A312" s="417" t="s">
        <v>640</v>
      </c>
      <c r="B312" s="418"/>
      <c r="C312" s="361">
        <f t="shared" si="25"/>
        <v>0</v>
      </c>
      <c r="D312" s="361">
        <f t="shared" si="26"/>
        <v>0</v>
      </c>
      <c r="E312" s="361">
        <f t="shared" si="27"/>
        <v>0</v>
      </c>
      <c r="F312" s="361">
        <f t="shared" si="28"/>
        <v>166694.44999999963</v>
      </c>
      <c r="G312" s="361">
        <f t="shared" si="29"/>
        <v>261435.18151515129</v>
      </c>
      <c r="H312" s="367"/>
      <c r="I312" s="367">
        <v>0</v>
      </c>
      <c r="J312" s="367">
        <v>0</v>
      </c>
      <c r="K312" s="367">
        <v>0</v>
      </c>
      <c r="L312" s="367">
        <v>0</v>
      </c>
      <c r="M312" s="367">
        <v>0</v>
      </c>
      <c r="N312" s="367">
        <v>0</v>
      </c>
      <c r="O312" s="367">
        <v>0</v>
      </c>
      <c r="P312" s="367">
        <v>0</v>
      </c>
      <c r="Q312" s="367">
        <v>0</v>
      </c>
      <c r="R312" s="371">
        <v>0</v>
      </c>
      <c r="S312" s="371">
        <v>0</v>
      </c>
      <c r="T312" s="371">
        <v>0</v>
      </c>
      <c r="U312" s="371">
        <v>34991.080000000307</v>
      </c>
      <c r="V312" s="371">
        <v>90456.709999999322</v>
      </c>
      <c r="W312" s="371">
        <v>41246.660000000003</v>
      </c>
      <c r="X312" s="371">
        <v>95937.2</v>
      </c>
      <c r="Y312" s="371">
        <v>49328.240000000005</v>
      </c>
      <c r="Z312" s="372">
        <v>53045.159999999778</v>
      </c>
      <c r="AA312" s="367">
        <v>63124.581515151513</v>
      </c>
      <c r="AB312" s="371">
        <v>-316.74000000012711</v>
      </c>
      <c r="AC312" s="468">
        <v>421909.36151515134</v>
      </c>
      <c r="AD312" s="468">
        <v>481388.4</v>
      </c>
      <c r="AE312" s="468">
        <v>59479.040000000001</v>
      </c>
      <c r="AF312" s="344">
        <f t="shared" si="24"/>
        <v>7.2717405945278897E-4</v>
      </c>
    </row>
    <row r="313" spans="1:32" ht="25.5">
      <c r="A313" s="384" t="s">
        <v>536</v>
      </c>
      <c r="B313" s="385"/>
      <c r="C313" s="361">
        <f t="shared" si="25"/>
        <v>0</v>
      </c>
      <c r="D313" s="361">
        <f t="shared" si="26"/>
        <v>0</v>
      </c>
      <c r="E313" s="361">
        <f t="shared" si="27"/>
        <v>0</v>
      </c>
      <c r="F313" s="361">
        <f t="shared" si="28"/>
        <v>0</v>
      </c>
      <c r="G313" s="361">
        <f t="shared" si="29"/>
        <v>0</v>
      </c>
      <c r="H313" s="386">
        <v>0</v>
      </c>
      <c r="I313" s="386">
        <v>0</v>
      </c>
      <c r="J313" s="386">
        <v>0</v>
      </c>
      <c r="K313" s="386">
        <v>0</v>
      </c>
      <c r="L313" s="386">
        <v>0</v>
      </c>
      <c r="M313" s="386">
        <v>0</v>
      </c>
      <c r="N313" s="386">
        <v>0</v>
      </c>
      <c r="O313" s="386">
        <v>0</v>
      </c>
      <c r="P313" s="386">
        <v>0</v>
      </c>
      <c r="Q313" s="386">
        <v>0</v>
      </c>
      <c r="R313" s="386">
        <v>0</v>
      </c>
      <c r="S313" s="386">
        <v>0</v>
      </c>
      <c r="T313" s="386">
        <v>0</v>
      </c>
      <c r="U313" s="386">
        <v>0</v>
      </c>
      <c r="V313" s="386">
        <v>0</v>
      </c>
      <c r="W313" s="386">
        <v>0</v>
      </c>
      <c r="X313" s="386">
        <v>0</v>
      </c>
      <c r="Y313" s="386">
        <v>0</v>
      </c>
      <c r="Z313" s="386">
        <v>0</v>
      </c>
      <c r="AA313" s="387">
        <v>0</v>
      </c>
      <c r="AB313" s="386">
        <v>125946.17571371155</v>
      </c>
      <c r="AC313" s="373">
        <v>0</v>
      </c>
      <c r="AD313" s="373">
        <v>0</v>
      </c>
      <c r="AE313" s="369">
        <v>0</v>
      </c>
      <c r="AF313" s="344">
        <f t="shared" si="24"/>
        <v>0</v>
      </c>
    </row>
    <row r="314" spans="1:32">
      <c r="A314" s="384" t="s">
        <v>537</v>
      </c>
      <c r="B314" s="385"/>
      <c r="C314" s="361">
        <f t="shared" si="25"/>
        <v>0</v>
      </c>
      <c r="D314" s="361">
        <f t="shared" si="26"/>
        <v>0</v>
      </c>
      <c r="E314" s="361">
        <f t="shared" si="27"/>
        <v>0</v>
      </c>
      <c r="F314" s="361">
        <f t="shared" si="28"/>
        <v>0</v>
      </c>
      <c r="G314" s="361">
        <f t="shared" si="29"/>
        <v>1994.9</v>
      </c>
      <c r="H314" s="386"/>
      <c r="I314" s="386"/>
      <c r="J314" s="386"/>
      <c r="K314" s="386"/>
      <c r="L314" s="386"/>
      <c r="M314" s="386"/>
      <c r="N314" s="386"/>
      <c r="O314" s="386">
        <v>0</v>
      </c>
      <c r="P314" s="386">
        <v>0</v>
      </c>
      <c r="Q314" s="386">
        <v>0</v>
      </c>
      <c r="R314" s="386">
        <v>0</v>
      </c>
      <c r="S314" s="386">
        <v>0</v>
      </c>
      <c r="T314" s="386">
        <v>0</v>
      </c>
      <c r="U314" s="386">
        <v>0</v>
      </c>
      <c r="V314" s="386">
        <v>0</v>
      </c>
      <c r="W314" s="386">
        <v>0</v>
      </c>
      <c r="X314" s="386">
        <v>0</v>
      </c>
      <c r="Y314" s="386">
        <v>0</v>
      </c>
      <c r="Z314" s="469">
        <v>0</v>
      </c>
      <c r="AA314" s="387">
        <v>1994.9</v>
      </c>
      <c r="AB314" s="470"/>
      <c r="AC314" s="373">
        <v>1994.9</v>
      </c>
      <c r="AD314" s="373">
        <v>33514.01</v>
      </c>
      <c r="AE314" s="369">
        <v>31519.11</v>
      </c>
      <c r="AF314" s="344">
        <f t="shared" si="24"/>
        <v>3.43827291718028E-6</v>
      </c>
    </row>
    <row r="315" spans="1:32">
      <c r="A315" s="419" t="s">
        <v>929</v>
      </c>
      <c r="B315" s="420">
        <v>0</v>
      </c>
      <c r="C315" s="361">
        <f t="shared" si="25"/>
        <v>310180.51</v>
      </c>
      <c r="D315" s="361">
        <f t="shared" si="26"/>
        <v>1879734</v>
      </c>
      <c r="E315" s="361">
        <f t="shared" si="27"/>
        <v>9894948.3699999992</v>
      </c>
      <c r="F315" s="361">
        <f t="shared" si="28"/>
        <v>26124136.899999999</v>
      </c>
      <c r="G315" s="361">
        <f t="shared" si="29"/>
        <v>51377523.244655646</v>
      </c>
      <c r="H315" s="423">
        <v>0</v>
      </c>
      <c r="I315" s="423">
        <v>0</v>
      </c>
      <c r="J315" s="423">
        <v>0</v>
      </c>
      <c r="K315" s="423">
        <v>310180.51</v>
      </c>
      <c r="L315" s="423">
        <v>56193.98000000001</v>
      </c>
      <c r="M315" s="423">
        <v>292351.81999999995</v>
      </c>
      <c r="N315" s="423">
        <v>630077.96</v>
      </c>
      <c r="O315" s="423">
        <v>901110.24</v>
      </c>
      <c r="P315" s="423">
        <v>1632344.9</v>
      </c>
      <c r="Q315" s="437">
        <v>2179283.8499999996</v>
      </c>
      <c r="R315" s="423">
        <v>3383386.04</v>
      </c>
      <c r="S315" s="423">
        <v>2699933.58</v>
      </c>
      <c r="T315" s="423">
        <v>3809905.81</v>
      </c>
      <c r="U315" s="423">
        <v>4841130.8499999996</v>
      </c>
      <c r="V315" s="423">
        <v>9988277.8200000003</v>
      </c>
      <c r="W315" s="423">
        <v>7484822.4199999999</v>
      </c>
      <c r="X315" s="423">
        <v>5310522.8199999994</v>
      </c>
      <c r="Y315" s="423">
        <v>8150812.7800000003</v>
      </c>
      <c r="Z315" s="423">
        <v>9902767.5399999991</v>
      </c>
      <c r="AA315" s="423">
        <v>28013420.104655646</v>
      </c>
      <c r="AB315" s="423">
        <v>10786494.833341409</v>
      </c>
      <c r="AC315" s="423">
        <v>84576983.354655653</v>
      </c>
      <c r="AD315" s="423">
        <v>96149855.559999973</v>
      </c>
      <c r="AE315" s="423">
        <v>11572872.210000001</v>
      </c>
      <c r="AF315" s="344">
        <f t="shared" si="24"/>
        <v>0.14577109192697371</v>
      </c>
    </row>
    <row r="316" spans="1:32">
      <c r="A316" s="425" t="s">
        <v>930</v>
      </c>
      <c r="B316" s="438"/>
      <c r="C316" s="361">
        <f t="shared" si="25"/>
        <v>0</v>
      </c>
      <c r="D316" s="361">
        <f t="shared" si="26"/>
        <v>0</v>
      </c>
      <c r="E316" s="361">
        <f t="shared" si="27"/>
        <v>0</v>
      </c>
      <c r="F316" s="361">
        <f t="shared" si="28"/>
        <v>0</v>
      </c>
      <c r="G316" s="361">
        <f t="shared" si="29"/>
        <v>0</v>
      </c>
      <c r="H316" s="471"/>
      <c r="I316" s="471"/>
      <c r="J316" s="471"/>
      <c r="K316" s="471"/>
      <c r="L316" s="471"/>
      <c r="M316" s="471"/>
      <c r="N316" s="471"/>
      <c r="O316" s="471"/>
      <c r="P316" s="471">
        <v>0</v>
      </c>
      <c r="Q316" s="472">
        <v>0</v>
      </c>
      <c r="R316" s="471">
        <v>0</v>
      </c>
      <c r="S316" s="471">
        <v>0</v>
      </c>
      <c r="T316" s="471">
        <v>0</v>
      </c>
      <c r="U316" s="471">
        <v>0</v>
      </c>
      <c r="V316" s="471">
        <v>0</v>
      </c>
      <c r="W316" s="471">
        <v>0</v>
      </c>
      <c r="X316" s="471">
        <v>0</v>
      </c>
      <c r="Y316" s="471">
        <v>0</v>
      </c>
      <c r="Z316" s="471">
        <v>0</v>
      </c>
      <c r="AA316" s="471">
        <v>0</v>
      </c>
      <c r="AB316" s="471"/>
      <c r="AC316" s="473"/>
      <c r="AD316" s="473">
        <v>0</v>
      </c>
      <c r="AE316" s="473">
        <v>0</v>
      </c>
      <c r="AF316" s="344">
        <f t="shared" si="24"/>
        <v>0</v>
      </c>
    </row>
    <row r="317" spans="1:32">
      <c r="A317" s="360" t="s">
        <v>931</v>
      </c>
      <c r="B317" s="427" t="s">
        <v>932</v>
      </c>
      <c r="C317" s="361">
        <f t="shared" si="25"/>
        <v>6432618</v>
      </c>
      <c r="D317" s="361">
        <f t="shared" si="26"/>
        <v>12401513.17</v>
      </c>
      <c r="E317" s="361">
        <f t="shared" si="27"/>
        <v>88059.33</v>
      </c>
      <c r="F317" s="361">
        <f t="shared" si="28"/>
        <v>6436105.8999999994</v>
      </c>
      <c r="G317" s="361">
        <f t="shared" si="29"/>
        <v>5336825.87</v>
      </c>
      <c r="H317" s="388">
        <v>0</v>
      </c>
      <c r="I317" s="388">
        <v>0</v>
      </c>
      <c r="J317" s="388">
        <v>6432618</v>
      </c>
      <c r="K317" s="388">
        <v>0</v>
      </c>
      <c r="L317" s="388">
        <v>6308318.8799999999</v>
      </c>
      <c r="M317" s="388">
        <v>0</v>
      </c>
      <c r="N317" s="388">
        <v>5996309.7999999998</v>
      </c>
      <c r="O317" s="388">
        <v>96884.49</v>
      </c>
      <c r="P317" s="388">
        <v>6477.07</v>
      </c>
      <c r="Q317" s="388">
        <v>77704.3</v>
      </c>
      <c r="R317" s="388">
        <v>3877.96</v>
      </c>
      <c r="S317" s="388">
        <v>0</v>
      </c>
      <c r="T317" s="388">
        <v>6262753.7400000002</v>
      </c>
      <c r="U317" s="388">
        <v>1276.3100000000002</v>
      </c>
      <c r="V317" s="388">
        <v>163347.13</v>
      </c>
      <c r="W317" s="388">
        <v>8728.7199999999993</v>
      </c>
      <c r="X317" s="388">
        <v>269312.32</v>
      </c>
      <c r="Y317" s="388">
        <v>37732.130000000005</v>
      </c>
      <c r="Z317" s="388">
        <v>28481.96</v>
      </c>
      <c r="AA317" s="362">
        <v>5001299.46</v>
      </c>
      <c r="AB317" s="388">
        <v>663.66</v>
      </c>
      <c r="AC317" s="364">
        <v>30695122.270000003</v>
      </c>
      <c r="AD317" s="388">
        <v>30695785.93</v>
      </c>
      <c r="AE317" s="364">
        <v>663.66</v>
      </c>
      <c r="AF317" s="344">
        <f t="shared" si="24"/>
        <v>5.2904009018235644E-2</v>
      </c>
    </row>
    <row r="318" spans="1:32">
      <c r="A318" s="441" t="s">
        <v>933</v>
      </c>
      <c r="B318" s="442" t="s">
        <v>934</v>
      </c>
      <c r="C318" s="361">
        <f t="shared" si="25"/>
        <v>6432618</v>
      </c>
      <c r="D318" s="361">
        <f t="shared" si="26"/>
        <v>12304628.68</v>
      </c>
      <c r="E318" s="361">
        <f t="shared" si="27"/>
        <v>0</v>
      </c>
      <c r="F318" s="361">
        <f t="shared" si="28"/>
        <v>6262753.3200000003</v>
      </c>
      <c r="G318" s="361">
        <f t="shared" si="29"/>
        <v>5000000</v>
      </c>
      <c r="H318" s="394">
        <v>0</v>
      </c>
      <c r="I318" s="394">
        <v>0</v>
      </c>
      <c r="J318" s="394">
        <v>6432618</v>
      </c>
      <c r="K318" s="394">
        <v>0</v>
      </c>
      <c r="L318" s="394">
        <v>6308318.8799999999</v>
      </c>
      <c r="M318" s="394">
        <v>0</v>
      </c>
      <c r="N318" s="394">
        <v>5996309.7999999998</v>
      </c>
      <c r="O318" s="394">
        <v>0</v>
      </c>
      <c r="P318" s="394">
        <v>0</v>
      </c>
      <c r="Q318" s="394">
        <v>0</v>
      </c>
      <c r="R318" s="394">
        <v>0</v>
      </c>
      <c r="S318" s="394">
        <v>0</v>
      </c>
      <c r="T318" s="394">
        <v>6262753.4400000004</v>
      </c>
      <c r="U318" s="394">
        <v>-0.12</v>
      </c>
      <c r="V318" s="394">
        <v>0</v>
      </c>
      <c r="W318" s="394">
        <v>0</v>
      </c>
      <c r="X318" s="394">
        <v>0</v>
      </c>
      <c r="Y318" s="394">
        <v>0</v>
      </c>
      <c r="Z318" s="394">
        <v>0</v>
      </c>
      <c r="AA318" s="392">
        <v>5000000</v>
      </c>
      <c r="AB318" s="394">
        <v>0</v>
      </c>
      <c r="AC318" s="369">
        <v>30000000</v>
      </c>
      <c r="AD318" s="369">
        <v>30000000</v>
      </c>
      <c r="AE318" s="444">
        <v>0</v>
      </c>
      <c r="AF318" s="344">
        <f t="shared" si="24"/>
        <v>5.170594391468665E-2</v>
      </c>
    </row>
    <row r="319" spans="1:32">
      <c r="A319" s="441" t="s">
        <v>935</v>
      </c>
      <c r="B319" s="442" t="s">
        <v>934</v>
      </c>
      <c r="C319" s="361">
        <f t="shared" si="25"/>
        <v>6432618</v>
      </c>
      <c r="D319" s="361">
        <f t="shared" si="26"/>
        <v>12304628.68</v>
      </c>
      <c r="E319" s="361">
        <f t="shared" si="27"/>
        <v>0</v>
      </c>
      <c r="F319" s="361">
        <f t="shared" si="28"/>
        <v>6262753.3200000003</v>
      </c>
      <c r="G319" s="361">
        <f t="shared" si="29"/>
        <v>0</v>
      </c>
      <c r="H319" s="394">
        <v>0</v>
      </c>
      <c r="I319" s="394">
        <v>0</v>
      </c>
      <c r="J319" s="394">
        <v>6432618</v>
      </c>
      <c r="K319" s="394">
        <v>0</v>
      </c>
      <c r="L319" s="394">
        <v>6308318.8799999999</v>
      </c>
      <c r="M319" s="394">
        <v>0</v>
      </c>
      <c r="N319" s="394">
        <v>5996309.7999999998</v>
      </c>
      <c r="O319" s="394">
        <v>0</v>
      </c>
      <c r="P319" s="394">
        <v>0</v>
      </c>
      <c r="Q319" s="394">
        <v>0</v>
      </c>
      <c r="R319" s="394">
        <v>0</v>
      </c>
      <c r="S319" s="394">
        <v>0</v>
      </c>
      <c r="T319" s="394">
        <v>6262753.4400000004</v>
      </c>
      <c r="U319" s="394">
        <v>-0.12</v>
      </c>
      <c r="V319" s="394">
        <v>0</v>
      </c>
      <c r="W319" s="394">
        <v>0</v>
      </c>
      <c r="X319" s="394">
        <v>0</v>
      </c>
      <c r="Y319" s="394">
        <v>0</v>
      </c>
      <c r="Z319" s="394">
        <v>0</v>
      </c>
      <c r="AA319" s="392">
        <v>0</v>
      </c>
      <c r="AB319" s="394">
        <v>0</v>
      </c>
      <c r="AC319" s="369">
        <v>25000000</v>
      </c>
      <c r="AD319" s="369">
        <v>25000000</v>
      </c>
      <c r="AE319" s="444">
        <v>0</v>
      </c>
      <c r="AF319" s="344">
        <f t="shared" si="24"/>
        <v>4.3088286595572206E-2</v>
      </c>
    </row>
    <row r="320" spans="1:32">
      <c r="A320" s="441" t="s">
        <v>936</v>
      </c>
      <c r="B320" s="442" t="s">
        <v>937</v>
      </c>
      <c r="C320" s="361">
        <f t="shared" si="25"/>
        <v>0</v>
      </c>
      <c r="D320" s="361">
        <f t="shared" si="26"/>
        <v>0</v>
      </c>
      <c r="E320" s="361">
        <f t="shared" si="27"/>
        <v>0</v>
      </c>
      <c r="F320" s="361">
        <f t="shared" si="28"/>
        <v>0</v>
      </c>
      <c r="G320" s="361">
        <f t="shared" si="29"/>
        <v>5000000</v>
      </c>
      <c r="H320" s="394"/>
      <c r="I320" s="394"/>
      <c r="J320" s="394"/>
      <c r="K320" s="394"/>
      <c r="L320" s="394"/>
      <c r="M320" s="394"/>
      <c r="N320" s="394"/>
      <c r="O320" s="394"/>
      <c r="P320" s="394"/>
      <c r="Q320" s="394"/>
      <c r="R320" s="394"/>
      <c r="S320" s="394"/>
      <c r="T320" s="394"/>
      <c r="U320" s="394"/>
      <c r="V320" s="394"/>
      <c r="W320" s="394"/>
      <c r="X320" s="394"/>
      <c r="Y320" s="394">
        <v>0</v>
      </c>
      <c r="Z320" s="394">
        <v>0</v>
      </c>
      <c r="AA320" s="392">
        <v>5000000</v>
      </c>
      <c r="AB320" s="394">
        <v>0</v>
      </c>
      <c r="AC320" s="369">
        <v>5000000</v>
      </c>
      <c r="AD320" s="369">
        <v>5000000</v>
      </c>
      <c r="AE320" s="444">
        <v>0</v>
      </c>
      <c r="AF320" s="344">
        <f t="shared" si="24"/>
        <v>8.6176573191144423E-3</v>
      </c>
    </row>
    <row r="321" spans="1:32">
      <c r="A321" s="441" t="s">
        <v>938</v>
      </c>
      <c r="B321" s="442" t="s">
        <v>939</v>
      </c>
      <c r="C321" s="361">
        <f t="shared" si="25"/>
        <v>0</v>
      </c>
      <c r="D321" s="361">
        <f t="shared" si="26"/>
        <v>96884.49</v>
      </c>
      <c r="E321" s="361">
        <f t="shared" si="27"/>
        <v>88059.33</v>
      </c>
      <c r="F321" s="361">
        <f t="shared" si="28"/>
        <v>173352.58000000002</v>
      </c>
      <c r="G321" s="361">
        <f t="shared" si="29"/>
        <v>336825.87000000005</v>
      </c>
      <c r="H321" s="394">
        <v>0</v>
      </c>
      <c r="I321" s="394">
        <v>0</v>
      </c>
      <c r="J321" s="394">
        <v>0</v>
      </c>
      <c r="K321" s="394">
        <v>0</v>
      </c>
      <c r="L321" s="394">
        <v>0</v>
      </c>
      <c r="M321" s="394">
        <v>0</v>
      </c>
      <c r="N321" s="394">
        <v>0</v>
      </c>
      <c r="O321" s="394">
        <v>96884.49</v>
      </c>
      <c r="P321" s="394">
        <v>6477.07</v>
      </c>
      <c r="Q321" s="394">
        <v>77704.3</v>
      </c>
      <c r="R321" s="394">
        <v>3877.96</v>
      </c>
      <c r="S321" s="394">
        <v>0</v>
      </c>
      <c r="T321" s="394">
        <v>0.2999999999992724</v>
      </c>
      <c r="U321" s="394">
        <v>1276.43</v>
      </c>
      <c r="V321" s="394">
        <v>163347.13</v>
      </c>
      <c r="W321" s="394">
        <v>8728.7199999999993</v>
      </c>
      <c r="X321" s="394">
        <v>269312.32</v>
      </c>
      <c r="Y321" s="394">
        <v>37732.130000000005</v>
      </c>
      <c r="Z321" s="394">
        <v>28481.96</v>
      </c>
      <c r="AA321" s="392">
        <v>1299.46</v>
      </c>
      <c r="AB321" s="394">
        <v>0</v>
      </c>
      <c r="AC321" s="369">
        <v>695122.2699999999</v>
      </c>
      <c r="AD321" s="369">
        <v>694704.55</v>
      </c>
      <c r="AE321" s="444">
        <v>-417.72</v>
      </c>
      <c r="AF321" s="344">
        <f t="shared" si="24"/>
        <v>1.1980651035489887E-3</v>
      </c>
    </row>
    <row r="322" spans="1:32">
      <c r="A322" s="451" t="s">
        <v>940</v>
      </c>
      <c r="B322" s="380" t="s">
        <v>941</v>
      </c>
      <c r="C322" s="361">
        <f t="shared" si="25"/>
        <v>0</v>
      </c>
      <c r="D322" s="361">
        <f t="shared" si="26"/>
        <v>96884.49</v>
      </c>
      <c r="E322" s="361">
        <f t="shared" si="27"/>
        <v>63575.68</v>
      </c>
      <c r="F322" s="361">
        <f t="shared" si="28"/>
        <v>0</v>
      </c>
      <c r="G322" s="361">
        <f t="shared" si="29"/>
        <v>0</v>
      </c>
      <c r="H322" s="375">
        <v>0</v>
      </c>
      <c r="I322" s="375">
        <v>0</v>
      </c>
      <c r="J322" s="375">
        <v>0</v>
      </c>
      <c r="K322" s="375">
        <v>0</v>
      </c>
      <c r="L322" s="375">
        <v>0</v>
      </c>
      <c r="M322" s="375">
        <v>0</v>
      </c>
      <c r="N322" s="375">
        <v>0</v>
      </c>
      <c r="O322" s="375">
        <v>96884.49</v>
      </c>
      <c r="P322" s="375">
        <v>0</v>
      </c>
      <c r="Q322" s="375">
        <v>63575.68</v>
      </c>
      <c r="R322" s="375">
        <v>0</v>
      </c>
      <c r="S322" s="375">
        <v>0</v>
      </c>
      <c r="T322" s="375">
        <v>0</v>
      </c>
      <c r="U322" s="375">
        <v>0</v>
      </c>
      <c r="V322" s="375">
        <v>0</v>
      </c>
      <c r="W322" s="375">
        <v>0</v>
      </c>
      <c r="X322" s="375">
        <v>0</v>
      </c>
      <c r="Y322" s="375">
        <v>0</v>
      </c>
      <c r="Z322" s="375">
        <v>0</v>
      </c>
      <c r="AA322" s="367">
        <v>0</v>
      </c>
      <c r="AB322" s="375">
        <v>0</v>
      </c>
      <c r="AC322" s="379">
        <v>160460.17000000001</v>
      </c>
      <c r="AD322" s="379">
        <v>160460.17000000001</v>
      </c>
      <c r="AE322" s="379">
        <v>0</v>
      </c>
      <c r="AF322" s="344">
        <f t="shared" si="24"/>
        <v>2.7655815168536955E-4</v>
      </c>
    </row>
    <row r="323" spans="1:32">
      <c r="A323" s="451" t="s">
        <v>942</v>
      </c>
      <c r="B323" s="380" t="s">
        <v>943</v>
      </c>
      <c r="C323" s="361">
        <f t="shared" si="25"/>
        <v>0</v>
      </c>
      <c r="D323" s="361">
        <f t="shared" si="26"/>
        <v>0</v>
      </c>
      <c r="E323" s="361">
        <f t="shared" si="27"/>
        <v>24483.649999999998</v>
      </c>
      <c r="F323" s="361">
        <f t="shared" si="28"/>
        <v>0</v>
      </c>
      <c r="G323" s="361">
        <f t="shared" si="29"/>
        <v>0</v>
      </c>
      <c r="H323" s="375"/>
      <c r="I323" s="375"/>
      <c r="J323" s="375"/>
      <c r="K323" s="375"/>
      <c r="L323" s="375"/>
      <c r="M323" s="375"/>
      <c r="N323" s="375"/>
      <c r="O323" s="375"/>
      <c r="P323" s="375">
        <v>6477.07</v>
      </c>
      <c r="Q323" s="375">
        <v>14128.619999999999</v>
      </c>
      <c r="R323" s="375">
        <v>3877.96</v>
      </c>
      <c r="S323" s="375">
        <v>0</v>
      </c>
      <c r="T323" s="375">
        <v>0</v>
      </c>
      <c r="U323" s="375">
        <v>0</v>
      </c>
      <c r="V323" s="375">
        <v>0</v>
      </c>
      <c r="W323" s="375">
        <v>0</v>
      </c>
      <c r="X323" s="375">
        <v>0</v>
      </c>
      <c r="Y323" s="375">
        <v>0</v>
      </c>
      <c r="Z323" s="375">
        <v>0</v>
      </c>
      <c r="AA323" s="367">
        <v>0</v>
      </c>
      <c r="AB323" s="375">
        <v>0</v>
      </c>
      <c r="AC323" s="379">
        <v>24483.65</v>
      </c>
      <c r="AD323" s="379">
        <v>24483.65</v>
      </c>
      <c r="AE323" s="379">
        <v>0</v>
      </c>
      <c r="AF323" s="344">
        <f t="shared" si="24"/>
        <v>4.2198341124227259E-5</v>
      </c>
    </row>
    <row r="324" spans="1:32" ht="25.5">
      <c r="A324" s="451" t="s">
        <v>944</v>
      </c>
      <c r="B324" s="380" t="s">
        <v>945</v>
      </c>
      <c r="C324" s="361">
        <f t="shared" si="25"/>
        <v>0</v>
      </c>
      <c r="D324" s="361">
        <f t="shared" si="26"/>
        <v>0</v>
      </c>
      <c r="E324" s="361">
        <f t="shared" si="27"/>
        <v>0</v>
      </c>
      <c r="F324" s="361">
        <f t="shared" si="28"/>
        <v>164272.76</v>
      </c>
      <c r="G324" s="361">
        <f t="shared" si="29"/>
        <v>231673.24</v>
      </c>
      <c r="H324" s="375">
        <v>0</v>
      </c>
      <c r="I324" s="375">
        <v>0</v>
      </c>
      <c r="J324" s="375">
        <v>0</v>
      </c>
      <c r="K324" s="375">
        <v>0</v>
      </c>
      <c r="L324" s="375">
        <v>0</v>
      </c>
      <c r="M324" s="375">
        <v>0</v>
      </c>
      <c r="N324" s="375">
        <v>0</v>
      </c>
      <c r="O324" s="375">
        <v>0</v>
      </c>
      <c r="P324" s="375">
        <v>0</v>
      </c>
      <c r="Q324" s="375">
        <v>0</v>
      </c>
      <c r="R324" s="375">
        <v>0</v>
      </c>
      <c r="S324" s="375">
        <v>0</v>
      </c>
      <c r="T324" s="375">
        <v>0.2999999999992724</v>
      </c>
      <c r="U324" s="375">
        <v>1276.43</v>
      </c>
      <c r="V324" s="375">
        <v>162996.03</v>
      </c>
      <c r="W324" s="375">
        <v>0</v>
      </c>
      <c r="X324" s="375">
        <v>224990.94</v>
      </c>
      <c r="Y324" s="375">
        <v>6682.3</v>
      </c>
      <c r="Z324" s="375">
        <v>0</v>
      </c>
      <c r="AA324" s="367">
        <v>0</v>
      </c>
      <c r="AB324" s="375">
        <v>0</v>
      </c>
      <c r="AC324" s="379">
        <v>395946</v>
      </c>
      <c r="AD324" s="379">
        <v>389263.69999999995</v>
      </c>
      <c r="AE324" s="379">
        <v>-6682.3</v>
      </c>
      <c r="AF324" s="344">
        <f t="shared" si="24"/>
        <v>6.8242538897481738E-4</v>
      </c>
    </row>
    <row r="325" spans="1:32">
      <c r="A325" s="451" t="s">
        <v>946</v>
      </c>
      <c r="B325" s="380" t="s">
        <v>947</v>
      </c>
      <c r="C325" s="361">
        <f t="shared" si="25"/>
        <v>0</v>
      </c>
      <c r="D325" s="361">
        <f t="shared" si="26"/>
        <v>0</v>
      </c>
      <c r="E325" s="361">
        <f t="shared" si="27"/>
        <v>0</v>
      </c>
      <c r="F325" s="361">
        <f t="shared" si="28"/>
        <v>9079.82</v>
      </c>
      <c r="G325" s="361">
        <f t="shared" si="29"/>
        <v>105152.62999999999</v>
      </c>
      <c r="H325" s="375"/>
      <c r="I325" s="375"/>
      <c r="J325" s="375"/>
      <c r="K325" s="375"/>
      <c r="L325" s="375"/>
      <c r="M325" s="375"/>
      <c r="N325" s="375"/>
      <c r="O325" s="375"/>
      <c r="P325" s="375"/>
      <c r="Q325" s="375"/>
      <c r="R325" s="375">
        <v>0</v>
      </c>
      <c r="S325" s="375">
        <v>0</v>
      </c>
      <c r="T325" s="375">
        <v>0</v>
      </c>
      <c r="U325" s="375">
        <v>0</v>
      </c>
      <c r="V325" s="375">
        <v>351.1</v>
      </c>
      <c r="W325" s="375">
        <v>8728.7199999999993</v>
      </c>
      <c r="X325" s="375">
        <v>44321.38</v>
      </c>
      <c r="Y325" s="375">
        <v>31049.83</v>
      </c>
      <c r="Z325" s="375">
        <v>28481.96</v>
      </c>
      <c r="AA325" s="367">
        <v>1299.46</v>
      </c>
      <c r="AB325" s="375">
        <v>0</v>
      </c>
      <c r="AC325" s="379">
        <v>114232.45</v>
      </c>
      <c r="AD325" s="379">
        <v>120497.03</v>
      </c>
      <c r="AE325" s="379">
        <v>6264.58</v>
      </c>
      <c r="AF325" s="344">
        <f t="shared" ref="AF325:AF388" si="30">AC325/$AC$556</f>
        <v>1.968832217645749E-4</v>
      </c>
    </row>
    <row r="326" spans="1:32">
      <c r="A326" s="384" t="s">
        <v>535</v>
      </c>
      <c r="B326" s="385">
        <v>0</v>
      </c>
      <c r="C326" s="361">
        <f t="shared" ref="C326:C389" si="31">SUM(H326:K326)</f>
        <v>0</v>
      </c>
      <c r="D326" s="361">
        <f t="shared" ref="D326:D389" si="32">SUM(L326:O326)</f>
        <v>0</v>
      </c>
      <c r="E326" s="361">
        <f t="shared" ref="E326:E389" si="33">SUM(P326:S326)</f>
        <v>0</v>
      </c>
      <c r="F326" s="361">
        <f t="shared" ref="F326:F389" si="34">SUM(T326:W326)</f>
        <v>0</v>
      </c>
      <c r="G326" s="361">
        <f t="shared" ref="G326:G389" si="35">SUM(X326:AA326)</f>
        <v>0</v>
      </c>
      <c r="H326" s="386">
        <v>0</v>
      </c>
      <c r="I326" s="386">
        <v>0</v>
      </c>
      <c r="J326" s="386">
        <v>0</v>
      </c>
      <c r="K326" s="386">
        <v>0</v>
      </c>
      <c r="L326" s="386">
        <v>0</v>
      </c>
      <c r="M326" s="386">
        <v>0</v>
      </c>
      <c r="N326" s="386">
        <v>0</v>
      </c>
      <c r="O326" s="386">
        <v>0</v>
      </c>
      <c r="P326" s="386">
        <v>0</v>
      </c>
      <c r="Q326" s="386">
        <v>0</v>
      </c>
      <c r="R326" s="386">
        <v>0</v>
      </c>
      <c r="S326" s="386">
        <v>0</v>
      </c>
      <c r="T326" s="386">
        <v>0</v>
      </c>
      <c r="U326" s="386">
        <v>0</v>
      </c>
      <c r="V326" s="386">
        <v>0</v>
      </c>
      <c r="W326" s="386">
        <v>0</v>
      </c>
      <c r="X326" s="386">
        <v>0</v>
      </c>
      <c r="Y326" s="386">
        <v>0</v>
      </c>
      <c r="Z326" s="386">
        <v>0</v>
      </c>
      <c r="AA326" s="387">
        <v>0</v>
      </c>
      <c r="AB326" s="386"/>
      <c r="AC326" s="373">
        <v>0</v>
      </c>
      <c r="AD326" s="373">
        <v>0</v>
      </c>
      <c r="AE326" s="369">
        <v>0</v>
      </c>
      <c r="AF326" s="344">
        <f t="shared" si="30"/>
        <v>0</v>
      </c>
    </row>
    <row r="327" spans="1:32" ht="25.5">
      <c r="A327" s="384" t="s">
        <v>536</v>
      </c>
      <c r="B327" s="385">
        <v>0</v>
      </c>
      <c r="C327" s="361">
        <f t="shared" si="31"/>
        <v>0</v>
      </c>
      <c r="D327" s="361">
        <f t="shared" si="32"/>
        <v>0</v>
      </c>
      <c r="E327" s="361">
        <f t="shared" si="33"/>
        <v>0</v>
      </c>
      <c r="F327" s="361">
        <f t="shared" si="34"/>
        <v>0</v>
      </c>
      <c r="G327" s="361">
        <f t="shared" si="35"/>
        <v>0</v>
      </c>
      <c r="H327" s="386">
        <v>0</v>
      </c>
      <c r="I327" s="386">
        <v>0</v>
      </c>
      <c r="J327" s="386">
        <v>0</v>
      </c>
      <c r="K327" s="386">
        <v>0</v>
      </c>
      <c r="L327" s="386">
        <v>0</v>
      </c>
      <c r="M327" s="386">
        <v>0</v>
      </c>
      <c r="N327" s="386">
        <v>0</v>
      </c>
      <c r="O327" s="386">
        <v>0</v>
      </c>
      <c r="P327" s="386">
        <v>0</v>
      </c>
      <c r="Q327" s="386">
        <v>0</v>
      </c>
      <c r="R327" s="386">
        <v>0</v>
      </c>
      <c r="S327" s="386">
        <v>0</v>
      </c>
      <c r="T327" s="386">
        <v>0</v>
      </c>
      <c r="U327" s="386">
        <v>0</v>
      </c>
      <c r="V327" s="386">
        <v>0</v>
      </c>
      <c r="W327" s="386">
        <v>0</v>
      </c>
      <c r="X327" s="386">
        <v>0</v>
      </c>
      <c r="Y327" s="386">
        <v>0</v>
      </c>
      <c r="Z327" s="386">
        <v>0</v>
      </c>
      <c r="AA327" s="387">
        <v>0</v>
      </c>
      <c r="AB327" s="386">
        <v>663.66</v>
      </c>
      <c r="AC327" s="373">
        <v>0</v>
      </c>
      <c r="AD327" s="373">
        <v>0</v>
      </c>
      <c r="AE327" s="369">
        <v>0</v>
      </c>
      <c r="AF327" s="344">
        <f t="shared" si="30"/>
        <v>0</v>
      </c>
    </row>
    <row r="328" spans="1:32">
      <c r="A328" s="384" t="s">
        <v>537</v>
      </c>
      <c r="B328" s="385"/>
      <c r="C328" s="361">
        <f t="shared" si="31"/>
        <v>0</v>
      </c>
      <c r="D328" s="361">
        <f t="shared" si="32"/>
        <v>0</v>
      </c>
      <c r="E328" s="361">
        <f t="shared" si="33"/>
        <v>0</v>
      </c>
      <c r="F328" s="361">
        <f t="shared" si="34"/>
        <v>0</v>
      </c>
      <c r="G328" s="361">
        <f t="shared" si="35"/>
        <v>0</v>
      </c>
      <c r="H328" s="386">
        <v>0</v>
      </c>
      <c r="I328" s="386">
        <v>0</v>
      </c>
      <c r="J328" s="386">
        <v>0</v>
      </c>
      <c r="K328" s="386">
        <v>0</v>
      </c>
      <c r="L328" s="386">
        <v>0</v>
      </c>
      <c r="M328" s="386">
        <v>0</v>
      </c>
      <c r="N328" s="386">
        <v>0</v>
      </c>
      <c r="O328" s="386">
        <v>0</v>
      </c>
      <c r="P328" s="386">
        <v>0</v>
      </c>
      <c r="Q328" s="386">
        <v>0</v>
      </c>
      <c r="R328" s="386">
        <v>0</v>
      </c>
      <c r="S328" s="386">
        <v>0</v>
      </c>
      <c r="T328" s="386">
        <v>0</v>
      </c>
      <c r="U328" s="386">
        <v>0</v>
      </c>
      <c r="V328" s="386">
        <v>0</v>
      </c>
      <c r="W328" s="386">
        <v>0</v>
      </c>
      <c r="X328" s="386">
        <v>0</v>
      </c>
      <c r="Y328" s="386">
        <v>0</v>
      </c>
      <c r="Z328" s="386">
        <v>0</v>
      </c>
      <c r="AA328" s="387">
        <v>0</v>
      </c>
      <c r="AB328" s="386"/>
      <c r="AC328" s="373">
        <v>0</v>
      </c>
      <c r="AD328" s="373">
        <v>1081.3800000000001</v>
      </c>
      <c r="AE328" s="369">
        <v>1081.3800000000001</v>
      </c>
      <c r="AF328" s="344">
        <f t="shared" si="30"/>
        <v>0</v>
      </c>
    </row>
    <row r="329" spans="1:32">
      <c r="A329" s="360" t="s">
        <v>948</v>
      </c>
      <c r="B329" s="427" t="s">
        <v>949</v>
      </c>
      <c r="C329" s="361">
        <f t="shared" si="31"/>
        <v>72951.899999999994</v>
      </c>
      <c r="D329" s="361">
        <f t="shared" si="32"/>
        <v>337818.59</v>
      </c>
      <c r="E329" s="361">
        <f t="shared" si="33"/>
        <v>128518</v>
      </c>
      <c r="F329" s="361">
        <f t="shared" si="34"/>
        <v>9601.77</v>
      </c>
      <c r="G329" s="361">
        <f t="shared" si="35"/>
        <v>3861272.5248484854</v>
      </c>
      <c r="H329" s="388">
        <v>0</v>
      </c>
      <c r="I329" s="388">
        <v>72951.899999999994</v>
      </c>
      <c r="J329" s="388">
        <v>0</v>
      </c>
      <c r="K329" s="388">
        <v>0</v>
      </c>
      <c r="L329" s="388">
        <v>145919.41</v>
      </c>
      <c r="M329" s="388">
        <v>21777.63</v>
      </c>
      <c r="N329" s="388">
        <v>72852.55</v>
      </c>
      <c r="O329" s="388">
        <v>97269</v>
      </c>
      <c r="P329" s="388">
        <v>0</v>
      </c>
      <c r="Q329" s="388">
        <v>124018</v>
      </c>
      <c r="R329" s="388">
        <v>4500</v>
      </c>
      <c r="S329" s="388">
        <v>0</v>
      </c>
      <c r="T329" s="388">
        <v>0</v>
      </c>
      <c r="U329" s="388">
        <v>0</v>
      </c>
      <c r="V329" s="388">
        <v>0</v>
      </c>
      <c r="W329" s="388">
        <v>9601.77</v>
      </c>
      <c r="X329" s="388">
        <v>59146.33</v>
      </c>
      <c r="Y329" s="388">
        <v>473355.7</v>
      </c>
      <c r="Z329" s="388">
        <v>1245018.2200000002</v>
      </c>
      <c r="AA329" s="362">
        <v>2083752.2748484849</v>
      </c>
      <c r="AB329" s="388">
        <v>143515.61515151459</v>
      </c>
      <c r="AC329" s="364">
        <v>4410162.7848484851</v>
      </c>
      <c r="AD329" s="388">
        <v>4553678.3999999994</v>
      </c>
      <c r="AE329" s="364">
        <v>143515.62</v>
      </c>
      <c r="AF329" s="344">
        <f t="shared" si="30"/>
        <v>7.6010543202671352E-3</v>
      </c>
    </row>
    <row r="330" spans="1:32" ht="25.5">
      <c r="A330" s="360" t="s">
        <v>950</v>
      </c>
      <c r="B330" s="427" t="s">
        <v>951</v>
      </c>
      <c r="C330" s="361">
        <f t="shared" si="31"/>
        <v>0</v>
      </c>
      <c r="D330" s="361">
        <f t="shared" si="32"/>
        <v>187900</v>
      </c>
      <c r="E330" s="361">
        <f t="shared" si="33"/>
        <v>59809.48</v>
      </c>
      <c r="F330" s="361">
        <f t="shared" si="34"/>
        <v>1270194.0299999998</v>
      </c>
      <c r="G330" s="361">
        <f t="shared" si="35"/>
        <v>6155432.7487878781</v>
      </c>
      <c r="H330" s="388">
        <v>0</v>
      </c>
      <c r="I330" s="388">
        <v>0</v>
      </c>
      <c r="J330" s="388">
        <v>0</v>
      </c>
      <c r="K330" s="388">
        <v>0</v>
      </c>
      <c r="L330" s="388">
        <v>0</v>
      </c>
      <c r="M330" s="388">
        <v>0</v>
      </c>
      <c r="N330" s="388">
        <v>0</v>
      </c>
      <c r="O330" s="388">
        <v>187900</v>
      </c>
      <c r="P330" s="388">
        <v>545</v>
      </c>
      <c r="Q330" s="389">
        <v>0</v>
      </c>
      <c r="R330" s="388">
        <v>34824.480000000003</v>
      </c>
      <c r="S330" s="388">
        <v>24440</v>
      </c>
      <c r="T330" s="388">
        <v>0</v>
      </c>
      <c r="U330" s="388">
        <v>574350.42999999993</v>
      </c>
      <c r="V330" s="388">
        <v>519230.2</v>
      </c>
      <c r="W330" s="388">
        <v>176613.40000000002</v>
      </c>
      <c r="X330" s="388">
        <v>1139896.3999999999</v>
      </c>
      <c r="Y330" s="388">
        <v>427739.08</v>
      </c>
      <c r="Z330" s="388">
        <v>2406299.96</v>
      </c>
      <c r="AA330" s="362">
        <v>2181497.3087878786</v>
      </c>
      <c r="AB330" s="388">
        <v>1252451.9693939402</v>
      </c>
      <c r="AC330" s="364">
        <v>7673336.2587878788</v>
      </c>
      <c r="AD330" s="388">
        <v>8925788.2300000004</v>
      </c>
      <c r="AE330" s="364">
        <v>1252451.97</v>
      </c>
      <c r="AF330" s="344">
        <f t="shared" si="30"/>
        <v>1.3225236474513917E-2</v>
      </c>
    </row>
    <row r="331" spans="1:32">
      <c r="A331" s="441" t="s">
        <v>952</v>
      </c>
      <c r="B331" s="442" t="s">
        <v>953</v>
      </c>
      <c r="C331" s="361">
        <f t="shared" si="31"/>
        <v>0</v>
      </c>
      <c r="D331" s="361">
        <f t="shared" si="32"/>
        <v>0</v>
      </c>
      <c r="E331" s="361">
        <f t="shared" si="33"/>
        <v>0</v>
      </c>
      <c r="F331" s="361">
        <f t="shared" si="34"/>
        <v>247157.44999999998</v>
      </c>
      <c r="G331" s="361">
        <f t="shared" si="35"/>
        <v>2411646.8269696971</v>
      </c>
      <c r="H331" s="394">
        <v>0</v>
      </c>
      <c r="I331" s="394">
        <v>0</v>
      </c>
      <c r="J331" s="394">
        <v>0</v>
      </c>
      <c r="K331" s="394">
        <v>0</v>
      </c>
      <c r="L331" s="394">
        <v>0</v>
      </c>
      <c r="M331" s="394">
        <v>0</v>
      </c>
      <c r="N331" s="394">
        <v>0</v>
      </c>
      <c r="O331" s="394">
        <v>0</v>
      </c>
      <c r="P331" s="394">
        <v>0</v>
      </c>
      <c r="Q331" s="394">
        <v>0</v>
      </c>
      <c r="R331" s="394">
        <v>0</v>
      </c>
      <c r="S331" s="394">
        <v>0</v>
      </c>
      <c r="T331" s="394">
        <v>0</v>
      </c>
      <c r="U331" s="394">
        <v>0</v>
      </c>
      <c r="V331" s="394">
        <v>247157.44999999998</v>
      </c>
      <c r="W331" s="394">
        <v>0</v>
      </c>
      <c r="X331" s="394">
        <v>38061.410000000003</v>
      </c>
      <c r="Y331" s="394">
        <v>261149.93</v>
      </c>
      <c r="Z331" s="394">
        <v>710510.26</v>
      </c>
      <c r="AA331" s="392">
        <v>1401925.226969697</v>
      </c>
      <c r="AB331" s="394">
        <v>35099.763030303147</v>
      </c>
      <c r="AC331" s="369">
        <v>2658804.2769696973</v>
      </c>
      <c r="AD331" s="369">
        <v>3118279.17</v>
      </c>
      <c r="AE331" s="444">
        <v>459474.89</v>
      </c>
      <c r="AF331" s="344">
        <f t="shared" si="30"/>
        <v>4.5825328275041384E-3</v>
      </c>
    </row>
    <row r="332" spans="1:32">
      <c r="A332" s="474" t="s">
        <v>954</v>
      </c>
      <c r="B332" s="382" t="s">
        <v>955</v>
      </c>
      <c r="C332" s="361">
        <f t="shared" si="31"/>
        <v>0</v>
      </c>
      <c r="D332" s="361">
        <f t="shared" si="32"/>
        <v>0</v>
      </c>
      <c r="E332" s="361">
        <f t="shared" si="33"/>
        <v>0</v>
      </c>
      <c r="F332" s="361">
        <f t="shared" si="34"/>
        <v>247157.44999999998</v>
      </c>
      <c r="G332" s="361">
        <f t="shared" si="35"/>
        <v>1035832.6618181819</v>
      </c>
      <c r="H332" s="374">
        <v>0</v>
      </c>
      <c r="I332" s="374">
        <v>0</v>
      </c>
      <c r="J332" s="374">
        <v>0</v>
      </c>
      <c r="K332" s="374">
        <v>0</v>
      </c>
      <c r="L332" s="374">
        <v>0</v>
      </c>
      <c r="M332" s="374">
        <v>0</v>
      </c>
      <c r="N332" s="374">
        <v>0</v>
      </c>
      <c r="O332" s="374">
        <v>0</v>
      </c>
      <c r="P332" s="374">
        <v>0</v>
      </c>
      <c r="Q332" s="374">
        <v>0</v>
      </c>
      <c r="R332" s="374">
        <v>0</v>
      </c>
      <c r="S332" s="374">
        <v>0</v>
      </c>
      <c r="T332" s="374">
        <v>0</v>
      </c>
      <c r="U332" s="374">
        <v>0</v>
      </c>
      <c r="V332" s="374">
        <v>247157.44999999998</v>
      </c>
      <c r="W332" s="374">
        <v>0</v>
      </c>
      <c r="X332" s="374">
        <v>38061.410000000003</v>
      </c>
      <c r="Y332" s="374">
        <v>261149.93</v>
      </c>
      <c r="Z332" s="374">
        <v>204831.44</v>
      </c>
      <c r="AA332" s="367">
        <v>531789.88181818184</v>
      </c>
      <c r="AB332" s="374">
        <v>33313.838181818108</v>
      </c>
      <c r="AC332" s="369">
        <v>1282990.1118181818</v>
      </c>
      <c r="AD332" s="369">
        <v>1186317.8700000001</v>
      </c>
      <c r="AE332" s="369">
        <v>-96672.24</v>
      </c>
      <c r="AF332" s="344">
        <f t="shared" si="30"/>
        <v>2.2112738254922819E-3</v>
      </c>
    </row>
    <row r="333" spans="1:32">
      <c r="A333" s="474" t="s">
        <v>956</v>
      </c>
      <c r="B333" s="382" t="s">
        <v>955</v>
      </c>
      <c r="C333" s="361">
        <f t="shared" si="31"/>
        <v>0</v>
      </c>
      <c r="D333" s="361">
        <f t="shared" si="32"/>
        <v>0</v>
      </c>
      <c r="E333" s="361">
        <f t="shared" si="33"/>
        <v>0</v>
      </c>
      <c r="F333" s="361">
        <f t="shared" si="34"/>
        <v>247157.44999999998</v>
      </c>
      <c r="G333" s="361">
        <f t="shared" si="35"/>
        <v>121175.18000000001</v>
      </c>
      <c r="H333" s="374">
        <v>0</v>
      </c>
      <c r="I333" s="374">
        <v>0</v>
      </c>
      <c r="J333" s="374">
        <v>0</v>
      </c>
      <c r="K333" s="374">
        <v>0</v>
      </c>
      <c r="L333" s="374">
        <v>0</v>
      </c>
      <c r="M333" s="374">
        <v>0</v>
      </c>
      <c r="N333" s="374">
        <v>0</v>
      </c>
      <c r="O333" s="374">
        <v>0</v>
      </c>
      <c r="P333" s="374">
        <v>0</v>
      </c>
      <c r="Q333" s="374">
        <v>0</v>
      </c>
      <c r="R333" s="374">
        <v>0</v>
      </c>
      <c r="S333" s="374">
        <v>0</v>
      </c>
      <c r="T333" s="374">
        <v>0</v>
      </c>
      <c r="U333" s="374">
        <v>0</v>
      </c>
      <c r="V333" s="374">
        <v>247157.44999999998</v>
      </c>
      <c r="W333" s="374">
        <v>0</v>
      </c>
      <c r="X333" s="374">
        <v>38061.410000000003</v>
      </c>
      <c r="Y333" s="374">
        <v>83113.77</v>
      </c>
      <c r="Z333" s="374">
        <v>0</v>
      </c>
      <c r="AA333" s="367">
        <v>0</v>
      </c>
      <c r="AB333" s="374">
        <v>0</v>
      </c>
      <c r="AC333" s="369">
        <v>368332.63</v>
      </c>
      <c r="AD333" s="369">
        <v>369378.03</v>
      </c>
      <c r="AE333" s="369">
        <v>1045.4000000000001</v>
      </c>
      <c r="AF333" s="344">
        <f t="shared" si="30"/>
        <v>6.3483287695763433E-4</v>
      </c>
    </row>
    <row r="334" spans="1:32">
      <c r="A334" s="474" t="s">
        <v>957</v>
      </c>
      <c r="B334" s="382" t="s">
        <v>955</v>
      </c>
      <c r="C334" s="361">
        <f t="shared" si="31"/>
        <v>0</v>
      </c>
      <c r="D334" s="361">
        <f t="shared" si="32"/>
        <v>0</v>
      </c>
      <c r="E334" s="361">
        <f t="shared" si="33"/>
        <v>0</v>
      </c>
      <c r="F334" s="361">
        <f t="shared" si="34"/>
        <v>0</v>
      </c>
      <c r="G334" s="361">
        <f t="shared" si="35"/>
        <v>109490.45999999999</v>
      </c>
      <c r="H334" s="374">
        <v>0</v>
      </c>
      <c r="I334" s="374">
        <v>0</v>
      </c>
      <c r="J334" s="374">
        <v>0</v>
      </c>
      <c r="K334" s="374">
        <v>0</v>
      </c>
      <c r="L334" s="374">
        <v>0</v>
      </c>
      <c r="M334" s="374">
        <v>0</v>
      </c>
      <c r="N334" s="374">
        <v>0</v>
      </c>
      <c r="O334" s="374">
        <v>0</v>
      </c>
      <c r="P334" s="374">
        <v>0</v>
      </c>
      <c r="Q334" s="374">
        <v>0</v>
      </c>
      <c r="R334" s="374">
        <v>0</v>
      </c>
      <c r="S334" s="374">
        <v>0</v>
      </c>
      <c r="T334" s="374">
        <v>0</v>
      </c>
      <c r="U334" s="374">
        <v>0</v>
      </c>
      <c r="V334" s="374">
        <v>0</v>
      </c>
      <c r="W334" s="374">
        <v>0</v>
      </c>
      <c r="X334" s="374">
        <v>0</v>
      </c>
      <c r="Y334" s="374">
        <v>0</v>
      </c>
      <c r="Z334" s="374">
        <v>0</v>
      </c>
      <c r="AA334" s="367">
        <v>109490.45999999999</v>
      </c>
      <c r="AB334" s="374">
        <v>2832.3700000000099</v>
      </c>
      <c r="AC334" s="369">
        <v>109490.45999999999</v>
      </c>
      <c r="AD334" s="369">
        <v>112322.83</v>
      </c>
      <c r="AE334" s="369">
        <v>2832.37</v>
      </c>
      <c r="AF334" s="344">
        <f t="shared" si="30"/>
        <v>1.8871025279844139E-4</v>
      </c>
    </row>
    <row r="335" spans="1:32">
      <c r="A335" s="474" t="s">
        <v>958</v>
      </c>
      <c r="B335" s="382" t="s">
        <v>955</v>
      </c>
      <c r="C335" s="361">
        <f t="shared" si="31"/>
        <v>0</v>
      </c>
      <c r="D335" s="361">
        <f t="shared" si="32"/>
        <v>0</v>
      </c>
      <c r="E335" s="361">
        <f t="shared" si="33"/>
        <v>0</v>
      </c>
      <c r="F335" s="361">
        <f t="shared" si="34"/>
        <v>0</v>
      </c>
      <c r="G335" s="361">
        <f t="shared" si="35"/>
        <v>52673.70636363636</v>
      </c>
      <c r="H335" s="374">
        <v>0</v>
      </c>
      <c r="I335" s="374">
        <v>0</v>
      </c>
      <c r="J335" s="374">
        <v>0</v>
      </c>
      <c r="K335" s="374">
        <v>0</v>
      </c>
      <c r="L335" s="374">
        <v>0</v>
      </c>
      <c r="M335" s="374">
        <v>0</v>
      </c>
      <c r="N335" s="374">
        <v>0</v>
      </c>
      <c r="O335" s="374">
        <v>0</v>
      </c>
      <c r="P335" s="374">
        <v>0</v>
      </c>
      <c r="Q335" s="374">
        <v>0</v>
      </c>
      <c r="R335" s="374">
        <v>0</v>
      </c>
      <c r="S335" s="374">
        <v>0</v>
      </c>
      <c r="T335" s="374">
        <v>0</v>
      </c>
      <c r="U335" s="374">
        <v>0</v>
      </c>
      <c r="V335" s="374">
        <v>0</v>
      </c>
      <c r="W335" s="374">
        <v>0</v>
      </c>
      <c r="X335" s="374">
        <v>0</v>
      </c>
      <c r="Y335" s="374">
        <v>10506.07</v>
      </c>
      <c r="Z335" s="374">
        <v>0</v>
      </c>
      <c r="AA335" s="367">
        <v>42167.63636363636</v>
      </c>
      <c r="AB335" s="374">
        <v>-0.40636363635712769</v>
      </c>
      <c r="AC335" s="369">
        <v>52673.70636363636</v>
      </c>
      <c r="AD335" s="369">
        <v>49335.3</v>
      </c>
      <c r="AE335" s="369">
        <v>-3338.41</v>
      </c>
      <c r="AF335" s="344">
        <f t="shared" si="30"/>
        <v>9.0784790233895156E-5</v>
      </c>
    </row>
    <row r="336" spans="1:32">
      <c r="A336" s="474" t="s">
        <v>959</v>
      </c>
      <c r="B336" s="382" t="s">
        <v>955</v>
      </c>
      <c r="C336" s="361">
        <f t="shared" si="31"/>
        <v>0</v>
      </c>
      <c r="D336" s="361">
        <f t="shared" si="32"/>
        <v>0</v>
      </c>
      <c r="E336" s="361">
        <f t="shared" si="33"/>
        <v>0</v>
      </c>
      <c r="F336" s="361">
        <f t="shared" si="34"/>
        <v>0</v>
      </c>
      <c r="G336" s="361">
        <f t="shared" si="35"/>
        <v>299304.03000000003</v>
      </c>
      <c r="H336" s="374">
        <v>0</v>
      </c>
      <c r="I336" s="374">
        <v>0</v>
      </c>
      <c r="J336" s="374">
        <v>0</v>
      </c>
      <c r="K336" s="374">
        <v>0</v>
      </c>
      <c r="L336" s="374">
        <v>0</v>
      </c>
      <c r="M336" s="374">
        <v>0</v>
      </c>
      <c r="N336" s="374">
        <v>0</v>
      </c>
      <c r="O336" s="374">
        <v>0</v>
      </c>
      <c r="P336" s="374">
        <v>0</v>
      </c>
      <c r="Q336" s="374">
        <v>0</v>
      </c>
      <c r="R336" s="374">
        <v>0</v>
      </c>
      <c r="S336" s="374">
        <v>0</v>
      </c>
      <c r="T336" s="374">
        <v>0</v>
      </c>
      <c r="U336" s="374">
        <v>0</v>
      </c>
      <c r="V336" s="374">
        <v>0</v>
      </c>
      <c r="W336" s="374">
        <v>0</v>
      </c>
      <c r="X336" s="374">
        <v>0</v>
      </c>
      <c r="Y336" s="374">
        <v>0</v>
      </c>
      <c r="Z336" s="374">
        <v>52120.91</v>
      </c>
      <c r="AA336" s="367">
        <v>247183.12</v>
      </c>
      <c r="AB336" s="374">
        <v>30481.819999999949</v>
      </c>
      <c r="AC336" s="369">
        <v>299304.03000000003</v>
      </c>
      <c r="AD336" s="369">
        <v>203651.83000000002</v>
      </c>
      <c r="AE336" s="369">
        <v>-95652.2</v>
      </c>
      <c r="AF336" s="344">
        <f t="shared" si="30"/>
        <v>5.1585991295398977E-4</v>
      </c>
    </row>
    <row r="337" spans="1:32">
      <c r="A337" s="474" t="s">
        <v>960</v>
      </c>
      <c r="B337" s="382" t="s">
        <v>955</v>
      </c>
      <c r="C337" s="361">
        <f t="shared" si="31"/>
        <v>0</v>
      </c>
      <c r="D337" s="361">
        <f t="shared" si="32"/>
        <v>0</v>
      </c>
      <c r="E337" s="361">
        <f t="shared" si="33"/>
        <v>0</v>
      </c>
      <c r="F337" s="361">
        <f t="shared" si="34"/>
        <v>0</v>
      </c>
      <c r="G337" s="361">
        <f t="shared" si="35"/>
        <v>453189.28545454546</v>
      </c>
      <c r="H337" s="374">
        <v>0</v>
      </c>
      <c r="I337" s="374">
        <v>0</v>
      </c>
      <c r="J337" s="374">
        <v>0</v>
      </c>
      <c r="K337" s="374">
        <v>0</v>
      </c>
      <c r="L337" s="374">
        <v>0</v>
      </c>
      <c r="M337" s="374">
        <v>0</v>
      </c>
      <c r="N337" s="374">
        <v>0</v>
      </c>
      <c r="O337" s="374">
        <v>0</v>
      </c>
      <c r="P337" s="374">
        <v>0</v>
      </c>
      <c r="Q337" s="374">
        <v>0</v>
      </c>
      <c r="R337" s="374">
        <v>0</v>
      </c>
      <c r="S337" s="374">
        <v>0</v>
      </c>
      <c r="T337" s="374">
        <v>0</v>
      </c>
      <c r="U337" s="374">
        <v>0</v>
      </c>
      <c r="V337" s="374">
        <v>0</v>
      </c>
      <c r="W337" s="374">
        <v>0</v>
      </c>
      <c r="X337" s="374">
        <v>0</v>
      </c>
      <c r="Y337" s="374">
        <v>167530.09</v>
      </c>
      <c r="Z337" s="374">
        <v>152710.53</v>
      </c>
      <c r="AA337" s="367">
        <v>132948.66545454547</v>
      </c>
      <c r="AB337" s="374">
        <v>5.4545454506296664E-2</v>
      </c>
      <c r="AC337" s="369">
        <v>453189.28545454546</v>
      </c>
      <c r="AD337" s="369">
        <v>451629.88</v>
      </c>
      <c r="AE337" s="369">
        <v>-1559.41</v>
      </c>
      <c r="AF337" s="344">
        <f t="shared" si="30"/>
        <v>7.8108599254832147E-4</v>
      </c>
    </row>
    <row r="338" spans="1:32">
      <c r="A338" s="474" t="s">
        <v>961</v>
      </c>
      <c r="B338" s="382" t="s">
        <v>962</v>
      </c>
      <c r="C338" s="361">
        <f t="shared" si="31"/>
        <v>0</v>
      </c>
      <c r="D338" s="361">
        <f t="shared" si="32"/>
        <v>0</v>
      </c>
      <c r="E338" s="361">
        <f t="shared" si="33"/>
        <v>0</v>
      </c>
      <c r="F338" s="361">
        <f t="shared" si="34"/>
        <v>0</v>
      </c>
      <c r="G338" s="361">
        <f t="shared" si="35"/>
        <v>1375814.1651515153</v>
      </c>
      <c r="H338" s="374">
        <v>0</v>
      </c>
      <c r="I338" s="374">
        <v>0</v>
      </c>
      <c r="J338" s="374">
        <v>0</v>
      </c>
      <c r="K338" s="374">
        <v>0</v>
      </c>
      <c r="L338" s="374">
        <v>0</v>
      </c>
      <c r="M338" s="374">
        <v>0</v>
      </c>
      <c r="N338" s="374">
        <v>0</v>
      </c>
      <c r="O338" s="374">
        <v>0</v>
      </c>
      <c r="P338" s="374">
        <v>0</v>
      </c>
      <c r="Q338" s="374">
        <v>0</v>
      </c>
      <c r="R338" s="374">
        <v>0</v>
      </c>
      <c r="S338" s="374">
        <v>0</v>
      </c>
      <c r="T338" s="374">
        <v>0</v>
      </c>
      <c r="U338" s="374">
        <v>0</v>
      </c>
      <c r="V338" s="374">
        <v>0</v>
      </c>
      <c r="W338" s="374">
        <v>0</v>
      </c>
      <c r="X338" s="374">
        <v>0</v>
      </c>
      <c r="Y338" s="374">
        <v>0</v>
      </c>
      <c r="Z338" s="383">
        <v>505678.82</v>
      </c>
      <c r="AA338" s="367">
        <v>870135.34515151521</v>
      </c>
      <c r="AB338" s="374">
        <v>1785.9248484850395</v>
      </c>
      <c r="AC338" s="369">
        <v>1375814.1651515153</v>
      </c>
      <c r="AD338" s="369">
        <v>1931961.2999999998</v>
      </c>
      <c r="AE338" s="369">
        <v>556147.13</v>
      </c>
      <c r="AF338" s="344">
        <f t="shared" si="30"/>
        <v>2.3712590020118561E-3</v>
      </c>
    </row>
    <row r="339" spans="1:32">
      <c r="A339" s="441" t="s">
        <v>963</v>
      </c>
      <c r="B339" s="442" t="s">
        <v>964</v>
      </c>
      <c r="C339" s="361">
        <f t="shared" si="31"/>
        <v>0</v>
      </c>
      <c r="D339" s="361">
        <f t="shared" si="32"/>
        <v>187900</v>
      </c>
      <c r="E339" s="361">
        <f t="shared" si="33"/>
        <v>24985</v>
      </c>
      <c r="F339" s="361">
        <f t="shared" si="34"/>
        <v>0</v>
      </c>
      <c r="G339" s="361">
        <f t="shared" si="35"/>
        <v>1186045.7336363636</v>
      </c>
      <c r="H339" s="394">
        <v>0</v>
      </c>
      <c r="I339" s="394">
        <v>0</v>
      </c>
      <c r="J339" s="394">
        <v>0</v>
      </c>
      <c r="K339" s="394">
        <v>0</v>
      </c>
      <c r="L339" s="394">
        <v>0</v>
      </c>
      <c r="M339" s="394">
        <v>0</v>
      </c>
      <c r="N339" s="394">
        <v>0</v>
      </c>
      <c r="O339" s="394">
        <v>187900</v>
      </c>
      <c r="P339" s="394">
        <v>545</v>
      </c>
      <c r="Q339" s="394">
        <v>0</v>
      </c>
      <c r="R339" s="394">
        <v>0</v>
      </c>
      <c r="S339" s="394">
        <v>24440</v>
      </c>
      <c r="T339" s="394">
        <v>0</v>
      </c>
      <c r="U339" s="394">
        <v>0</v>
      </c>
      <c r="V339" s="394">
        <v>0</v>
      </c>
      <c r="W339" s="394">
        <v>0</v>
      </c>
      <c r="X339" s="394">
        <v>1101834.99</v>
      </c>
      <c r="Y339" s="394">
        <v>0</v>
      </c>
      <c r="Z339" s="394">
        <v>0</v>
      </c>
      <c r="AA339" s="392">
        <v>84210.743636363637</v>
      </c>
      <c r="AB339" s="394">
        <v>0.25636363636294845</v>
      </c>
      <c r="AC339" s="369">
        <v>1398930.7336363636</v>
      </c>
      <c r="AD339" s="369">
        <v>1395827.9899999998</v>
      </c>
      <c r="AE339" s="444">
        <v>-3102.74</v>
      </c>
      <c r="AF339" s="344">
        <f t="shared" si="30"/>
        <v>2.4111011351311087E-3</v>
      </c>
    </row>
    <row r="340" spans="1:32" ht="25.5">
      <c r="A340" s="474" t="s">
        <v>965</v>
      </c>
      <c r="B340" s="366" t="s">
        <v>966</v>
      </c>
      <c r="C340" s="361">
        <f t="shared" si="31"/>
        <v>0</v>
      </c>
      <c r="D340" s="361">
        <f t="shared" si="32"/>
        <v>187900</v>
      </c>
      <c r="E340" s="361">
        <f t="shared" si="33"/>
        <v>545</v>
      </c>
      <c r="F340" s="361">
        <f t="shared" si="34"/>
        <v>0</v>
      </c>
      <c r="G340" s="361">
        <f t="shared" si="35"/>
        <v>0</v>
      </c>
      <c r="H340" s="374">
        <v>0</v>
      </c>
      <c r="I340" s="374">
        <v>0</v>
      </c>
      <c r="J340" s="374">
        <v>0</v>
      </c>
      <c r="K340" s="374">
        <v>0</v>
      </c>
      <c r="L340" s="374">
        <v>0</v>
      </c>
      <c r="M340" s="374">
        <v>0</v>
      </c>
      <c r="N340" s="374">
        <v>0</v>
      </c>
      <c r="O340" s="374">
        <v>187900</v>
      </c>
      <c r="P340" s="374">
        <v>545</v>
      </c>
      <c r="Q340" s="374">
        <v>0</v>
      </c>
      <c r="R340" s="374">
        <v>0</v>
      </c>
      <c r="S340" s="374">
        <v>0</v>
      </c>
      <c r="T340" s="374">
        <v>0</v>
      </c>
      <c r="U340" s="374">
        <v>0</v>
      </c>
      <c r="V340" s="374">
        <v>0</v>
      </c>
      <c r="W340" s="374">
        <v>0</v>
      </c>
      <c r="X340" s="374">
        <v>0</v>
      </c>
      <c r="Y340" s="374">
        <v>0</v>
      </c>
      <c r="Z340" s="374">
        <v>0</v>
      </c>
      <c r="AA340" s="367">
        <v>0</v>
      </c>
      <c r="AB340" s="374">
        <v>0</v>
      </c>
      <c r="AC340" s="373">
        <v>188445</v>
      </c>
      <c r="AD340" s="373">
        <v>188445</v>
      </c>
      <c r="AE340" s="373">
        <v>0</v>
      </c>
      <c r="AF340" s="344">
        <f t="shared" si="30"/>
        <v>3.2479088670010417E-4</v>
      </c>
    </row>
    <row r="341" spans="1:32" ht="25.5">
      <c r="A341" s="474" t="s">
        <v>967</v>
      </c>
      <c r="B341" s="366" t="s">
        <v>968</v>
      </c>
      <c r="C341" s="361">
        <f t="shared" si="31"/>
        <v>0</v>
      </c>
      <c r="D341" s="361">
        <f t="shared" si="32"/>
        <v>0</v>
      </c>
      <c r="E341" s="361">
        <f t="shared" si="33"/>
        <v>24440</v>
      </c>
      <c r="F341" s="361">
        <f t="shared" si="34"/>
        <v>0</v>
      </c>
      <c r="G341" s="361">
        <f t="shared" si="35"/>
        <v>0</v>
      </c>
      <c r="H341" s="374"/>
      <c r="I341" s="374"/>
      <c r="J341" s="374"/>
      <c r="K341" s="374"/>
      <c r="L341" s="374"/>
      <c r="M341" s="374"/>
      <c r="N341" s="374"/>
      <c r="O341" s="374"/>
      <c r="P341" s="374"/>
      <c r="Q341" s="374"/>
      <c r="R341" s="374">
        <v>0</v>
      </c>
      <c r="S341" s="374">
        <v>24440</v>
      </c>
      <c r="T341" s="374">
        <v>0</v>
      </c>
      <c r="U341" s="374">
        <v>0</v>
      </c>
      <c r="V341" s="374">
        <v>0</v>
      </c>
      <c r="W341" s="374">
        <v>0</v>
      </c>
      <c r="X341" s="374">
        <v>0</v>
      </c>
      <c r="Y341" s="374">
        <v>0</v>
      </c>
      <c r="Z341" s="374">
        <v>0</v>
      </c>
      <c r="AA341" s="367">
        <v>0</v>
      </c>
      <c r="AB341" s="374">
        <v>0</v>
      </c>
      <c r="AC341" s="373">
        <v>24440</v>
      </c>
      <c r="AD341" s="373">
        <v>24440</v>
      </c>
      <c r="AE341" s="373">
        <v>0</v>
      </c>
      <c r="AF341" s="344">
        <f t="shared" si="30"/>
        <v>4.2123108975831393E-5</v>
      </c>
    </row>
    <row r="342" spans="1:32">
      <c r="A342" s="474" t="s">
        <v>969</v>
      </c>
      <c r="B342" s="366" t="s">
        <v>970</v>
      </c>
      <c r="C342" s="361">
        <f t="shared" si="31"/>
        <v>0</v>
      </c>
      <c r="D342" s="361">
        <f t="shared" si="32"/>
        <v>0</v>
      </c>
      <c r="E342" s="361">
        <f t="shared" si="33"/>
        <v>0</v>
      </c>
      <c r="F342" s="361">
        <f t="shared" si="34"/>
        <v>0</v>
      </c>
      <c r="G342" s="361">
        <f t="shared" si="35"/>
        <v>1186045.7336363636</v>
      </c>
      <c r="H342" s="374">
        <v>0</v>
      </c>
      <c r="I342" s="374">
        <v>0</v>
      </c>
      <c r="J342" s="374">
        <v>0</v>
      </c>
      <c r="K342" s="374">
        <v>0</v>
      </c>
      <c r="L342" s="374">
        <v>0</v>
      </c>
      <c r="M342" s="374">
        <v>0</v>
      </c>
      <c r="N342" s="374">
        <v>0</v>
      </c>
      <c r="O342" s="374">
        <v>0</v>
      </c>
      <c r="P342" s="374">
        <v>0</v>
      </c>
      <c r="Q342" s="374">
        <v>0</v>
      </c>
      <c r="R342" s="374">
        <v>0</v>
      </c>
      <c r="S342" s="374">
        <v>0</v>
      </c>
      <c r="T342" s="374">
        <v>0</v>
      </c>
      <c r="U342" s="374">
        <v>0</v>
      </c>
      <c r="V342" s="374">
        <v>0</v>
      </c>
      <c r="W342" s="374">
        <v>0</v>
      </c>
      <c r="X342" s="374">
        <v>1101834.99</v>
      </c>
      <c r="Y342" s="374">
        <v>0</v>
      </c>
      <c r="Z342" s="374">
        <v>0</v>
      </c>
      <c r="AA342" s="367">
        <v>84210.743636363637</v>
      </c>
      <c r="AB342" s="374">
        <v>0.25636363636294845</v>
      </c>
      <c r="AC342" s="373">
        <v>1186045.7336363636</v>
      </c>
      <c r="AD342" s="373">
        <v>1182942.9899999998</v>
      </c>
      <c r="AE342" s="373">
        <v>-3102.74</v>
      </c>
      <c r="AF342" s="344">
        <f t="shared" si="30"/>
        <v>2.0441871394551734E-3</v>
      </c>
    </row>
    <row r="343" spans="1:32">
      <c r="A343" s="474" t="s">
        <v>971</v>
      </c>
      <c r="B343" s="366" t="s">
        <v>972</v>
      </c>
      <c r="C343" s="361">
        <f t="shared" si="31"/>
        <v>0</v>
      </c>
      <c r="D343" s="361">
        <f t="shared" si="32"/>
        <v>0</v>
      </c>
      <c r="E343" s="361">
        <f t="shared" si="33"/>
        <v>0</v>
      </c>
      <c r="F343" s="361">
        <f t="shared" si="34"/>
        <v>0</v>
      </c>
      <c r="G343" s="361">
        <f t="shared" si="35"/>
        <v>84210.743636363637</v>
      </c>
      <c r="H343" s="374">
        <v>0</v>
      </c>
      <c r="I343" s="374">
        <v>0</v>
      </c>
      <c r="J343" s="374">
        <v>0</v>
      </c>
      <c r="K343" s="374">
        <v>0</v>
      </c>
      <c r="L343" s="374">
        <v>0</v>
      </c>
      <c r="M343" s="374">
        <v>0</v>
      </c>
      <c r="N343" s="374">
        <v>0</v>
      </c>
      <c r="O343" s="374">
        <v>0</v>
      </c>
      <c r="P343" s="374">
        <v>0</v>
      </c>
      <c r="Q343" s="374">
        <v>0</v>
      </c>
      <c r="R343" s="374">
        <v>0</v>
      </c>
      <c r="S343" s="374">
        <v>0</v>
      </c>
      <c r="T343" s="374">
        <v>0</v>
      </c>
      <c r="U343" s="374">
        <v>0</v>
      </c>
      <c r="V343" s="374">
        <v>0</v>
      </c>
      <c r="W343" s="374">
        <v>0</v>
      </c>
      <c r="X343" s="374">
        <v>0</v>
      </c>
      <c r="Y343" s="374">
        <v>0</v>
      </c>
      <c r="Z343" s="383">
        <v>0</v>
      </c>
      <c r="AA343" s="367">
        <v>84210.743636363637</v>
      </c>
      <c r="AB343" s="374">
        <v>0.25636363636294845</v>
      </c>
      <c r="AC343" s="373">
        <v>84210.743636363637</v>
      </c>
      <c r="AD343" s="373">
        <v>81108</v>
      </c>
      <c r="AE343" s="373">
        <v>-3102.74</v>
      </c>
      <c r="AF343" s="344">
        <f t="shared" si="30"/>
        <v>1.451398662491958E-4</v>
      </c>
    </row>
    <row r="344" spans="1:32">
      <c r="A344" s="474" t="s">
        <v>973</v>
      </c>
      <c r="B344" s="366" t="s">
        <v>974</v>
      </c>
      <c r="C344" s="361">
        <f t="shared" si="31"/>
        <v>0</v>
      </c>
      <c r="D344" s="361">
        <f t="shared" si="32"/>
        <v>0</v>
      </c>
      <c r="E344" s="361">
        <f t="shared" si="33"/>
        <v>0</v>
      </c>
      <c r="F344" s="361">
        <f t="shared" si="34"/>
        <v>0</v>
      </c>
      <c r="G344" s="361">
        <f t="shared" si="35"/>
        <v>1101834.99</v>
      </c>
      <c r="H344" s="374">
        <v>0</v>
      </c>
      <c r="I344" s="374">
        <v>0</v>
      </c>
      <c r="J344" s="374">
        <v>0</v>
      </c>
      <c r="K344" s="374">
        <v>0</v>
      </c>
      <c r="L344" s="374">
        <v>0</v>
      </c>
      <c r="M344" s="374">
        <v>0</v>
      </c>
      <c r="N344" s="374">
        <v>0</v>
      </c>
      <c r="O344" s="374">
        <v>0</v>
      </c>
      <c r="P344" s="374">
        <v>0</v>
      </c>
      <c r="Q344" s="374">
        <v>0</v>
      </c>
      <c r="R344" s="374">
        <v>0</v>
      </c>
      <c r="S344" s="374">
        <v>0</v>
      </c>
      <c r="T344" s="374">
        <v>0</v>
      </c>
      <c r="U344" s="374">
        <v>0</v>
      </c>
      <c r="V344" s="374">
        <v>0</v>
      </c>
      <c r="W344" s="374">
        <v>0</v>
      </c>
      <c r="X344" s="374">
        <v>1101834.99</v>
      </c>
      <c r="Y344" s="374">
        <v>0</v>
      </c>
      <c r="Z344" s="374">
        <v>0</v>
      </c>
      <c r="AA344" s="367">
        <v>0</v>
      </c>
      <c r="AB344" s="374">
        <v>0</v>
      </c>
      <c r="AC344" s="373">
        <v>1101834.99</v>
      </c>
      <c r="AD344" s="373">
        <v>1101834.9899999998</v>
      </c>
      <c r="AE344" s="373">
        <v>0</v>
      </c>
      <c r="AF344" s="344">
        <f t="shared" si="30"/>
        <v>1.8990472732059774E-3</v>
      </c>
    </row>
    <row r="345" spans="1:32" ht="25.5">
      <c r="A345" s="474" t="s">
        <v>967</v>
      </c>
      <c r="B345" s="366" t="s">
        <v>975</v>
      </c>
      <c r="C345" s="361">
        <f t="shared" si="31"/>
        <v>0</v>
      </c>
      <c r="D345" s="361">
        <f t="shared" si="32"/>
        <v>0</v>
      </c>
      <c r="E345" s="361">
        <f t="shared" si="33"/>
        <v>0</v>
      </c>
      <c r="F345" s="361">
        <f t="shared" si="34"/>
        <v>0</v>
      </c>
      <c r="G345" s="361">
        <f t="shared" si="35"/>
        <v>0</v>
      </c>
      <c r="H345" s="374">
        <v>0</v>
      </c>
      <c r="I345" s="374">
        <v>0</v>
      </c>
      <c r="J345" s="374">
        <v>0</v>
      </c>
      <c r="K345" s="374">
        <v>0</v>
      </c>
      <c r="L345" s="374">
        <v>0</v>
      </c>
      <c r="M345" s="374">
        <v>0</v>
      </c>
      <c r="N345" s="374">
        <v>0</v>
      </c>
      <c r="O345" s="374">
        <v>0</v>
      </c>
      <c r="P345" s="374">
        <v>0</v>
      </c>
      <c r="Q345" s="374">
        <v>0</v>
      </c>
      <c r="R345" s="374">
        <v>0</v>
      </c>
      <c r="S345" s="374">
        <v>0</v>
      </c>
      <c r="T345" s="374">
        <v>0</v>
      </c>
      <c r="U345" s="374">
        <v>0</v>
      </c>
      <c r="V345" s="374">
        <v>0</v>
      </c>
      <c r="W345" s="374">
        <v>0</v>
      </c>
      <c r="X345" s="374">
        <v>0</v>
      </c>
      <c r="Y345" s="374">
        <v>0</v>
      </c>
      <c r="Z345" s="374">
        <v>0</v>
      </c>
      <c r="AA345" s="367">
        <v>0</v>
      </c>
      <c r="AB345" s="374">
        <v>0</v>
      </c>
      <c r="AC345" s="373">
        <v>0</v>
      </c>
      <c r="AD345" s="373">
        <v>0</v>
      </c>
      <c r="AE345" s="373">
        <v>0</v>
      </c>
      <c r="AF345" s="344">
        <f t="shared" si="30"/>
        <v>0</v>
      </c>
    </row>
    <row r="346" spans="1:32">
      <c r="A346" s="441" t="s">
        <v>976</v>
      </c>
      <c r="B346" s="442" t="s">
        <v>977</v>
      </c>
      <c r="C346" s="361">
        <f t="shared" si="31"/>
        <v>0</v>
      </c>
      <c r="D346" s="361">
        <f t="shared" si="32"/>
        <v>0</v>
      </c>
      <c r="E346" s="361">
        <f t="shared" si="33"/>
        <v>0</v>
      </c>
      <c r="F346" s="361">
        <f t="shared" si="34"/>
        <v>997785.11</v>
      </c>
      <c r="G346" s="361">
        <f t="shared" si="35"/>
        <v>2509168.7981818179</v>
      </c>
      <c r="H346" s="394">
        <v>0</v>
      </c>
      <c r="I346" s="394">
        <v>0</v>
      </c>
      <c r="J346" s="394">
        <v>0</v>
      </c>
      <c r="K346" s="394">
        <v>0</v>
      </c>
      <c r="L346" s="394">
        <v>0</v>
      </c>
      <c r="M346" s="394">
        <v>0</v>
      </c>
      <c r="N346" s="394">
        <v>0</v>
      </c>
      <c r="O346" s="394">
        <v>0</v>
      </c>
      <c r="P346" s="394">
        <v>0</v>
      </c>
      <c r="Q346" s="394">
        <v>0</v>
      </c>
      <c r="R346" s="394">
        <v>0</v>
      </c>
      <c r="S346" s="394">
        <v>0</v>
      </c>
      <c r="T346" s="394">
        <v>0</v>
      </c>
      <c r="U346" s="394">
        <v>562601.36</v>
      </c>
      <c r="V346" s="394">
        <v>272072.75</v>
      </c>
      <c r="W346" s="394">
        <v>163111</v>
      </c>
      <c r="X346" s="394">
        <v>0</v>
      </c>
      <c r="Y346" s="394">
        <v>166589.15000000002</v>
      </c>
      <c r="Z346" s="394">
        <v>1695789.7000000002</v>
      </c>
      <c r="AA346" s="392">
        <v>646789.94818181801</v>
      </c>
      <c r="AB346" s="394">
        <v>0.11000000055810233</v>
      </c>
      <c r="AC346" s="369">
        <v>3506953.9081818182</v>
      </c>
      <c r="AD346" s="369">
        <v>4297785.1100000003</v>
      </c>
      <c r="AE346" s="444">
        <v>790831.2</v>
      </c>
      <c r="AF346" s="344">
        <f t="shared" si="30"/>
        <v>6.0443454029280082E-3</v>
      </c>
    </row>
    <row r="347" spans="1:32">
      <c r="A347" s="451" t="s">
        <v>978</v>
      </c>
      <c r="B347" s="475" t="s">
        <v>979</v>
      </c>
      <c r="C347" s="361">
        <f t="shared" si="31"/>
        <v>0</v>
      </c>
      <c r="D347" s="361">
        <f t="shared" si="32"/>
        <v>0</v>
      </c>
      <c r="E347" s="361">
        <f t="shared" si="33"/>
        <v>0</v>
      </c>
      <c r="F347" s="361">
        <f t="shared" si="34"/>
        <v>997785.11</v>
      </c>
      <c r="G347" s="361">
        <f t="shared" si="35"/>
        <v>64617.93</v>
      </c>
      <c r="H347" s="374">
        <v>0</v>
      </c>
      <c r="I347" s="374">
        <v>0</v>
      </c>
      <c r="J347" s="374">
        <v>0</v>
      </c>
      <c r="K347" s="374">
        <v>0</v>
      </c>
      <c r="L347" s="374">
        <v>0</v>
      </c>
      <c r="M347" s="374">
        <v>0</v>
      </c>
      <c r="N347" s="374">
        <v>0</v>
      </c>
      <c r="O347" s="374">
        <v>0</v>
      </c>
      <c r="P347" s="374">
        <v>0</v>
      </c>
      <c r="Q347" s="374">
        <v>0</v>
      </c>
      <c r="R347" s="374">
        <v>0</v>
      </c>
      <c r="S347" s="374">
        <v>0</v>
      </c>
      <c r="T347" s="374">
        <v>0</v>
      </c>
      <c r="U347" s="374">
        <v>562601.36</v>
      </c>
      <c r="V347" s="374">
        <v>272072.75</v>
      </c>
      <c r="W347" s="374">
        <v>163111</v>
      </c>
      <c r="X347" s="374">
        <v>0</v>
      </c>
      <c r="Y347" s="374">
        <v>58982.69</v>
      </c>
      <c r="Z347" s="374">
        <v>13.1</v>
      </c>
      <c r="AA347" s="367">
        <v>5622.14</v>
      </c>
      <c r="AB347" s="374">
        <v>0.11000000009244104</v>
      </c>
      <c r="AC347" s="369">
        <v>1062403.04</v>
      </c>
      <c r="AD347" s="369">
        <v>997785.11</v>
      </c>
      <c r="AE347" s="369">
        <v>-64617.93</v>
      </c>
      <c r="AF347" s="344">
        <f t="shared" si="30"/>
        <v>1.8310850667010866E-3</v>
      </c>
    </row>
    <row r="348" spans="1:32">
      <c r="A348" s="451" t="s">
        <v>980</v>
      </c>
      <c r="B348" s="475" t="s">
        <v>981</v>
      </c>
      <c r="C348" s="361">
        <f t="shared" si="31"/>
        <v>0</v>
      </c>
      <c r="D348" s="361">
        <f t="shared" si="32"/>
        <v>0</v>
      </c>
      <c r="E348" s="361">
        <f t="shared" si="33"/>
        <v>0</v>
      </c>
      <c r="F348" s="361">
        <f t="shared" si="34"/>
        <v>0</v>
      </c>
      <c r="G348" s="361">
        <f t="shared" si="35"/>
        <v>2444550.8681818182</v>
      </c>
      <c r="H348" s="374">
        <v>0</v>
      </c>
      <c r="I348" s="374">
        <v>0</v>
      </c>
      <c r="J348" s="374">
        <v>0</v>
      </c>
      <c r="K348" s="374">
        <v>0</v>
      </c>
      <c r="L348" s="374">
        <v>0</v>
      </c>
      <c r="M348" s="374">
        <v>0</v>
      </c>
      <c r="N348" s="374">
        <v>0</v>
      </c>
      <c r="O348" s="374">
        <v>0</v>
      </c>
      <c r="P348" s="374">
        <v>0</v>
      </c>
      <c r="Q348" s="374">
        <v>0</v>
      </c>
      <c r="R348" s="374">
        <v>0</v>
      </c>
      <c r="S348" s="374">
        <v>0</v>
      </c>
      <c r="T348" s="374">
        <v>0</v>
      </c>
      <c r="U348" s="374">
        <v>0</v>
      </c>
      <c r="V348" s="374">
        <v>0</v>
      </c>
      <c r="W348" s="374">
        <v>0</v>
      </c>
      <c r="X348" s="374">
        <v>0</v>
      </c>
      <c r="Y348" s="374">
        <v>107606.46</v>
      </c>
      <c r="Z348" s="383">
        <v>1695776.6</v>
      </c>
      <c r="AA348" s="367">
        <v>641167.80818181788</v>
      </c>
      <c r="AB348" s="374">
        <v>4.6566128730773926E-10</v>
      </c>
      <c r="AC348" s="369">
        <v>2444550.8681818182</v>
      </c>
      <c r="AD348" s="369">
        <v>3300000</v>
      </c>
      <c r="AE348" s="369">
        <v>855449.13</v>
      </c>
      <c r="AF348" s="344">
        <f t="shared" si="30"/>
        <v>4.2132603362269212E-3</v>
      </c>
    </row>
    <row r="349" spans="1:32">
      <c r="A349" s="441" t="s">
        <v>982</v>
      </c>
      <c r="B349" s="442" t="s">
        <v>983</v>
      </c>
      <c r="C349" s="361">
        <f t="shared" si="31"/>
        <v>0</v>
      </c>
      <c r="D349" s="361">
        <f t="shared" si="32"/>
        <v>0</v>
      </c>
      <c r="E349" s="361">
        <f t="shared" si="33"/>
        <v>34824.480000000003</v>
      </c>
      <c r="F349" s="361">
        <f t="shared" si="34"/>
        <v>25251.47</v>
      </c>
      <c r="G349" s="361">
        <f t="shared" si="35"/>
        <v>46786.66</v>
      </c>
      <c r="H349" s="394">
        <v>0</v>
      </c>
      <c r="I349" s="394">
        <v>0</v>
      </c>
      <c r="J349" s="394">
        <v>0</v>
      </c>
      <c r="K349" s="394">
        <v>0</v>
      </c>
      <c r="L349" s="394">
        <v>0</v>
      </c>
      <c r="M349" s="394">
        <v>0</v>
      </c>
      <c r="N349" s="394">
        <v>0</v>
      </c>
      <c r="O349" s="394">
        <v>0</v>
      </c>
      <c r="P349" s="394">
        <v>0</v>
      </c>
      <c r="Q349" s="394">
        <v>0</v>
      </c>
      <c r="R349" s="394">
        <v>34824.480000000003</v>
      </c>
      <c r="S349" s="394">
        <v>0</v>
      </c>
      <c r="T349" s="394">
        <v>0</v>
      </c>
      <c r="U349" s="394">
        <v>11749.07</v>
      </c>
      <c r="V349" s="394">
        <v>0</v>
      </c>
      <c r="W349" s="394">
        <v>13502.4</v>
      </c>
      <c r="X349" s="394">
        <v>0</v>
      </c>
      <c r="Y349" s="394">
        <v>0</v>
      </c>
      <c r="Z349" s="476">
        <v>0</v>
      </c>
      <c r="AA349" s="392">
        <v>46786.66</v>
      </c>
      <c r="AB349" s="394">
        <v>934.30999999999767</v>
      </c>
      <c r="AC349" s="369">
        <v>106862.61</v>
      </c>
      <c r="AD349" s="369">
        <v>109877.15</v>
      </c>
      <c r="AE349" s="444">
        <v>3014.54</v>
      </c>
      <c r="AF349" s="344">
        <f t="shared" si="30"/>
        <v>1.8418107064123443E-4</v>
      </c>
    </row>
    <row r="350" spans="1:32">
      <c r="A350" s="384" t="s">
        <v>535</v>
      </c>
      <c r="B350" s="385">
        <v>0</v>
      </c>
      <c r="C350" s="361">
        <f t="shared" si="31"/>
        <v>0</v>
      </c>
      <c r="D350" s="361">
        <f t="shared" si="32"/>
        <v>0</v>
      </c>
      <c r="E350" s="361">
        <f t="shared" si="33"/>
        <v>0</v>
      </c>
      <c r="F350" s="361">
        <f t="shared" si="34"/>
        <v>0</v>
      </c>
      <c r="G350" s="361">
        <f t="shared" si="35"/>
        <v>0</v>
      </c>
      <c r="H350" s="386">
        <v>0</v>
      </c>
      <c r="I350" s="386">
        <v>0</v>
      </c>
      <c r="J350" s="386">
        <v>0</v>
      </c>
      <c r="K350" s="386">
        <v>0</v>
      </c>
      <c r="L350" s="386">
        <v>0</v>
      </c>
      <c r="M350" s="386">
        <v>0</v>
      </c>
      <c r="N350" s="386">
        <v>0</v>
      </c>
      <c r="O350" s="386">
        <v>0</v>
      </c>
      <c r="P350" s="386">
        <v>0</v>
      </c>
      <c r="Q350" s="386">
        <v>0</v>
      </c>
      <c r="R350" s="386">
        <v>0</v>
      </c>
      <c r="S350" s="386">
        <v>0</v>
      </c>
      <c r="T350" s="386">
        <v>0</v>
      </c>
      <c r="U350" s="386">
        <v>0</v>
      </c>
      <c r="V350" s="386">
        <v>0</v>
      </c>
      <c r="W350" s="386">
        <v>0</v>
      </c>
      <c r="X350" s="386">
        <v>0</v>
      </c>
      <c r="Y350" s="386">
        <v>0</v>
      </c>
      <c r="Z350" s="386">
        <v>0</v>
      </c>
      <c r="AA350" s="387">
        <v>0</v>
      </c>
      <c r="AB350" s="386">
        <v>0</v>
      </c>
      <c r="AC350" s="373">
        <v>0</v>
      </c>
      <c r="AD350" s="373">
        <v>0</v>
      </c>
      <c r="AE350" s="369">
        <v>0</v>
      </c>
      <c r="AF350" s="344">
        <f t="shared" si="30"/>
        <v>0</v>
      </c>
    </row>
    <row r="351" spans="1:32" ht="25.5">
      <c r="A351" s="384" t="s">
        <v>536</v>
      </c>
      <c r="B351" s="385">
        <v>0</v>
      </c>
      <c r="C351" s="361">
        <f t="shared" si="31"/>
        <v>0</v>
      </c>
      <c r="D351" s="361">
        <f t="shared" si="32"/>
        <v>0</v>
      </c>
      <c r="E351" s="361">
        <f t="shared" si="33"/>
        <v>0</v>
      </c>
      <c r="F351" s="361">
        <f t="shared" si="34"/>
        <v>0</v>
      </c>
      <c r="G351" s="361">
        <f t="shared" si="35"/>
        <v>0</v>
      </c>
      <c r="H351" s="386">
        <v>0</v>
      </c>
      <c r="I351" s="386">
        <v>0</v>
      </c>
      <c r="J351" s="386">
        <v>0</v>
      </c>
      <c r="K351" s="386">
        <v>0</v>
      </c>
      <c r="L351" s="386">
        <v>0</v>
      </c>
      <c r="M351" s="386">
        <v>0</v>
      </c>
      <c r="N351" s="386">
        <v>0</v>
      </c>
      <c r="O351" s="386">
        <v>0</v>
      </c>
      <c r="P351" s="386">
        <v>0</v>
      </c>
      <c r="Q351" s="386">
        <v>0</v>
      </c>
      <c r="R351" s="386">
        <v>0</v>
      </c>
      <c r="S351" s="386">
        <v>0</v>
      </c>
      <c r="T351" s="386">
        <v>0</v>
      </c>
      <c r="U351" s="386">
        <v>0</v>
      </c>
      <c r="V351" s="386">
        <v>0</v>
      </c>
      <c r="W351" s="386">
        <v>0</v>
      </c>
      <c r="X351" s="386">
        <v>0</v>
      </c>
      <c r="Y351" s="386">
        <v>0</v>
      </c>
      <c r="Z351" s="386">
        <v>0</v>
      </c>
      <c r="AA351" s="387">
        <v>0</v>
      </c>
      <c r="AB351" s="386">
        <v>1216417.53</v>
      </c>
      <c r="AC351" s="373">
        <v>0</v>
      </c>
      <c r="AD351" s="373">
        <v>0</v>
      </c>
      <c r="AE351" s="369">
        <v>0</v>
      </c>
      <c r="AF351" s="344">
        <f t="shared" si="30"/>
        <v>0</v>
      </c>
    </row>
    <row r="352" spans="1:32">
      <c r="A352" s="384" t="s">
        <v>537</v>
      </c>
      <c r="B352" s="385"/>
      <c r="C352" s="361">
        <f t="shared" si="31"/>
        <v>0</v>
      </c>
      <c r="D352" s="361">
        <f t="shared" si="32"/>
        <v>0</v>
      </c>
      <c r="E352" s="361">
        <f t="shared" si="33"/>
        <v>0</v>
      </c>
      <c r="F352" s="361">
        <f t="shared" si="34"/>
        <v>0</v>
      </c>
      <c r="G352" s="361">
        <f t="shared" si="35"/>
        <v>1784.73</v>
      </c>
      <c r="H352" s="386">
        <v>0</v>
      </c>
      <c r="I352" s="386">
        <v>0</v>
      </c>
      <c r="J352" s="386">
        <v>0</v>
      </c>
      <c r="K352" s="386">
        <v>0</v>
      </c>
      <c r="L352" s="386">
        <v>0</v>
      </c>
      <c r="M352" s="386">
        <v>0</v>
      </c>
      <c r="N352" s="386">
        <v>0</v>
      </c>
      <c r="O352" s="386">
        <v>0</v>
      </c>
      <c r="P352" s="386">
        <v>0</v>
      </c>
      <c r="Q352" s="386">
        <v>0</v>
      </c>
      <c r="R352" s="386">
        <v>0</v>
      </c>
      <c r="S352" s="386">
        <v>0</v>
      </c>
      <c r="T352" s="386">
        <v>0</v>
      </c>
      <c r="U352" s="386">
        <v>0</v>
      </c>
      <c r="V352" s="386">
        <v>0</v>
      </c>
      <c r="W352" s="386">
        <v>0</v>
      </c>
      <c r="X352" s="386">
        <v>0</v>
      </c>
      <c r="Y352" s="386">
        <v>0</v>
      </c>
      <c r="Z352" s="386">
        <v>0</v>
      </c>
      <c r="AA352" s="387">
        <v>1784.73</v>
      </c>
      <c r="AB352" s="386"/>
      <c r="AC352" s="373">
        <v>1784.73</v>
      </c>
      <c r="AD352" s="373">
        <v>4018.81</v>
      </c>
      <c r="AE352" s="369">
        <v>2234.08</v>
      </c>
      <c r="AF352" s="344">
        <f t="shared" si="30"/>
        <v>3.0760383094286235E-6</v>
      </c>
    </row>
    <row r="353" spans="1:32">
      <c r="A353" s="419" t="s">
        <v>984</v>
      </c>
      <c r="B353" s="420">
        <v>0</v>
      </c>
      <c r="C353" s="361">
        <f t="shared" si="31"/>
        <v>6505569.9000000004</v>
      </c>
      <c r="D353" s="361">
        <f t="shared" si="32"/>
        <v>12927231.76</v>
      </c>
      <c r="E353" s="361">
        <f t="shared" si="33"/>
        <v>276386.81</v>
      </c>
      <c r="F353" s="361">
        <f t="shared" si="34"/>
        <v>7715901.7000000002</v>
      </c>
      <c r="G353" s="361">
        <f t="shared" si="35"/>
        <v>15353531.143636363</v>
      </c>
      <c r="H353" s="423">
        <v>0</v>
      </c>
      <c r="I353" s="423">
        <v>72951.899999999994</v>
      </c>
      <c r="J353" s="423">
        <v>6432618</v>
      </c>
      <c r="K353" s="423">
        <v>0</v>
      </c>
      <c r="L353" s="423">
        <v>6454238.29</v>
      </c>
      <c r="M353" s="423">
        <v>21777.63</v>
      </c>
      <c r="N353" s="423">
        <v>6069162.3499999996</v>
      </c>
      <c r="O353" s="423">
        <v>382053.49</v>
      </c>
      <c r="P353" s="423">
        <v>7022.07</v>
      </c>
      <c r="Q353" s="437">
        <v>201722.3</v>
      </c>
      <c r="R353" s="423">
        <v>43202.44</v>
      </c>
      <c r="S353" s="423">
        <v>24440</v>
      </c>
      <c r="T353" s="423">
        <v>6262753.7400000002</v>
      </c>
      <c r="U353" s="423">
        <v>575626.74</v>
      </c>
      <c r="V353" s="423">
        <v>682577.33000000007</v>
      </c>
      <c r="W353" s="423">
        <v>194943.89</v>
      </c>
      <c r="X353" s="423">
        <v>1468355.05</v>
      </c>
      <c r="Y353" s="423">
        <v>938826.90999999992</v>
      </c>
      <c r="Z353" s="423">
        <v>3679800.14</v>
      </c>
      <c r="AA353" s="423">
        <v>9266549.043636363</v>
      </c>
      <c r="AB353" s="423">
        <v>1396631.2445454546</v>
      </c>
      <c r="AC353" s="423">
        <v>42778621.313636363</v>
      </c>
      <c r="AD353" s="423">
        <v>44175252.559999995</v>
      </c>
      <c r="AE353" s="423">
        <v>1396631.25</v>
      </c>
      <c r="AF353" s="344">
        <f t="shared" si="30"/>
        <v>7.3730299813016695E-2</v>
      </c>
    </row>
    <row r="354" spans="1:32">
      <c r="A354" s="425" t="s">
        <v>985</v>
      </c>
      <c r="B354" s="438"/>
      <c r="C354" s="361">
        <f t="shared" si="31"/>
        <v>0</v>
      </c>
      <c r="D354" s="361">
        <f t="shared" si="32"/>
        <v>0</v>
      </c>
      <c r="E354" s="361">
        <f t="shared" si="33"/>
        <v>0</v>
      </c>
      <c r="F354" s="361">
        <f t="shared" si="34"/>
        <v>0</v>
      </c>
      <c r="G354" s="361">
        <f t="shared" si="35"/>
        <v>0</v>
      </c>
      <c r="H354" s="471"/>
      <c r="I354" s="471"/>
      <c r="J354" s="471"/>
      <c r="K354" s="471"/>
      <c r="L354" s="471"/>
      <c r="M354" s="471"/>
      <c r="N354" s="471"/>
      <c r="O354" s="471"/>
      <c r="P354" s="471">
        <v>0</v>
      </c>
      <c r="Q354" s="472">
        <v>0</v>
      </c>
      <c r="R354" s="471">
        <v>0</v>
      </c>
      <c r="S354" s="471">
        <v>0</v>
      </c>
      <c r="T354" s="471">
        <v>0</v>
      </c>
      <c r="U354" s="471">
        <v>0</v>
      </c>
      <c r="V354" s="471">
        <v>0</v>
      </c>
      <c r="W354" s="471">
        <v>0</v>
      </c>
      <c r="X354" s="471">
        <v>0</v>
      </c>
      <c r="Y354" s="471">
        <v>0</v>
      </c>
      <c r="Z354" s="471">
        <v>0</v>
      </c>
      <c r="AA354" s="471">
        <v>0</v>
      </c>
      <c r="AB354" s="471"/>
      <c r="AC354" s="473"/>
      <c r="AD354" s="473">
        <v>0</v>
      </c>
      <c r="AE354" s="473">
        <v>0</v>
      </c>
      <c r="AF354" s="344">
        <f t="shared" si="30"/>
        <v>0</v>
      </c>
    </row>
    <row r="355" spans="1:32">
      <c r="A355" s="360" t="s">
        <v>986</v>
      </c>
      <c r="B355" s="427" t="s">
        <v>987</v>
      </c>
      <c r="C355" s="361">
        <f t="shared" si="31"/>
        <v>275639.84999999998</v>
      </c>
      <c r="D355" s="361">
        <f t="shared" si="32"/>
        <v>1246427.4533666666</v>
      </c>
      <c r="E355" s="361">
        <f t="shared" si="33"/>
        <v>1697123.78</v>
      </c>
      <c r="F355" s="361">
        <f t="shared" si="34"/>
        <v>1301645.9899999998</v>
      </c>
      <c r="G355" s="361">
        <f t="shared" si="35"/>
        <v>505984.33999999997</v>
      </c>
      <c r="H355" s="388">
        <v>0</v>
      </c>
      <c r="I355" s="388">
        <v>0</v>
      </c>
      <c r="J355" s="388">
        <v>123111.64</v>
      </c>
      <c r="K355" s="388">
        <v>152528.21</v>
      </c>
      <c r="L355" s="388">
        <v>75872.929999999993</v>
      </c>
      <c r="M355" s="388">
        <v>549408.76336666662</v>
      </c>
      <c r="N355" s="388">
        <v>202659.38000000003</v>
      </c>
      <c r="O355" s="388">
        <v>418486.38000000006</v>
      </c>
      <c r="P355" s="388">
        <v>420556.77</v>
      </c>
      <c r="Q355" s="389">
        <v>373080.10000000003</v>
      </c>
      <c r="R355" s="388">
        <v>297775.99</v>
      </c>
      <c r="S355" s="388">
        <v>605710.91999999993</v>
      </c>
      <c r="T355" s="388">
        <v>593224.44999999995</v>
      </c>
      <c r="U355" s="388">
        <v>550910.71999999997</v>
      </c>
      <c r="V355" s="388">
        <v>131059.63</v>
      </c>
      <c r="W355" s="388">
        <v>26451.19</v>
      </c>
      <c r="X355" s="388">
        <v>118489.66999999998</v>
      </c>
      <c r="Y355" s="388">
        <v>4014.41</v>
      </c>
      <c r="Z355" s="388">
        <v>269312.64000000001</v>
      </c>
      <c r="AA355" s="362">
        <v>114167.62</v>
      </c>
      <c r="AB355" s="388">
        <v>-1105.2299999998772</v>
      </c>
      <c r="AC355" s="364">
        <v>5025651.1000000006</v>
      </c>
      <c r="AD355" s="388">
        <v>4924858.6300000008</v>
      </c>
      <c r="AE355" s="364">
        <v>-100792.47</v>
      </c>
      <c r="AF355" s="344">
        <f t="shared" si="30"/>
        <v>8.6618677970461098E-3</v>
      </c>
    </row>
    <row r="356" spans="1:32">
      <c r="A356" s="390" t="s">
        <v>988</v>
      </c>
      <c r="B356" s="391" t="s">
        <v>989</v>
      </c>
      <c r="C356" s="361">
        <f t="shared" si="31"/>
        <v>223381.52</v>
      </c>
      <c r="D356" s="361">
        <f t="shared" si="32"/>
        <v>247020.33000000002</v>
      </c>
      <c r="E356" s="361">
        <f t="shared" si="33"/>
        <v>244667.1</v>
      </c>
      <c r="F356" s="361">
        <f t="shared" si="34"/>
        <v>0</v>
      </c>
      <c r="G356" s="361">
        <f t="shared" si="35"/>
        <v>0</v>
      </c>
      <c r="H356" s="392">
        <v>0</v>
      </c>
      <c r="I356" s="392">
        <v>0</v>
      </c>
      <c r="J356" s="392">
        <v>107290</v>
      </c>
      <c r="K356" s="392">
        <v>116091.51999999999</v>
      </c>
      <c r="L356" s="392">
        <v>41761.929999999993</v>
      </c>
      <c r="M356" s="392">
        <v>88618.55</v>
      </c>
      <c r="N356" s="392">
        <v>66626.8</v>
      </c>
      <c r="O356" s="392">
        <v>50013.05</v>
      </c>
      <c r="P356" s="392">
        <v>209134</v>
      </c>
      <c r="Q356" s="407">
        <v>35533.1</v>
      </c>
      <c r="R356" s="392">
        <v>0</v>
      </c>
      <c r="S356" s="392">
        <v>0</v>
      </c>
      <c r="T356" s="392">
        <v>0</v>
      </c>
      <c r="U356" s="392">
        <v>0</v>
      </c>
      <c r="V356" s="392">
        <v>0</v>
      </c>
      <c r="W356" s="392">
        <v>0</v>
      </c>
      <c r="X356" s="392">
        <v>0</v>
      </c>
      <c r="Y356" s="392">
        <v>0</v>
      </c>
      <c r="Z356" s="392">
        <v>0</v>
      </c>
      <c r="AA356" s="392">
        <v>0</v>
      </c>
      <c r="AB356" s="392">
        <v>0</v>
      </c>
      <c r="AC356" s="369">
        <v>715068.95</v>
      </c>
      <c r="AD356" s="369">
        <v>715068.95</v>
      </c>
      <c r="AE356" s="444">
        <v>0</v>
      </c>
      <c r="AF356" s="344">
        <f t="shared" si="30"/>
        <v>1.2324438341277956E-3</v>
      </c>
    </row>
    <row r="357" spans="1:32">
      <c r="A357" s="428" t="s">
        <v>990</v>
      </c>
      <c r="B357" s="366" t="s">
        <v>989</v>
      </c>
      <c r="C357" s="361">
        <f t="shared" si="31"/>
        <v>107290</v>
      </c>
      <c r="D357" s="361">
        <f t="shared" si="32"/>
        <v>0</v>
      </c>
      <c r="E357" s="361">
        <f t="shared" si="33"/>
        <v>0</v>
      </c>
      <c r="F357" s="361">
        <f t="shared" si="34"/>
        <v>0</v>
      </c>
      <c r="G357" s="361">
        <f t="shared" si="35"/>
        <v>0</v>
      </c>
      <c r="H357" s="367">
        <v>0</v>
      </c>
      <c r="I357" s="367">
        <v>0</v>
      </c>
      <c r="J357" s="367">
        <v>107290</v>
      </c>
      <c r="K357" s="367">
        <v>0</v>
      </c>
      <c r="L357" s="367">
        <v>50469.45</v>
      </c>
      <c r="M357" s="367">
        <v>-50469.45</v>
      </c>
      <c r="N357" s="367">
        <v>0</v>
      </c>
      <c r="O357" s="367">
        <v>0</v>
      </c>
      <c r="P357" s="367">
        <v>0</v>
      </c>
      <c r="Q357" s="367">
        <v>0</v>
      </c>
      <c r="R357" s="367">
        <v>0</v>
      </c>
      <c r="S357" s="367">
        <v>0</v>
      </c>
      <c r="T357" s="367">
        <v>0</v>
      </c>
      <c r="U357" s="367">
        <v>0</v>
      </c>
      <c r="V357" s="367">
        <v>0</v>
      </c>
      <c r="W357" s="367">
        <v>0</v>
      </c>
      <c r="X357" s="367">
        <v>0</v>
      </c>
      <c r="Y357" s="367">
        <v>0</v>
      </c>
      <c r="Z357" s="367">
        <v>0</v>
      </c>
      <c r="AA357" s="367">
        <v>0</v>
      </c>
      <c r="AB357" s="367">
        <v>0</v>
      </c>
      <c r="AC357" s="369">
        <v>107290</v>
      </c>
      <c r="AD357" s="369">
        <v>107290</v>
      </c>
      <c r="AE357" s="444">
        <v>0</v>
      </c>
      <c r="AF357" s="344">
        <f t="shared" si="30"/>
        <v>1.849176907535577E-4</v>
      </c>
    </row>
    <row r="358" spans="1:32">
      <c r="A358" s="370" t="s">
        <v>991</v>
      </c>
      <c r="B358" s="366" t="s">
        <v>989</v>
      </c>
      <c r="C358" s="361">
        <f t="shared" si="31"/>
        <v>0</v>
      </c>
      <c r="D358" s="361">
        <f t="shared" si="32"/>
        <v>255727.84999999998</v>
      </c>
      <c r="E358" s="361">
        <f t="shared" si="33"/>
        <v>101613.1</v>
      </c>
      <c r="F358" s="361">
        <f t="shared" si="34"/>
        <v>0</v>
      </c>
      <c r="G358" s="361">
        <f t="shared" si="35"/>
        <v>0</v>
      </c>
      <c r="H358" s="367">
        <v>0</v>
      </c>
      <c r="I358" s="367">
        <v>0</v>
      </c>
      <c r="J358" s="367">
        <v>0</v>
      </c>
      <c r="K358" s="367">
        <v>0</v>
      </c>
      <c r="L358" s="367">
        <v>0</v>
      </c>
      <c r="M358" s="367">
        <v>139088</v>
      </c>
      <c r="N358" s="367">
        <v>66626.8</v>
      </c>
      <c r="O358" s="367">
        <v>50013.05</v>
      </c>
      <c r="P358" s="367">
        <v>66080</v>
      </c>
      <c r="Q358" s="367">
        <v>35533.1</v>
      </c>
      <c r="R358" s="367">
        <v>0</v>
      </c>
      <c r="S358" s="367">
        <v>0</v>
      </c>
      <c r="T358" s="367">
        <v>0</v>
      </c>
      <c r="U358" s="367">
        <v>0</v>
      </c>
      <c r="V358" s="367">
        <v>0</v>
      </c>
      <c r="W358" s="367">
        <v>0</v>
      </c>
      <c r="X358" s="367">
        <v>0</v>
      </c>
      <c r="Y358" s="367">
        <v>0</v>
      </c>
      <c r="Z358" s="367">
        <v>0</v>
      </c>
      <c r="AA358" s="367">
        <v>0</v>
      </c>
      <c r="AB358" s="367">
        <v>0</v>
      </c>
      <c r="AC358" s="369">
        <v>357340.95</v>
      </c>
      <c r="AD358" s="369">
        <v>357340.95</v>
      </c>
      <c r="AE358" s="444">
        <v>0</v>
      </c>
      <c r="AF358" s="344">
        <f t="shared" si="30"/>
        <v>6.158883706373616E-4</v>
      </c>
    </row>
    <row r="359" spans="1:32">
      <c r="A359" s="428" t="s">
        <v>992</v>
      </c>
      <c r="B359" s="366" t="s">
        <v>989</v>
      </c>
      <c r="C359" s="361">
        <f t="shared" si="31"/>
        <v>116091.51999999999</v>
      </c>
      <c r="D359" s="361">
        <f t="shared" si="32"/>
        <v>-8707.52</v>
      </c>
      <c r="E359" s="361">
        <f t="shared" si="33"/>
        <v>0</v>
      </c>
      <c r="F359" s="361">
        <f t="shared" si="34"/>
        <v>0</v>
      </c>
      <c r="G359" s="361">
        <f t="shared" si="35"/>
        <v>0</v>
      </c>
      <c r="H359" s="367">
        <v>0</v>
      </c>
      <c r="I359" s="367">
        <v>0</v>
      </c>
      <c r="J359" s="367">
        <v>0</v>
      </c>
      <c r="K359" s="367">
        <v>116091.51999999999</v>
      </c>
      <c r="L359" s="367">
        <v>-8707.52</v>
      </c>
      <c r="M359" s="367">
        <v>0</v>
      </c>
      <c r="N359" s="367">
        <v>0</v>
      </c>
      <c r="O359" s="367">
        <v>0</v>
      </c>
      <c r="P359" s="367">
        <v>0</v>
      </c>
      <c r="Q359" s="367">
        <v>0</v>
      </c>
      <c r="R359" s="367">
        <v>0</v>
      </c>
      <c r="S359" s="367">
        <v>0</v>
      </c>
      <c r="T359" s="367">
        <v>0</v>
      </c>
      <c r="U359" s="367">
        <v>0</v>
      </c>
      <c r="V359" s="367">
        <v>0</v>
      </c>
      <c r="W359" s="367">
        <v>0</v>
      </c>
      <c r="X359" s="367">
        <v>0</v>
      </c>
      <c r="Y359" s="367">
        <v>0</v>
      </c>
      <c r="Z359" s="367">
        <v>0</v>
      </c>
      <c r="AA359" s="367">
        <v>0</v>
      </c>
      <c r="AB359" s="367">
        <v>0</v>
      </c>
      <c r="AC359" s="369">
        <v>107384</v>
      </c>
      <c r="AD359" s="369">
        <v>107384</v>
      </c>
      <c r="AE359" s="444">
        <v>0</v>
      </c>
      <c r="AF359" s="344">
        <f t="shared" si="30"/>
        <v>1.8507970271115703E-4</v>
      </c>
    </row>
    <row r="360" spans="1:32">
      <c r="A360" s="428" t="s">
        <v>993</v>
      </c>
      <c r="B360" s="366" t="s">
        <v>989</v>
      </c>
      <c r="C360" s="361">
        <f t="shared" si="31"/>
        <v>0</v>
      </c>
      <c r="D360" s="361">
        <f t="shared" si="32"/>
        <v>0</v>
      </c>
      <c r="E360" s="361">
        <f t="shared" si="33"/>
        <v>143054</v>
      </c>
      <c r="F360" s="361">
        <f t="shared" si="34"/>
        <v>0</v>
      </c>
      <c r="G360" s="361">
        <f t="shared" si="35"/>
        <v>0</v>
      </c>
      <c r="H360" s="367">
        <v>0</v>
      </c>
      <c r="I360" s="367">
        <v>0</v>
      </c>
      <c r="J360" s="367">
        <v>0</v>
      </c>
      <c r="K360" s="367">
        <v>0</v>
      </c>
      <c r="L360" s="367">
        <v>0</v>
      </c>
      <c r="M360" s="367">
        <v>0</v>
      </c>
      <c r="N360" s="367">
        <v>0</v>
      </c>
      <c r="O360" s="367">
        <v>0</v>
      </c>
      <c r="P360" s="367">
        <v>143054</v>
      </c>
      <c r="Q360" s="367">
        <v>0</v>
      </c>
      <c r="R360" s="367">
        <v>0</v>
      </c>
      <c r="S360" s="367">
        <v>0</v>
      </c>
      <c r="T360" s="367">
        <v>0</v>
      </c>
      <c r="U360" s="367">
        <v>0</v>
      </c>
      <c r="V360" s="367">
        <v>0</v>
      </c>
      <c r="W360" s="367">
        <v>0</v>
      </c>
      <c r="X360" s="367">
        <v>0</v>
      </c>
      <c r="Y360" s="367">
        <v>0</v>
      </c>
      <c r="Z360" s="367">
        <v>0</v>
      </c>
      <c r="AA360" s="367">
        <v>0</v>
      </c>
      <c r="AB360" s="367">
        <v>0</v>
      </c>
      <c r="AC360" s="369">
        <v>143054</v>
      </c>
      <c r="AD360" s="369">
        <v>143054</v>
      </c>
      <c r="AE360" s="444">
        <v>0</v>
      </c>
      <c r="AF360" s="344">
        <f t="shared" si="30"/>
        <v>2.4655807002571946E-4</v>
      </c>
    </row>
    <row r="361" spans="1:32">
      <c r="A361" s="428" t="s">
        <v>994</v>
      </c>
      <c r="B361" s="366" t="s">
        <v>989</v>
      </c>
      <c r="C361" s="361">
        <f t="shared" si="31"/>
        <v>0</v>
      </c>
      <c r="D361" s="361">
        <f t="shared" si="32"/>
        <v>0</v>
      </c>
      <c r="E361" s="361">
        <f t="shared" si="33"/>
        <v>0</v>
      </c>
      <c r="F361" s="361">
        <f t="shared" si="34"/>
        <v>0</v>
      </c>
      <c r="G361" s="361">
        <f t="shared" si="35"/>
        <v>0</v>
      </c>
      <c r="H361" s="367">
        <v>0</v>
      </c>
      <c r="I361" s="367">
        <v>0</v>
      </c>
      <c r="J361" s="367">
        <v>0</v>
      </c>
      <c r="K361" s="367">
        <v>0</v>
      </c>
      <c r="L361" s="367">
        <v>0</v>
      </c>
      <c r="M361" s="367">
        <v>0</v>
      </c>
      <c r="N361" s="367">
        <v>0</v>
      </c>
      <c r="O361" s="367">
        <v>0</v>
      </c>
      <c r="P361" s="367">
        <v>0</v>
      </c>
      <c r="Q361" s="367">
        <v>0</v>
      </c>
      <c r="R361" s="367">
        <v>0</v>
      </c>
      <c r="S361" s="367">
        <v>0</v>
      </c>
      <c r="T361" s="367">
        <v>0</v>
      </c>
      <c r="U361" s="367">
        <v>0</v>
      </c>
      <c r="V361" s="367">
        <v>0</v>
      </c>
      <c r="W361" s="367">
        <v>0</v>
      </c>
      <c r="X361" s="367">
        <v>0</v>
      </c>
      <c r="Y361" s="367">
        <v>0</v>
      </c>
      <c r="Z361" s="367">
        <v>0</v>
      </c>
      <c r="AA361" s="367">
        <v>0</v>
      </c>
      <c r="AB361" s="367">
        <v>0</v>
      </c>
      <c r="AC361" s="369">
        <v>0</v>
      </c>
      <c r="AD361" s="369">
        <v>0</v>
      </c>
      <c r="AE361" s="444">
        <v>0</v>
      </c>
      <c r="AF361" s="344">
        <f t="shared" si="30"/>
        <v>0</v>
      </c>
    </row>
    <row r="362" spans="1:32" ht="25.5">
      <c r="A362" s="390" t="s">
        <v>995</v>
      </c>
      <c r="B362" s="391" t="s">
        <v>996</v>
      </c>
      <c r="C362" s="361">
        <f t="shared" si="31"/>
        <v>0</v>
      </c>
      <c r="D362" s="361">
        <f t="shared" si="32"/>
        <v>192413.98</v>
      </c>
      <c r="E362" s="361">
        <f t="shared" si="33"/>
        <v>132633.14000000001</v>
      </c>
      <c r="F362" s="361">
        <f t="shared" si="34"/>
        <v>53977.79</v>
      </c>
      <c r="G362" s="361">
        <f t="shared" si="35"/>
        <v>9835.4599999999991</v>
      </c>
      <c r="H362" s="394">
        <v>0</v>
      </c>
      <c r="I362" s="394">
        <v>0</v>
      </c>
      <c r="J362" s="394">
        <v>0</v>
      </c>
      <c r="K362" s="394">
        <v>0</v>
      </c>
      <c r="L362" s="394">
        <v>22840.09</v>
      </c>
      <c r="M362" s="394">
        <v>51811.5</v>
      </c>
      <c r="N362" s="394">
        <v>77880.070000000007</v>
      </c>
      <c r="O362" s="394">
        <v>39882.32</v>
      </c>
      <c r="P362" s="394">
        <v>45767.54</v>
      </c>
      <c r="Q362" s="395">
        <v>19515.349999999999</v>
      </c>
      <c r="R362" s="394">
        <v>19088.7</v>
      </c>
      <c r="S362" s="394">
        <v>48261.55</v>
      </c>
      <c r="T362" s="394">
        <v>6743.14</v>
      </c>
      <c r="U362" s="394">
        <v>9910.5400000000009</v>
      </c>
      <c r="V362" s="394">
        <v>36648.9</v>
      </c>
      <c r="W362" s="394">
        <v>675.21</v>
      </c>
      <c r="X362" s="394">
        <v>9835.4599999999991</v>
      </c>
      <c r="Y362" s="394">
        <v>0</v>
      </c>
      <c r="Z362" s="394">
        <v>0</v>
      </c>
      <c r="AA362" s="392">
        <v>0</v>
      </c>
      <c r="AB362" s="394">
        <v>-0.26000000000931323</v>
      </c>
      <c r="AC362" s="373">
        <v>388860.37</v>
      </c>
      <c r="AD362" s="373">
        <v>388860.11</v>
      </c>
      <c r="AE362" s="444">
        <v>-0.26</v>
      </c>
      <c r="AF362" s="344">
        <f t="shared" si="30"/>
        <v>6.7021308272880993E-4</v>
      </c>
    </row>
    <row r="363" spans="1:32">
      <c r="A363" s="428" t="s">
        <v>997</v>
      </c>
      <c r="B363" s="382" t="s">
        <v>996</v>
      </c>
      <c r="C363" s="361">
        <f t="shared" si="31"/>
        <v>0</v>
      </c>
      <c r="D363" s="361">
        <f t="shared" si="32"/>
        <v>31381.61</v>
      </c>
      <c r="E363" s="361">
        <f t="shared" si="33"/>
        <v>36188.909999999996</v>
      </c>
      <c r="F363" s="361">
        <f t="shared" si="34"/>
        <v>3416.28</v>
      </c>
      <c r="G363" s="361">
        <f t="shared" si="35"/>
        <v>0</v>
      </c>
      <c r="H363" s="371">
        <v>0</v>
      </c>
      <c r="I363" s="371">
        <v>0</v>
      </c>
      <c r="J363" s="371">
        <v>0</v>
      </c>
      <c r="K363" s="371">
        <v>0</v>
      </c>
      <c r="L363" s="371">
        <v>0</v>
      </c>
      <c r="M363" s="371">
        <v>21079.5</v>
      </c>
      <c r="N363" s="371">
        <v>3832.28</v>
      </c>
      <c r="O363" s="371">
        <v>6469.83</v>
      </c>
      <c r="P363" s="371">
        <v>20195.55</v>
      </c>
      <c r="Q363" s="371">
        <v>15151.47</v>
      </c>
      <c r="R363" s="371">
        <v>841.89</v>
      </c>
      <c r="S363" s="371">
        <v>0</v>
      </c>
      <c r="T363" s="371">
        <v>0</v>
      </c>
      <c r="U363" s="371">
        <v>3416.28</v>
      </c>
      <c r="V363" s="371">
        <v>0</v>
      </c>
      <c r="W363" s="371">
        <v>0</v>
      </c>
      <c r="X363" s="371">
        <v>0</v>
      </c>
      <c r="Y363" s="371">
        <v>0</v>
      </c>
      <c r="Z363" s="371">
        <v>0</v>
      </c>
      <c r="AA363" s="367">
        <v>0</v>
      </c>
      <c r="AB363" s="371">
        <v>0</v>
      </c>
      <c r="AC363" s="369">
        <v>70986.8</v>
      </c>
      <c r="AD363" s="369">
        <v>70986.8</v>
      </c>
      <c r="AE363" s="444">
        <v>0</v>
      </c>
      <c r="AF363" s="344">
        <f t="shared" si="30"/>
        <v>1.2234798331610261E-4</v>
      </c>
    </row>
    <row r="364" spans="1:32" ht="25.5">
      <c r="A364" s="428" t="s">
        <v>998</v>
      </c>
      <c r="B364" s="382" t="s">
        <v>996</v>
      </c>
      <c r="C364" s="361">
        <f t="shared" si="31"/>
        <v>0</v>
      </c>
      <c r="D364" s="361">
        <f t="shared" si="32"/>
        <v>161032.37</v>
      </c>
      <c r="E364" s="361">
        <f t="shared" si="33"/>
        <v>53987.360000000001</v>
      </c>
      <c r="F364" s="361">
        <f t="shared" si="34"/>
        <v>15165.91</v>
      </c>
      <c r="G364" s="361">
        <f t="shared" si="35"/>
        <v>0</v>
      </c>
      <c r="H364" s="371">
        <v>0</v>
      </c>
      <c r="I364" s="371">
        <v>0</v>
      </c>
      <c r="J364" s="371">
        <v>0</v>
      </c>
      <c r="K364" s="371">
        <v>0</v>
      </c>
      <c r="L364" s="371">
        <v>22840.09</v>
      </c>
      <c r="M364" s="371">
        <v>30732</v>
      </c>
      <c r="N364" s="371">
        <v>74047.790000000008</v>
      </c>
      <c r="O364" s="371">
        <v>33412.49</v>
      </c>
      <c r="P364" s="371">
        <v>25571.989999999998</v>
      </c>
      <c r="Q364" s="371">
        <v>3144.82</v>
      </c>
      <c r="R364" s="371">
        <v>19465.870000000003</v>
      </c>
      <c r="S364" s="371">
        <v>5804.68</v>
      </c>
      <c r="T364" s="371">
        <v>1088.3499999999999</v>
      </c>
      <c r="U364" s="371">
        <v>6494.26</v>
      </c>
      <c r="V364" s="371">
        <v>7583.2999999999993</v>
      </c>
      <c r="W364" s="371">
        <v>0</v>
      </c>
      <c r="X364" s="371">
        <v>0</v>
      </c>
      <c r="Y364" s="371">
        <v>0</v>
      </c>
      <c r="Z364" s="371">
        <v>0</v>
      </c>
      <c r="AA364" s="367">
        <v>0</v>
      </c>
      <c r="AB364" s="371">
        <v>-0.26000000000931323</v>
      </c>
      <c r="AC364" s="369">
        <v>230185.64</v>
      </c>
      <c r="AD364" s="369">
        <v>230185.38</v>
      </c>
      <c r="AE364" s="444">
        <v>-0.26</v>
      </c>
      <c r="AF364" s="344">
        <f t="shared" si="30"/>
        <v>3.967321930602084E-4</v>
      </c>
    </row>
    <row r="365" spans="1:32" ht="25.5">
      <c r="A365" s="428" t="s">
        <v>999</v>
      </c>
      <c r="B365" s="382" t="s">
        <v>996</v>
      </c>
      <c r="C365" s="361">
        <f t="shared" si="31"/>
        <v>0</v>
      </c>
      <c r="D365" s="361">
        <f t="shared" si="32"/>
        <v>0</v>
      </c>
      <c r="E365" s="361">
        <f t="shared" si="33"/>
        <v>42456.87</v>
      </c>
      <c r="F365" s="361">
        <f t="shared" si="34"/>
        <v>35395.599999999999</v>
      </c>
      <c r="G365" s="361">
        <f t="shared" si="35"/>
        <v>9835.4599999999991</v>
      </c>
      <c r="H365" s="371">
        <v>0</v>
      </c>
      <c r="I365" s="371">
        <v>0</v>
      </c>
      <c r="J365" s="371">
        <v>0</v>
      </c>
      <c r="K365" s="371">
        <v>0</v>
      </c>
      <c r="L365" s="371">
        <v>0</v>
      </c>
      <c r="M365" s="371">
        <v>0</v>
      </c>
      <c r="N365" s="371">
        <v>0</v>
      </c>
      <c r="O365" s="371">
        <v>0</v>
      </c>
      <c r="P365" s="371">
        <v>0</v>
      </c>
      <c r="Q365" s="371">
        <v>1219.06</v>
      </c>
      <c r="R365" s="371">
        <v>-1219.06</v>
      </c>
      <c r="S365" s="371">
        <v>42456.87</v>
      </c>
      <c r="T365" s="371">
        <v>5654.7900000000009</v>
      </c>
      <c r="U365" s="371">
        <v>0</v>
      </c>
      <c r="V365" s="371">
        <v>29065.600000000002</v>
      </c>
      <c r="W365" s="371">
        <v>675.21</v>
      </c>
      <c r="X365" s="371">
        <v>9835.4599999999991</v>
      </c>
      <c r="Y365" s="371">
        <v>0</v>
      </c>
      <c r="Z365" s="371">
        <v>0</v>
      </c>
      <c r="AA365" s="367">
        <v>0</v>
      </c>
      <c r="AB365" s="371">
        <v>0</v>
      </c>
      <c r="AC365" s="369">
        <v>87687.93</v>
      </c>
      <c r="AD365" s="369">
        <v>87687.93</v>
      </c>
      <c r="AE365" s="444">
        <v>0</v>
      </c>
      <c r="AF365" s="344">
        <f t="shared" si="30"/>
        <v>1.5113290635249894E-4</v>
      </c>
    </row>
    <row r="366" spans="1:32">
      <c r="A366" s="390" t="s">
        <v>1000</v>
      </c>
      <c r="B366" s="391" t="s">
        <v>996</v>
      </c>
      <c r="C366" s="361">
        <f t="shared" si="31"/>
        <v>0</v>
      </c>
      <c r="D366" s="361">
        <f t="shared" si="32"/>
        <v>0</v>
      </c>
      <c r="E366" s="361">
        <f t="shared" si="33"/>
        <v>0</v>
      </c>
      <c r="F366" s="361">
        <f t="shared" si="34"/>
        <v>0</v>
      </c>
      <c r="G366" s="361">
        <f t="shared" si="35"/>
        <v>0</v>
      </c>
      <c r="H366" s="394">
        <v>0</v>
      </c>
      <c r="I366" s="394">
        <v>0</v>
      </c>
      <c r="J366" s="394">
        <v>0</v>
      </c>
      <c r="K366" s="394">
        <v>0</v>
      </c>
      <c r="L366" s="394">
        <v>0</v>
      </c>
      <c r="M366" s="394">
        <v>0</v>
      </c>
      <c r="N366" s="394">
        <v>0</v>
      </c>
      <c r="O366" s="394">
        <v>0</v>
      </c>
      <c r="P366" s="394">
        <v>0</v>
      </c>
      <c r="Q366" s="394">
        <v>0</v>
      </c>
      <c r="R366" s="394">
        <v>0</v>
      </c>
      <c r="S366" s="394">
        <v>0</v>
      </c>
      <c r="T366" s="394">
        <v>0</v>
      </c>
      <c r="U366" s="394">
        <v>0</v>
      </c>
      <c r="V366" s="394">
        <v>0</v>
      </c>
      <c r="W366" s="394">
        <v>0</v>
      </c>
      <c r="X366" s="394">
        <v>0</v>
      </c>
      <c r="Y366" s="394">
        <v>0</v>
      </c>
      <c r="Z366" s="394">
        <v>0</v>
      </c>
      <c r="AA366" s="392">
        <v>0</v>
      </c>
      <c r="AB366" s="394">
        <v>0</v>
      </c>
      <c r="AC366" s="373">
        <v>0</v>
      </c>
      <c r="AD366" s="373">
        <v>0</v>
      </c>
      <c r="AE366" s="444">
        <v>0</v>
      </c>
      <c r="AF366" s="344">
        <f t="shared" si="30"/>
        <v>0</v>
      </c>
    </row>
    <row r="367" spans="1:32">
      <c r="A367" s="393" t="s">
        <v>1001</v>
      </c>
      <c r="B367" s="391" t="s">
        <v>1002</v>
      </c>
      <c r="C367" s="361">
        <f t="shared" si="31"/>
        <v>0</v>
      </c>
      <c r="D367" s="361">
        <f t="shared" si="32"/>
        <v>749216.65336666664</v>
      </c>
      <c r="E367" s="361">
        <f t="shared" si="33"/>
        <v>1267381.6299999999</v>
      </c>
      <c r="F367" s="361">
        <f t="shared" si="34"/>
        <v>1193652.04</v>
      </c>
      <c r="G367" s="361">
        <f t="shared" si="35"/>
        <v>485874.89999999997</v>
      </c>
      <c r="H367" s="394">
        <v>0</v>
      </c>
      <c r="I367" s="394">
        <v>0</v>
      </c>
      <c r="J367" s="394">
        <v>0</v>
      </c>
      <c r="K367" s="394">
        <v>0</v>
      </c>
      <c r="L367" s="394">
        <v>0</v>
      </c>
      <c r="M367" s="394">
        <v>389219.62336666661</v>
      </c>
      <c r="N367" s="394">
        <v>49393.51</v>
      </c>
      <c r="O367" s="394">
        <v>310603.52000000002</v>
      </c>
      <c r="P367" s="394">
        <v>153698.85999999999</v>
      </c>
      <c r="Q367" s="395">
        <v>309110.59000000003</v>
      </c>
      <c r="R367" s="394">
        <v>260927.67</v>
      </c>
      <c r="S367" s="394">
        <v>543644.51</v>
      </c>
      <c r="T367" s="394">
        <v>575300.29999999993</v>
      </c>
      <c r="U367" s="394">
        <v>534043.97</v>
      </c>
      <c r="V367" s="394">
        <v>84307.76999999999</v>
      </c>
      <c r="W367" s="394">
        <v>0</v>
      </c>
      <c r="X367" s="394">
        <v>104131.01999999999</v>
      </c>
      <c r="Y367" s="394">
        <v>0</v>
      </c>
      <c r="Z367" s="394">
        <v>267801.09000000003</v>
      </c>
      <c r="AA367" s="392">
        <v>113942.79</v>
      </c>
      <c r="AB367" s="394">
        <v>3.0000000129803084E-2</v>
      </c>
      <c r="AC367" s="373">
        <v>3696125.2199999997</v>
      </c>
      <c r="AD367" s="373">
        <v>3583305.99</v>
      </c>
      <c r="AE367" s="444">
        <v>-112819.23</v>
      </c>
      <c r="AF367" s="344">
        <f t="shared" si="30"/>
        <v>6.3703881108992944E-3</v>
      </c>
    </row>
    <row r="368" spans="1:32" ht="25.5">
      <c r="A368" s="428" t="s">
        <v>1003</v>
      </c>
      <c r="B368" s="382" t="s">
        <v>1004</v>
      </c>
      <c r="C368" s="361">
        <f t="shared" si="31"/>
        <v>0</v>
      </c>
      <c r="D368" s="361">
        <f t="shared" si="32"/>
        <v>524170.12</v>
      </c>
      <c r="E368" s="361">
        <f t="shared" si="33"/>
        <v>1044185.05</v>
      </c>
      <c r="F368" s="361">
        <f t="shared" si="34"/>
        <v>1106916.75</v>
      </c>
      <c r="G368" s="361">
        <f t="shared" si="35"/>
        <v>0</v>
      </c>
      <c r="H368" s="371">
        <v>0</v>
      </c>
      <c r="I368" s="371">
        <v>0</v>
      </c>
      <c r="J368" s="371">
        <v>0</v>
      </c>
      <c r="K368" s="371">
        <v>0</v>
      </c>
      <c r="L368" s="371">
        <v>0</v>
      </c>
      <c r="M368" s="371">
        <v>257757</v>
      </c>
      <c r="N368" s="371">
        <v>-2164.9</v>
      </c>
      <c r="O368" s="371">
        <v>268578.02</v>
      </c>
      <c r="P368" s="371">
        <v>0</v>
      </c>
      <c r="Q368" s="403">
        <v>266580.38</v>
      </c>
      <c r="R368" s="371">
        <v>260927.67</v>
      </c>
      <c r="S368" s="371">
        <v>516677</v>
      </c>
      <c r="T368" s="371">
        <v>537397.94999999995</v>
      </c>
      <c r="U368" s="371">
        <v>525376.24</v>
      </c>
      <c r="V368" s="371">
        <v>44142.559999999998</v>
      </c>
      <c r="W368" s="371">
        <v>0</v>
      </c>
      <c r="X368" s="371">
        <v>0</v>
      </c>
      <c r="Y368" s="371">
        <v>0</v>
      </c>
      <c r="Z368" s="371">
        <v>0</v>
      </c>
      <c r="AA368" s="367">
        <v>0</v>
      </c>
      <c r="AB368" s="371">
        <v>-0.10999999986961484</v>
      </c>
      <c r="AC368" s="373">
        <v>2675271.92</v>
      </c>
      <c r="AD368" s="373">
        <v>2675271.81</v>
      </c>
      <c r="AE368" s="444">
        <v>-0.11</v>
      </c>
      <c r="AF368" s="344">
        <f t="shared" si="30"/>
        <v>4.6109153284018684E-3</v>
      </c>
    </row>
    <row r="369" spans="1:32">
      <c r="A369" s="451" t="s">
        <v>1005</v>
      </c>
      <c r="B369" s="380" t="s">
        <v>1004</v>
      </c>
      <c r="C369" s="361">
        <f t="shared" si="31"/>
        <v>0</v>
      </c>
      <c r="D369" s="361">
        <f t="shared" si="32"/>
        <v>255592.1</v>
      </c>
      <c r="E369" s="361">
        <f t="shared" si="33"/>
        <v>0</v>
      </c>
      <c r="F369" s="361">
        <f t="shared" si="34"/>
        <v>0</v>
      </c>
      <c r="G369" s="361">
        <f t="shared" si="35"/>
        <v>0</v>
      </c>
      <c r="H369" s="403">
        <v>0</v>
      </c>
      <c r="I369" s="403">
        <v>0</v>
      </c>
      <c r="J369" s="403">
        <v>0</v>
      </c>
      <c r="K369" s="403">
        <v>0</v>
      </c>
      <c r="L369" s="403">
        <v>0</v>
      </c>
      <c r="M369" s="403">
        <v>257757</v>
      </c>
      <c r="N369" s="403">
        <v>-2164.9</v>
      </c>
      <c r="O369" s="403">
        <v>0</v>
      </c>
      <c r="P369" s="403">
        <v>0</v>
      </c>
      <c r="Q369" s="403">
        <v>0</v>
      </c>
      <c r="R369" s="403">
        <v>0</v>
      </c>
      <c r="S369" s="403">
        <v>0</v>
      </c>
      <c r="T369" s="403">
        <v>0</v>
      </c>
      <c r="U369" s="403">
        <v>0</v>
      </c>
      <c r="V369" s="403">
        <v>0</v>
      </c>
      <c r="W369" s="403">
        <v>0</v>
      </c>
      <c r="X369" s="403">
        <v>0</v>
      </c>
      <c r="Y369" s="403">
        <v>0</v>
      </c>
      <c r="Z369" s="403">
        <v>0</v>
      </c>
      <c r="AA369" s="367">
        <v>0</v>
      </c>
      <c r="AB369" s="403">
        <v>0</v>
      </c>
      <c r="AC369" s="398">
        <v>255592.1</v>
      </c>
      <c r="AD369" s="398">
        <v>255592.1</v>
      </c>
      <c r="AE369" s="453">
        <v>0</v>
      </c>
      <c r="AF369" s="344">
        <f t="shared" si="30"/>
        <v>4.4052102625456605E-4</v>
      </c>
    </row>
    <row r="370" spans="1:32">
      <c r="A370" s="451" t="s">
        <v>1006</v>
      </c>
      <c r="B370" s="380" t="s">
        <v>1004</v>
      </c>
      <c r="C370" s="361">
        <f t="shared" si="31"/>
        <v>0</v>
      </c>
      <c r="D370" s="361">
        <f t="shared" si="32"/>
        <v>268578.02</v>
      </c>
      <c r="E370" s="361">
        <f t="shared" si="33"/>
        <v>0</v>
      </c>
      <c r="F370" s="361">
        <f t="shared" si="34"/>
        <v>268698.69999999995</v>
      </c>
      <c r="G370" s="361">
        <f t="shared" si="35"/>
        <v>0</v>
      </c>
      <c r="H370" s="403">
        <v>0</v>
      </c>
      <c r="I370" s="403">
        <v>0</v>
      </c>
      <c r="J370" s="403">
        <v>0</v>
      </c>
      <c r="K370" s="403">
        <v>0</v>
      </c>
      <c r="L370" s="403">
        <v>0</v>
      </c>
      <c r="M370" s="403">
        <v>0</v>
      </c>
      <c r="N370" s="403">
        <v>0</v>
      </c>
      <c r="O370" s="403">
        <v>268578.02</v>
      </c>
      <c r="P370" s="403">
        <v>0</v>
      </c>
      <c r="Q370" s="403">
        <v>0</v>
      </c>
      <c r="R370" s="403">
        <v>0</v>
      </c>
      <c r="S370" s="403">
        <v>0</v>
      </c>
      <c r="T370" s="403">
        <v>268698.69999999995</v>
      </c>
      <c r="U370" s="403">
        <v>0</v>
      </c>
      <c r="V370" s="403">
        <v>0</v>
      </c>
      <c r="W370" s="403">
        <v>0</v>
      </c>
      <c r="X370" s="403">
        <v>0</v>
      </c>
      <c r="Y370" s="403">
        <v>0</v>
      </c>
      <c r="Z370" s="403">
        <v>0</v>
      </c>
      <c r="AA370" s="367">
        <v>0</v>
      </c>
      <c r="AB370" s="403">
        <v>0</v>
      </c>
      <c r="AC370" s="398">
        <v>537276.72</v>
      </c>
      <c r="AD370" s="398">
        <v>537276.72</v>
      </c>
      <c r="AE370" s="453">
        <v>0</v>
      </c>
      <c r="AF370" s="344">
        <f t="shared" si="30"/>
        <v>9.2601333169956002E-4</v>
      </c>
    </row>
    <row r="371" spans="1:32" ht="25.5">
      <c r="A371" s="451" t="s">
        <v>1007</v>
      </c>
      <c r="B371" s="380" t="s">
        <v>1004</v>
      </c>
      <c r="C371" s="361">
        <f t="shared" si="31"/>
        <v>0</v>
      </c>
      <c r="D371" s="361">
        <f t="shared" si="32"/>
        <v>0</v>
      </c>
      <c r="E371" s="361">
        <f t="shared" si="33"/>
        <v>1044185.05</v>
      </c>
      <c r="F371" s="361">
        <f t="shared" si="34"/>
        <v>575529.69999999995</v>
      </c>
      <c r="G371" s="361">
        <f t="shared" si="35"/>
        <v>0</v>
      </c>
      <c r="H371" s="403">
        <v>0</v>
      </c>
      <c r="I371" s="403">
        <v>0</v>
      </c>
      <c r="J371" s="403">
        <v>0</v>
      </c>
      <c r="K371" s="403">
        <v>0</v>
      </c>
      <c r="L371" s="403">
        <v>0</v>
      </c>
      <c r="M371" s="403">
        <v>0</v>
      </c>
      <c r="N371" s="403">
        <v>0</v>
      </c>
      <c r="O371" s="403">
        <v>0</v>
      </c>
      <c r="P371" s="403">
        <v>0</v>
      </c>
      <c r="Q371" s="403">
        <v>266580.38</v>
      </c>
      <c r="R371" s="403">
        <v>260927.67</v>
      </c>
      <c r="S371" s="403">
        <v>516677</v>
      </c>
      <c r="T371" s="403">
        <v>268699.02</v>
      </c>
      <c r="U371" s="403">
        <v>262688.12</v>
      </c>
      <c r="V371" s="403">
        <v>44142.559999999998</v>
      </c>
      <c r="W371" s="403">
        <v>0</v>
      </c>
      <c r="X371" s="403">
        <v>0</v>
      </c>
      <c r="Y371" s="403">
        <v>0</v>
      </c>
      <c r="Z371" s="403">
        <v>0</v>
      </c>
      <c r="AA371" s="367">
        <v>0</v>
      </c>
      <c r="AB371" s="403">
        <v>0.12000000011175871</v>
      </c>
      <c r="AC371" s="398">
        <v>1619714.75</v>
      </c>
      <c r="AD371" s="398">
        <v>1619714.87</v>
      </c>
      <c r="AE371" s="453">
        <v>0.12</v>
      </c>
      <c r="AF371" s="344">
        <f t="shared" si="30"/>
        <v>2.7916293340430236E-3</v>
      </c>
    </row>
    <row r="372" spans="1:32">
      <c r="A372" s="451" t="s">
        <v>1008</v>
      </c>
      <c r="B372" s="380" t="s">
        <v>1004</v>
      </c>
      <c r="C372" s="361">
        <f t="shared" si="31"/>
        <v>0</v>
      </c>
      <c r="D372" s="361">
        <f t="shared" si="32"/>
        <v>0</v>
      </c>
      <c r="E372" s="361">
        <f t="shared" si="33"/>
        <v>0</v>
      </c>
      <c r="F372" s="361">
        <f t="shared" si="34"/>
        <v>262688.34999999998</v>
      </c>
      <c r="G372" s="361">
        <f t="shared" si="35"/>
        <v>0</v>
      </c>
      <c r="H372" s="403">
        <v>0</v>
      </c>
      <c r="I372" s="403">
        <v>0</v>
      </c>
      <c r="J372" s="403">
        <v>0</v>
      </c>
      <c r="K372" s="403">
        <v>0</v>
      </c>
      <c r="L372" s="403">
        <v>0</v>
      </c>
      <c r="M372" s="403">
        <v>0</v>
      </c>
      <c r="N372" s="403">
        <v>0</v>
      </c>
      <c r="O372" s="403">
        <v>0</v>
      </c>
      <c r="P372" s="403">
        <v>0</v>
      </c>
      <c r="Q372" s="403">
        <v>0</v>
      </c>
      <c r="R372" s="403">
        <v>0</v>
      </c>
      <c r="S372" s="403">
        <v>0</v>
      </c>
      <c r="T372" s="403">
        <v>0.22999999999956344</v>
      </c>
      <c r="U372" s="403">
        <v>262688.12</v>
      </c>
      <c r="V372" s="403">
        <v>0</v>
      </c>
      <c r="W372" s="403">
        <v>0</v>
      </c>
      <c r="X372" s="403">
        <v>0</v>
      </c>
      <c r="Y372" s="403">
        <v>0</v>
      </c>
      <c r="Z372" s="403">
        <v>0</v>
      </c>
      <c r="AA372" s="367">
        <v>0</v>
      </c>
      <c r="AB372" s="403">
        <v>-0.22999999998137355</v>
      </c>
      <c r="AC372" s="398">
        <v>262688.34999999998</v>
      </c>
      <c r="AD372" s="398">
        <v>262688.12</v>
      </c>
      <c r="AE372" s="453">
        <v>-0.23</v>
      </c>
      <c r="AF372" s="344">
        <f t="shared" si="30"/>
        <v>4.5275163640471917E-4</v>
      </c>
    </row>
    <row r="373" spans="1:32">
      <c r="A373" s="477" t="s">
        <v>1009</v>
      </c>
      <c r="B373" s="382" t="s">
        <v>1010</v>
      </c>
      <c r="C373" s="361">
        <f t="shared" si="31"/>
        <v>0</v>
      </c>
      <c r="D373" s="361">
        <f t="shared" si="32"/>
        <v>225046.53336666661</v>
      </c>
      <c r="E373" s="361">
        <f t="shared" si="33"/>
        <v>57316.44</v>
      </c>
      <c r="F373" s="361">
        <f t="shared" si="34"/>
        <v>0</v>
      </c>
      <c r="G373" s="361">
        <f t="shared" si="35"/>
        <v>113942.79</v>
      </c>
      <c r="H373" s="371">
        <v>0</v>
      </c>
      <c r="I373" s="371">
        <v>0</v>
      </c>
      <c r="J373" s="371">
        <v>0</v>
      </c>
      <c r="K373" s="371">
        <v>0</v>
      </c>
      <c r="L373" s="371">
        <v>0</v>
      </c>
      <c r="M373" s="371">
        <v>131462.62336666661</v>
      </c>
      <c r="N373" s="371">
        <v>51558.41</v>
      </c>
      <c r="O373" s="371">
        <v>42025.5</v>
      </c>
      <c r="P373" s="371">
        <v>15399.23</v>
      </c>
      <c r="Q373" s="371">
        <v>41917.21</v>
      </c>
      <c r="R373" s="371">
        <v>0</v>
      </c>
      <c r="S373" s="371">
        <v>0</v>
      </c>
      <c r="T373" s="371">
        <v>0</v>
      </c>
      <c r="U373" s="371">
        <v>0</v>
      </c>
      <c r="V373" s="371">
        <v>0</v>
      </c>
      <c r="W373" s="371">
        <v>0</v>
      </c>
      <c r="X373" s="371">
        <v>0</v>
      </c>
      <c r="Y373" s="371">
        <v>0</v>
      </c>
      <c r="Z373" s="371">
        <v>0</v>
      </c>
      <c r="AA373" s="367">
        <v>113942.79</v>
      </c>
      <c r="AB373" s="371">
        <v>-0.25999999996565748</v>
      </c>
      <c r="AC373" s="398">
        <v>396305.75999999995</v>
      </c>
      <c r="AD373" s="398">
        <v>282362.96999999997</v>
      </c>
      <c r="AE373" s="444">
        <v>-113942.79</v>
      </c>
      <c r="AF373" s="344">
        <f t="shared" si="30"/>
        <v>6.830454466542422E-4</v>
      </c>
    </row>
    <row r="374" spans="1:32">
      <c r="A374" s="428" t="s">
        <v>1011</v>
      </c>
      <c r="B374" s="382" t="s">
        <v>1012</v>
      </c>
      <c r="C374" s="361">
        <f t="shared" si="31"/>
        <v>0</v>
      </c>
      <c r="D374" s="361">
        <f t="shared" si="32"/>
        <v>0</v>
      </c>
      <c r="E374" s="361">
        <f t="shared" si="33"/>
        <v>138912.63</v>
      </c>
      <c r="F374" s="361">
        <f t="shared" si="34"/>
        <v>0</v>
      </c>
      <c r="G374" s="361">
        <f t="shared" si="35"/>
        <v>0</v>
      </c>
      <c r="H374" s="371">
        <v>0</v>
      </c>
      <c r="I374" s="371">
        <v>0</v>
      </c>
      <c r="J374" s="371">
        <v>0</v>
      </c>
      <c r="K374" s="371">
        <v>0</v>
      </c>
      <c r="L374" s="371">
        <v>0</v>
      </c>
      <c r="M374" s="371">
        <v>0</v>
      </c>
      <c r="N374" s="371">
        <v>0</v>
      </c>
      <c r="O374" s="371">
        <v>0</v>
      </c>
      <c r="P374" s="371">
        <v>138299.63</v>
      </c>
      <c r="Q374" s="371">
        <v>613</v>
      </c>
      <c r="R374" s="371">
        <v>0</v>
      </c>
      <c r="S374" s="371">
        <v>0</v>
      </c>
      <c r="T374" s="371">
        <v>0</v>
      </c>
      <c r="U374" s="371">
        <v>0</v>
      </c>
      <c r="V374" s="371">
        <v>0</v>
      </c>
      <c r="W374" s="371">
        <v>0</v>
      </c>
      <c r="X374" s="371">
        <v>0</v>
      </c>
      <c r="Y374" s="371">
        <v>0</v>
      </c>
      <c r="Z374" s="371">
        <v>0</v>
      </c>
      <c r="AA374" s="367">
        <v>0</v>
      </c>
      <c r="AB374" s="371">
        <v>0</v>
      </c>
      <c r="AC374" s="373">
        <v>138912.63</v>
      </c>
      <c r="AD374" s="373">
        <v>138912.63</v>
      </c>
      <c r="AE374" s="444">
        <v>0</v>
      </c>
      <c r="AF374" s="344">
        <f t="shared" si="30"/>
        <v>2.3942028852738727E-4</v>
      </c>
    </row>
    <row r="375" spans="1:32" ht="25.5">
      <c r="A375" s="428" t="s">
        <v>1013</v>
      </c>
      <c r="B375" s="382" t="s">
        <v>1014</v>
      </c>
      <c r="C375" s="361">
        <f t="shared" si="31"/>
        <v>0</v>
      </c>
      <c r="D375" s="361">
        <f t="shared" si="32"/>
        <v>0</v>
      </c>
      <c r="E375" s="361">
        <f t="shared" si="33"/>
        <v>23017.63</v>
      </c>
      <c r="F375" s="361">
        <f t="shared" si="34"/>
        <v>84168.889999999985</v>
      </c>
      <c r="G375" s="361">
        <f t="shared" si="35"/>
        <v>318423.68000000005</v>
      </c>
      <c r="H375" s="371">
        <v>0</v>
      </c>
      <c r="I375" s="371">
        <v>0</v>
      </c>
      <c r="J375" s="371">
        <v>0</v>
      </c>
      <c r="K375" s="371">
        <v>0</v>
      </c>
      <c r="L375" s="371">
        <v>0</v>
      </c>
      <c r="M375" s="371">
        <v>0</v>
      </c>
      <c r="N375" s="371">
        <v>0</v>
      </c>
      <c r="O375" s="371">
        <v>0</v>
      </c>
      <c r="P375" s="371">
        <v>0</v>
      </c>
      <c r="Q375" s="371">
        <v>0</v>
      </c>
      <c r="R375" s="371">
        <v>0</v>
      </c>
      <c r="S375" s="371">
        <v>23017.63</v>
      </c>
      <c r="T375" s="371">
        <v>35335.949999999997</v>
      </c>
      <c r="U375" s="371">
        <v>8667.73</v>
      </c>
      <c r="V375" s="371">
        <v>40165.21</v>
      </c>
      <c r="W375" s="371">
        <v>0</v>
      </c>
      <c r="X375" s="371">
        <v>50622.59</v>
      </c>
      <c r="Y375" s="371">
        <v>0</v>
      </c>
      <c r="Z375" s="371">
        <v>267801.09000000003</v>
      </c>
      <c r="AA375" s="367">
        <v>0</v>
      </c>
      <c r="AB375" s="371">
        <v>0.3999999999650754</v>
      </c>
      <c r="AC375" s="373">
        <v>425610.2</v>
      </c>
      <c r="AD375" s="373">
        <v>426733.87</v>
      </c>
      <c r="AE375" s="444">
        <v>1123.67</v>
      </c>
      <c r="AF375" s="344">
        <f t="shared" si="30"/>
        <v>7.3355257102395224E-4</v>
      </c>
    </row>
    <row r="376" spans="1:32">
      <c r="A376" s="428" t="s">
        <v>1015</v>
      </c>
      <c r="B376" s="382" t="s">
        <v>1016</v>
      </c>
      <c r="C376" s="361">
        <f t="shared" si="31"/>
        <v>0</v>
      </c>
      <c r="D376" s="361">
        <f t="shared" si="32"/>
        <v>0</v>
      </c>
      <c r="E376" s="361">
        <f t="shared" si="33"/>
        <v>3949.88</v>
      </c>
      <c r="F376" s="361">
        <f t="shared" si="34"/>
        <v>2566.4</v>
      </c>
      <c r="G376" s="361">
        <f t="shared" si="35"/>
        <v>0</v>
      </c>
      <c r="H376" s="371"/>
      <c r="I376" s="371"/>
      <c r="J376" s="371"/>
      <c r="K376" s="371"/>
      <c r="L376" s="371"/>
      <c r="M376" s="371"/>
      <c r="N376" s="371"/>
      <c r="O376" s="371"/>
      <c r="P376" s="371">
        <v>0</v>
      </c>
      <c r="Q376" s="371">
        <v>0</v>
      </c>
      <c r="R376" s="371">
        <v>0</v>
      </c>
      <c r="S376" s="371">
        <v>3949.88</v>
      </c>
      <c r="T376" s="371">
        <v>2566.4</v>
      </c>
      <c r="U376" s="371">
        <v>0</v>
      </c>
      <c r="V376" s="371">
        <v>0</v>
      </c>
      <c r="W376" s="371">
        <v>0</v>
      </c>
      <c r="X376" s="371">
        <v>0</v>
      </c>
      <c r="Y376" s="371">
        <v>0</v>
      </c>
      <c r="Z376" s="371">
        <v>0</v>
      </c>
      <c r="AA376" s="367">
        <v>0</v>
      </c>
      <c r="AB376" s="371">
        <v>0</v>
      </c>
      <c r="AC376" s="373">
        <v>6516.28</v>
      </c>
      <c r="AD376" s="373">
        <v>6516.28</v>
      </c>
      <c r="AE376" s="444">
        <v>0</v>
      </c>
      <c r="AF376" s="344">
        <f t="shared" si="30"/>
        <v>1.123101360707981E-5</v>
      </c>
    </row>
    <row r="377" spans="1:32">
      <c r="A377" s="428" t="s">
        <v>1017</v>
      </c>
      <c r="B377" s="382" t="s">
        <v>1018</v>
      </c>
      <c r="C377" s="361">
        <f t="shared" si="31"/>
        <v>0</v>
      </c>
      <c r="D377" s="361">
        <f t="shared" si="32"/>
        <v>0</v>
      </c>
      <c r="E377" s="361">
        <f t="shared" si="33"/>
        <v>0</v>
      </c>
      <c r="F377" s="361">
        <f t="shared" si="34"/>
        <v>0</v>
      </c>
      <c r="G377" s="361">
        <f t="shared" si="35"/>
        <v>53508.43</v>
      </c>
      <c r="H377" s="371"/>
      <c r="I377" s="371"/>
      <c r="J377" s="371"/>
      <c r="K377" s="371"/>
      <c r="L377" s="371"/>
      <c r="M377" s="371"/>
      <c r="N377" s="371"/>
      <c r="O377" s="371"/>
      <c r="P377" s="371">
        <v>0</v>
      </c>
      <c r="Q377" s="371">
        <v>0</v>
      </c>
      <c r="R377" s="371">
        <v>0</v>
      </c>
      <c r="S377" s="371">
        <v>0</v>
      </c>
      <c r="T377" s="371">
        <v>0</v>
      </c>
      <c r="U377" s="371">
        <v>0</v>
      </c>
      <c r="V377" s="371">
        <v>0</v>
      </c>
      <c r="W377" s="371">
        <v>0</v>
      </c>
      <c r="X377" s="371">
        <v>53508.43</v>
      </c>
      <c r="Y377" s="371">
        <v>0</v>
      </c>
      <c r="Z377" s="371">
        <v>0</v>
      </c>
      <c r="AA377" s="367">
        <v>0</v>
      </c>
      <c r="AB377" s="371">
        <v>0</v>
      </c>
      <c r="AC377" s="373">
        <v>53508.43</v>
      </c>
      <c r="AD377" s="373">
        <v>53508.43</v>
      </c>
      <c r="AE377" s="444">
        <v>0</v>
      </c>
      <c r="AF377" s="344">
        <f t="shared" si="30"/>
        <v>9.2223462684764553E-5</v>
      </c>
    </row>
    <row r="378" spans="1:32">
      <c r="A378" s="393" t="s">
        <v>1019</v>
      </c>
      <c r="B378" s="391" t="s">
        <v>1020</v>
      </c>
      <c r="C378" s="361">
        <f t="shared" si="31"/>
        <v>52258.33</v>
      </c>
      <c r="D378" s="361">
        <f t="shared" si="32"/>
        <v>57776.49</v>
      </c>
      <c r="E378" s="361">
        <f t="shared" si="33"/>
        <v>52441.91</v>
      </c>
      <c r="F378" s="361">
        <f t="shared" si="34"/>
        <v>54016.159999999996</v>
      </c>
      <c r="G378" s="361">
        <f t="shared" si="35"/>
        <v>10273.980000000005</v>
      </c>
      <c r="H378" s="394">
        <v>0</v>
      </c>
      <c r="I378" s="394">
        <v>0</v>
      </c>
      <c r="J378" s="394">
        <v>15821.64</v>
      </c>
      <c r="K378" s="394">
        <v>36436.69</v>
      </c>
      <c r="L378" s="394">
        <v>11270.91</v>
      </c>
      <c r="M378" s="394">
        <v>19759.09</v>
      </c>
      <c r="N378" s="394">
        <v>8759</v>
      </c>
      <c r="O378" s="394">
        <v>17987.489999999998</v>
      </c>
      <c r="P378" s="394">
        <v>11956.369999999999</v>
      </c>
      <c r="Q378" s="395">
        <v>8921.06</v>
      </c>
      <c r="R378" s="394">
        <v>17759.620000000003</v>
      </c>
      <c r="S378" s="394">
        <v>13804.86</v>
      </c>
      <c r="T378" s="394">
        <v>11181.01</v>
      </c>
      <c r="U378" s="394">
        <v>6956.21</v>
      </c>
      <c r="V378" s="394">
        <v>10102.959999999999</v>
      </c>
      <c r="W378" s="394">
        <v>25775.979999999996</v>
      </c>
      <c r="X378" s="394">
        <v>4523.1900000000005</v>
      </c>
      <c r="Y378" s="394">
        <v>4014.41</v>
      </c>
      <c r="Z378" s="394">
        <v>1511.5500000000047</v>
      </c>
      <c r="AA378" s="392">
        <v>224.83000000000004</v>
      </c>
      <c r="AB378" s="394">
        <v>-1104.9999999999977</v>
      </c>
      <c r="AC378" s="373">
        <v>225596.56</v>
      </c>
      <c r="AD378" s="373">
        <v>229096.23</v>
      </c>
      <c r="AE378" s="444">
        <v>3499.67</v>
      </c>
      <c r="AF378" s="344">
        <f t="shared" si="30"/>
        <v>3.8882276929020802E-4</v>
      </c>
    </row>
    <row r="379" spans="1:32">
      <c r="A379" s="478" t="s">
        <v>1021</v>
      </c>
      <c r="B379" s="382" t="s">
        <v>1022</v>
      </c>
      <c r="C379" s="361">
        <f t="shared" si="31"/>
        <v>52258.33</v>
      </c>
      <c r="D379" s="361">
        <f t="shared" si="32"/>
        <v>56098.12</v>
      </c>
      <c r="E379" s="361">
        <f t="shared" si="33"/>
        <v>50447.790000000008</v>
      </c>
      <c r="F379" s="361">
        <f t="shared" si="34"/>
        <v>51820.950000000004</v>
      </c>
      <c r="G379" s="361">
        <f t="shared" si="35"/>
        <v>10273.980000000005</v>
      </c>
      <c r="H379" s="371">
        <v>0</v>
      </c>
      <c r="I379" s="371">
        <v>0</v>
      </c>
      <c r="J379" s="371">
        <v>15821.64</v>
      </c>
      <c r="K379" s="371">
        <v>36436.69</v>
      </c>
      <c r="L379" s="371">
        <v>10510.36</v>
      </c>
      <c r="M379" s="371">
        <v>18976</v>
      </c>
      <c r="N379" s="371">
        <v>8759</v>
      </c>
      <c r="O379" s="371">
        <v>17852.760000000002</v>
      </c>
      <c r="P379" s="371">
        <v>11204.810000000001</v>
      </c>
      <c r="Q379" s="371">
        <v>8921.06</v>
      </c>
      <c r="R379" s="371">
        <v>16693.650000000001</v>
      </c>
      <c r="S379" s="371">
        <v>13628.27</v>
      </c>
      <c r="T379" s="371">
        <v>11181.01</v>
      </c>
      <c r="U379" s="479">
        <v>6108.96</v>
      </c>
      <c r="V379" s="479">
        <v>8837.26</v>
      </c>
      <c r="W379" s="479">
        <v>25693.72</v>
      </c>
      <c r="X379" s="371">
        <v>4523.1900000000005</v>
      </c>
      <c r="Y379" s="371">
        <v>4014.41</v>
      </c>
      <c r="Z379" s="372">
        <v>1511.5500000000047</v>
      </c>
      <c r="AA379" s="367">
        <v>224.83000000000004</v>
      </c>
      <c r="AB379" s="371">
        <v>-1104.9999999999977</v>
      </c>
      <c r="AC379" s="373">
        <v>219728.86000000002</v>
      </c>
      <c r="AD379" s="373">
        <v>220728.53</v>
      </c>
      <c r="AE379" s="444">
        <v>999.67</v>
      </c>
      <c r="AF379" s="344">
        <f t="shared" si="30"/>
        <v>3.7870960371993453E-4</v>
      </c>
    </row>
    <row r="380" spans="1:32">
      <c r="A380" s="478" t="s">
        <v>1023</v>
      </c>
      <c r="B380" s="382" t="s">
        <v>1022</v>
      </c>
      <c r="C380" s="361">
        <f t="shared" si="31"/>
        <v>0</v>
      </c>
      <c r="D380" s="361">
        <f t="shared" si="32"/>
        <v>1678.37</v>
      </c>
      <c r="E380" s="361">
        <f t="shared" si="33"/>
        <v>1994.12</v>
      </c>
      <c r="F380" s="361">
        <f t="shared" si="34"/>
        <v>2195.21</v>
      </c>
      <c r="G380" s="361">
        <f t="shared" si="35"/>
        <v>0</v>
      </c>
      <c r="H380" s="371">
        <v>0</v>
      </c>
      <c r="I380" s="371">
        <v>0</v>
      </c>
      <c r="J380" s="371">
        <v>0</v>
      </c>
      <c r="K380" s="371">
        <v>0</v>
      </c>
      <c r="L380" s="371">
        <v>760.55</v>
      </c>
      <c r="M380" s="371">
        <v>783.09</v>
      </c>
      <c r="N380" s="371">
        <v>0</v>
      </c>
      <c r="O380" s="371">
        <v>134.72999999999999</v>
      </c>
      <c r="P380" s="371">
        <v>751.56</v>
      </c>
      <c r="Q380" s="371">
        <v>0</v>
      </c>
      <c r="R380" s="371">
        <v>1065.97</v>
      </c>
      <c r="S380" s="371">
        <v>176.59</v>
      </c>
      <c r="T380" s="371">
        <v>0</v>
      </c>
      <c r="U380" s="479">
        <v>847.25</v>
      </c>
      <c r="V380" s="479">
        <v>1265.6999999999998</v>
      </c>
      <c r="W380" s="479">
        <v>82.26</v>
      </c>
      <c r="X380" s="371">
        <v>0</v>
      </c>
      <c r="Y380" s="371">
        <v>0</v>
      </c>
      <c r="Z380" s="372">
        <v>0</v>
      </c>
      <c r="AA380" s="367">
        <v>0</v>
      </c>
      <c r="AB380" s="371">
        <v>0</v>
      </c>
      <c r="AC380" s="373">
        <v>5867.7</v>
      </c>
      <c r="AD380" s="373">
        <v>8367.7000000000007</v>
      </c>
      <c r="AE380" s="444">
        <v>2500</v>
      </c>
      <c r="AF380" s="344">
        <f t="shared" si="30"/>
        <v>1.0113165570273561E-5</v>
      </c>
    </row>
    <row r="381" spans="1:32">
      <c r="A381" s="478" t="s">
        <v>1024</v>
      </c>
      <c r="B381" s="382" t="s">
        <v>1025</v>
      </c>
      <c r="C381" s="361">
        <f t="shared" si="31"/>
        <v>0</v>
      </c>
      <c r="D381" s="361">
        <f t="shared" si="32"/>
        <v>0</v>
      </c>
      <c r="E381" s="361">
        <f t="shared" si="33"/>
        <v>0</v>
      </c>
      <c r="F381" s="361">
        <f t="shared" si="34"/>
        <v>0</v>
      </c>
      <c r="G381" s="361">
        <f t="shared" si="35"/>
        <v>0</v>
      </c>
      <c r="H381" s="371">
        <v>0</v>
      </c>
      <c r="I381" s="371">
        <v>0</v>
      </c>
      <c r="J381" s="371">
        <v>0</v>
      </c>
      <c r="K381" s="371">
        <v>0</v>
      </c>
      <c r="L381" s="371">
        <v>0</v>
      </c>
      <c r="M381" s="371">
        <v>0</v>
      </c>
      <c r="N381" s="371">
        <v>0</v>
      </c>
      <c r="O381" s="371">
        <v>0</v>
      </c>
      <c r="P381" s="371">
        <v>0</v>
      </c>
      <c r="Q381" s="371">
        <v>0</v>
      </c>
      <c r="R381" s="371">
        <v>0</v>
      </c>
      <c r="S381" s="371">
        <v>0</v>
      </c>
      <c r="T381" s="371">
        <v>0</v>
      </c>
      <c r="U381" s="371">
        <v>0</v>
      </c>
      <c r="V381" s="371">
        <v>0</v>
      </c>
      <c r="W381" s="371">
        <v>0</v>
      </c>
      <c r="X381" s="371">
        <v>0</v>
      </c>
      <c r="Y381" s="371">
        <v>0</v>
      </c>
      <c r="Z381" s="371">
        <v>0</v>
      </c>
      <c r="AA381" s="367">
        <v>0</v>
      </c>
      <c r="AB381" s="371">
        <v>0</v>
      </c>
      <c r="AC381" s="373">
        <v>0</v>
      </c>
      <c r="AD381" s="373">
        <v>0</v>
      </c>
      <c r="AE381" s="444">
        <v>0</v>
      </c>
      <c r="AF381" s="344">
        <f t="shared" si="30"/>
        <v>0</v>
      </c>
    </row>
    <row r="382" spans="1:32">
      <c r="A382" s="384" t="s">
        <v>535</v>
      </c>
      <c r="B382" s="385">
        <v>0</v>
      </c>
      <c r="C382" s="361">
        <f t="shared" si="31"/>
        <v>0</v>
      </c>
      <c r="D382" s="361">
        <f t="shared" si="32"/>
        <v>0</v>
      </c>
      <c r="E382" s="361">
        <f t="shared" si="33"/>
        <v>0</v>
      </c>
      <c r="F382" s="361">
        <f t="shared" si="34"/>
        <v>0</v>
      </c>
      <c r="G382" s="361">
        <f t="shared" si="35"/>
        <v>0</v>
      </c>
      <c r="H382" s="386">
        <v>0</v>
      </c>
      <c r="I382" s="386">
        <v>0</v>
      </c>
      <c r="J382" s="386">
        <v>0</v>
      </c>
      <c r="K382" s="386">
        <v>0</v>
      </c>
      <c r="L382" s="386">
        <v>0</v>
      </c>
      <c r="M382" s="386">
        <v>0</v>
      </c>
      <c r="N382" s="386">
        <v>0</v>
      </c>
      <c r="O382" s="386">
        <v>0</v>
      </c>
      <c r="P382" s="386">
        <v>0</v>
      </c>
      <c r="Q382" s="386">
        <v>0</v>
      </c>
      <c r="R382" s="386">
        <v>0</v>
      </c>
      <c r="S382" s="386">
        <v>0</v>
      </c>
      <c r="T382" s="386">
        <v>0</v>
      </c>
      <c r="U382" s="386">
        <v>0</v>
      </c>
      <c r="V382" s="386">
        <v>0</v>
      </c>
      <c r="W382" s="386">
        <v>0</v>
      </c>
      <c r="X382" s="386">
        <v>0</v>
      </c>
      <c r="Y382" s="386">
        <v>0</v>
      </c>
      <c r="Z382" s="386">
        <v>0</v>
      </c>
      <c r="AA382" s="387">
        <v>0</v>
      </c>
      <c r="AB382" s="386"/>
      <c r="AC382" s="373">
        <v>0</v>
      </c>
      <c r="AD382" s="373">
        <v>0</v>
      </c>
      <c r="AE382" s="369">
        <v>0</v>
      </c>
      <c r="AF382" s="344">
        <f t="shared" si="30"/>
        <v>0</v>
      </c>
    </row>
    <row r="383" spans="1:32" ht="25.5">
      <c r="A383" s="384" t="s">
        <v>536</v>
      </c>
      <c r="B383" s="385">
        <v>0</v>
      </c>
      <c r="C383" s="361">
        <f t="shared" si="31"/>
        <v>0</v>
      </c>
      <c r="D383" s="361">
        <f t="shared" si="32"/>
        <v>0</v>
      </c>
      <c r="E383" s="361">
        <f t="shared" si="33"/>
        <v>0</v>
      </c>
      <c r="F383" s="361">
        <f t="shared" si="34"/>
        <v>0</v>
      </c>
      <c r="G383" s="361">
        <f t="shared" si="35"/>
        <v>0</v>
      </c>
      <c r="H383" s="386">
        <v>0</v>
      </c>
      <c r="I383" s="386">
        <v>0</v>
      </c>
      <c r="J383" s="386">
        <v>0</v>
      </c>
      <c r="K383" s="386">
        <v>0</v>
      </c>
      <c r="L383" s="386">
        <v>0</v>
      </c>
      <c r="M383" s="386">
        <v>0</v>
      </c>
      <c r="N383" s="386">
        <v>0</v>
      </c>
      <c r="O383" s="386">
        <v>0</v>
      </c>
      <c r="P383" s="386">
        <v>0</v>
      </c>
      <c r="Q383" s="386">
        <v>0</v>
      </c>
      <c r="R383" s="386">
        <v>0</v>
      </c>
      <c r="S383" s="386">
        <v>0</v>
      </c>
      <c r="T383" s="386">
        <v>0</v>
      </c>
      <c r="U383" s="386">
        <v>0</v>
      </c>
      <c r="V383" s="386">
        <v>0</v>
      </c>
      <c r="W383" s="386">
        <v>0</v>
      </c>
      <c r="X383" s="386">
        <v>0</v>
      </c>
      <c r="Y383" s="386">
        <v>0</v>
      </c>
      <c r="Z383" s="386">
        <v>0</v>
      </c>
      <c r="AA383" s="387">
        <v>0</v>
      </c>
      <c r="AB383" s="386">
        <v>0</v>
      </c>
      <c r="AC383" s="373">
        <v>0</v>
      </c>
      <c r="AD383" s="373">
        <v>0</v>
      </c>
      <c r="AE383" s="369">
        <v>0</v>
      </c>
      <c r="AF383" s="344">
        <f t="shared" si="30"/>
        <v>0</v>
      </c>
    </row>
    <row r="384" spans="1:32">
      <c r="A384" s="384" t="s">
        <v>537</v>
      </c>
      <c r="B384" s="385"/>
      <c r="C384" s="361">
        <f t="shared" si="31"/>
        <v>0</v>
      </c>
      <c r="D384" s="361">
        <f t="shared" si="32"/>
        <v>0</v>
      </c>
      <c r="E384" s="361">
        <f t="shared" si="33"/>
        <v>0</v>
      </c>
      <c r="F384" s="361">
        <f t="shared" si="34"/>
        <v>0</v>
      </c>
      <c r="G384" s="361">
        <f t="shared" si="35"/>
        <v>0</v>
      </c>
      <c r="H384" s="386">
        <v>0</v>
      </c>
      <c r="I384" s="386">
        <v>0</v>
      </c>
      <c r="J384" s="386">
        <v>0</v>
      </c>
      <c r="K384" s="386">
        <v>0</v>
      </c>
      <c r="L384" s="386">
        <v>0</v>
      </c>
      <c r="M384" s="386">
        <v>0</v>
      </c>
      <c r="N384" s="386">
        <v>0</v>
      </c>
      <c r="O384" s="386">
        <v>0</v>
      </c>
      <c r="P384" s="386">
        <v>0</v>
      </c>
      <c r="Q384" s="386">
        <v>0</v>
      </c>
      <c r="R384" s="386">
        <v>0</v>
      </c>
      <c r="S384" s="386">
        <v>0</v>
      </c>
      <c r="T384" s="386">
        <v>0</v>
      </c>
      <c r="U384" s="386">
        <v>0</v>
      </c>
      <c r="V384" s="386">
        <v>0</v>
      </c>
      <c r="W384" s="386">
        <v>0</v>
      </c>
      <c r="X384" s="386">
        <v>0</v>
      </c>
      <c r="Y384" s="386">
        <v>0</v>
      </c>
      <c r="Z384" s="386">
        <v>0</v>
      </c>
      <c r="AA384" s="387">
        <v>0</v>
      </c>
      <c r="AB384" s="386"/>
      <c r="AC384" s="373">
        <v>0</v>
      </c>
      <c r="AD384" s="373">
        <v>8527.35</v>
      </c>
      <c r="AE384" s="369">
        <v>8527.35</v>
      </c>
      <c r="AF384" s="344">
        <f t="shared" si="30"/>
        <v>0</v>
      </c>
    </row>
    <row r="385" spans="1:32">
      <c r="A385" s="360" t="s">
        <v>1026</v>
      </c>
      <c r="B385" s="427" t="s">
        <v>1027</v>
      </c>
      <c r="C385" s="361">
        <f t="shared" si="31"/>
        <v>376938.29000000004</v>
      </c>
      <c r="D385" s="361">
        <f t="shared" si="32"/>
        <v>1381706.2466666659</v>
      </c>
      <c r="E385" s="361">
        <f t="shared" si="33"/>
        <v>1848417.13</v>
      </c>
      <c r="F385" s="361">
        <f t="shared" si="34"/>
        <v>1276163.23</v>
      </c>
      <c r="G385" s="361">
        <f t="shared" si="35"/>
        <v>125653.61000000002</v>
      </c>
      <c r="H385" s="388">
        <v>0</v>
      </c>
      <c r="I385" s="388">
        <v>0</v>
      </c>
      <c r="J385" s="388">
        <v>174478</v>
      </c>
      <c r="K385" s="388">
        <v>202460.29</v>
      </c>
      <c r="L385" s="388">
        <v>114321.5</v>
      </c>
      <c r="M385" s="388">
        <v>577368.7566666659</v>
      </c>
      <c r="N385" s="388">
        <v>296662.36</v>
      </c>
      <c r="O385" s="388">
        <v>393353.63</v>
      </c>
      <c r="P385" s="388">
        <v>409526.77999999997</v>
      </c>
      <c r="Q385" s="389">
        <v>541698.1399999999</v>
      </c>
      <c r="R385" s="388">
        <v>347511.97000000003</v>
      </c>
      <c r="S385" s="388">
        <v>549680.23999999987</v>
      </c>
      <c r="T385" s="388">
        <v>583940.38</v>
      </c>
      <c r="U385" s="388">
        <v>574724.58000000007</v>
      </c>
      <c r="V385" s="388">
        <v>106251.03</v>
      </c>
      <c r="W385" s="388">
        <v>11247.24</v>
      </c>
      <c r="X385" s="388">
        <v>4130.45</v>
      </c>
      <c r="Y385" s="388">
        <v>4578.7700000000004</v>
      </c>
      <c r="Z385" s="388">
        <v>1587.94</v>
      </c>
      <c r="AA385" s="362">
        <v>115356.45000000001</v>
      </c>
      <c r="AB385" s="388">
        <v>-961.27000000008002</v>
      </c>
      <c r="AC385" s="364">
        <v>5007479.1100000003</v>
      </c>
      <c r="AD385" s="388">
        <v>4964828.83</v>
      </c>
      <c r="AE385" s="364">
        <v>-42650.28</v>
      </c>
      <c r="AF385" s="344">
        <f t="shared" si="30"/>
        <v>8.6305478005208342E-3</v>
      </c>
    </row>
    <row r="386" spans="1:32">
      <c r="A386" s="393" t="s">
        <v>1028</v>
      </c>
      <c r="B386" s="391" t="s">
        <v>989</v>
      </c>
      <c r="C386" s="361">
        <f t="shared" si="31"/>
        <v>336012.7</v>
      </c>
      <c r="D386" s="361">
        <f t="shared" si="32"/>
        <v>372301.32999999996</v>
      </c>
      <c r="E386" s="361">
        <f t="shared" si="33"/>
        <v>411113.70999999996</v>
      </c>
      <c r="F386" s="361">
        <f t="shared" si="34"/>
        <v>0</v>
      </c>
      <c r="G386" s="361">
        <f t="shared" si="35"/>
        <v>0</v>
      </c>
      <c r="H386" s="392">
        <v>0</v>
      </c>
      <c r="I386" s="392">
        <v>0</v>
      </c>
      <c r="J386" s="392">
        <v>167933</v>
      </c>
      <c r="K386" s="392">
        <v>168079.7</v>
      </c>
      <c r="L386" s="392">
        <v>82219.899999999994</v>
      </c>
      <c r="M386" s="392">
        <v>107498</v>
      </c>
      <c r="N386" s="392">
        <v>116937.43</v>
      </c>
      <c r="O386" s="392">
        <v>65646</v>
      </c>
      <c r="P386" s="392">
        <v>131457.35999999999</v>
      </c>
      <c r="Q386" s="407">
        <v>223659.25</v>
      </c>
      <c r="R386" s="392">
        <v>55997.1</v>
      </c>
      <c r="S386" s="392">
        <v>0</v>
      </c>
      <c r="T386" s="392">
        <v>0</v>
      </c>
      <c r="U386" s="392">
        <v>0</v>
      </c>
      <c r="V386" s="392">
        <v>0</v>
      </c>
      <c r="W386" s="392">
        <v>0</v>
      </c>
      <c r="X386" s="392">
        <v>0</v>
      </c>
      <c r="Y386" s="392">
        <v>0</v>
      </c>
      <c r="Z386" s="392">
        <v>0</v>
      </c>
      <c r="AA386" s="392">
        <v>0</v>
      </c>
      <c r="AB386" s="392">
        <v>-0.22000000008847564</v>
      </c>
      <c r="AC386" s="373">
        <v>1119427.74</v>
      </c>
      <c r="AD386" s="373">
        <v>1119427.52</v>
      </c>
      <c r="AE386" s="444">
        <v>-0.22</v>
      </c>
      <c r="AF386" s="344">
        <f t="shared" si="30"/>
        <v>1.9293689313661475E-3</v>
      </c>
    </row>
    <row r="387" spans="1:32">
      <c r="A387" s="370" t="s">
        <v>990</v>
      </c>
      <c r="B387" s="366" t="s">
        <v>989</v>
      </c>
      <c r="C387" s="361">
        <f t="shared" si="31"/>
        <v>167933</v>
      </c>
      <c r="D387" s="361">
        <f t="shared" si="32"/>
        <v>0</v>
      </c>
      <c r="E387" s="361">
        <f t="shared" si="33"/>
        <v>0</v>
      </c>
      <c r="F387" s="361">
        <f t="shared" si="34"/>
        <v>0</v>
      </c>
      <c r="G387" s="361">
        <f t="shared" si="35"/>
        <v>0</v>
      </c>
      <c r="H387" s="367">
        <v>0</v>
      </c>
      <c r="I387" s="367">
        <v>0</v>
      </c>
      <c r="J387" s="367">
        <v>167933</v>
      </c>
      <c r="K387" s="367">
        <v>0</v>
      </c>
      <c r="L387" s="367">
        <v>0</v>
      </c>
      <c r="M387" s="367">
        <v>0</v>
      </c>
      <c r="N387" s="367">
        <v>0</v>
      </c>
      <c r="O387" s="367">
        <v>0</v>
      </c>
      <c r="P387" s="367">
        <v>0</v>
      </c>
      <c r="Q387" s="367">
        <v>0</v>
      </c>
      <c r="R387" s="367">
        <v>0</v>
      </c>
      <c r="S387" s="367">
        <v>0</v>
      </c>
      <c r="T387" s="367">
        <v>0</v>
      </c>
      <c r="U387" s="367">
        <v>0</v>
      </c>
      <c r="V387" s="367">
        <v>0</v>
      </c>
      <c r="W387" s="367">
        <v>0</v>
      </c>
      <c r="X387" s="367">
        <v>0</v>
      </c>
      <c r="Y387" s="367">
        <v>0</v>
      </c>
      <c r="Z387" s="367">
        <v>0</v>
      </c>
      <c r="AA387" s="367">
        <v>0</v>
      </c>
      <c r="AB387" s="367">
        <v>0</v>
      </c>
      <c r="AC387" s="373">
        <v>167933</v>
      </c>
      <c r="AD387" s="373">
        <v>167933</v>
      </c>
      <c r="AE387" s="444">
        <v>0</v>
      </c>
      <c r="AF387" s="344">
        <f t="shared" si="30"/>
        <v>2.8943780931416909E-4</v>
      </c>
    </row>
    <row r="388" spans="1:32">
      <c r="A388" s="370" t="s">
        <v>1029</v>
      </c>
      <c r="B388" s="366" t="s">
        <v>989</v>
      </c>
      <c r="C388" s="361">
        <f t="shared" si="31"/>
        <v>0</v>
      </c>
      <c r="D388" s="361">
        <f t="shared" si="32"/>
        <v>372301.32999999996</v>
      </c>
      <c r="E388" s="361">
        <f t="shared" si="33"/>
        <v>187203.71</v>
      </c>
      <c r="F388" s="361">
        <f t="shared" si="34"/>
        <v>0</v>
      </c>
      <c r="G388" s="361">
        <f t="shared" si="35"/>
        <v>0</v>
      </c>
      <c r="H388" s="367">
        <v>0</v>
      </c>
      <c r="I388" s="367">
        <v>0</v>
      </c>
      <c r="J388" s="367">
        <v>0</v>
      </c>
      <c r="K388" s="367">
        <v>0</v>
      </c>
      <c r="L388" s="367">
        <v>82219.899999999994</v>
      </c>
      <c r="M388" s="367">
        <v>107498</v>
      </c>
      <c r="N388" s="367">
        <v>116937.43</v>
      </c>
      <c r="O388" s="367">
        <v>65646</v>
      </c>
      <c r="P388" s="367">
        <v>131457.35999999999</v>
      </c>
      <c r="Q388" s="367">
        <v>-250.75</v>
      </c>
      <c r="R388" s="367">
        <v>55997.1</v>
      </c>
      <c r="S388" s="367">
        <v>0</v>
      </c>
      <c r="T388" s="367">
        <v>0</v>
      </c>
      <c r="U388" s="367">
        <v>0</v>
      </c>
      <c r="V388" s="367">
        <v>0</v>
      </c>
      <c r="W388" s="367">
        <v>0</v>
      </c>
      <c r="X388" s="367">
        <v>0</v>
      </c>
      <c r="Y388" s="367">
        <v>0</v>
      </c>
      <c r="Z388" s="367">
        <v>0</v>
      </c>
      <c r="AA388" s="367">
        <v>0</v>
      </c>
      <c r="AB388" s="367">
        <v>-0.22000000008847564</v>
      </c>
      <c r="AC388" s="373">
        <v>559505.04</v>
      </c>
      <c r="AD388" s="373">
        <v>559504.81999999995</v>
      </c>
      <c r="AE388" s="444">
        <v>-0.22</v>
      </c>
      <c r="AF388" s="344">
        <f t="shared" si="30"/>
        <v>9.6432454060748371E-4</v>
      </c>
    </row>
    <row r="389" spans="1:32">
      <c r="A389" s="428" t="s">
        <v>1030</v>
      </c>
      <c r="B389" s="366" t="s">
        <v>989</v>
      </c>
      <c r="C389" s="361">
        <f t="shared" si="31"/>
        <v>168079.7</v>
      </c>
      <c r="D389" s="361">
        <f t="shared" si="32"/>
        <v>0</v>
      </c>
      <c r="E389" s="361">
        <f t="shared" si="33"/>
        <v>0</v>
      </c>
      <c r="F389" s="361">
        <f t="shared" si="34"/>
        <v>0</v>
      </c>
      <c r="G389" s="361">
        <f t="shared" si="35"/>
        <v>0</v>
      </c>
      <c r="H389" s="367">
        <v>0</v>
      </c>
      <c r="I389" s="367">
        <v>0</v>
      </c>
      <c r="J389" s="367">
        <v>0</v>
      </c>
      <c r="K389" s="367">
        <v>168079.7</v>
      </c>
      <c r="L389" s="367">
        <v>0</v>
      </c>
      <c r="M389" s="367">
        <v>0</v>
      </c>
      <c r="N389" s="367">
        <v>0</v>
      </c>
      <c r="O389" s="367">
        <v>0</v>
      </c>
      <c r="P389" s="367">
        <v>0</v>
      </c>
      <c r="Q389" s="367">
        <v>0</v>
      </c>
      <c r="R389" s="367">
        <v>0</v>
      </c>
      <c r="S389" s="367">
        <v>0</v>
      </c>
      <c r="T389" s="367">
        <v>0</v>
      </c>
      <c r="U389" s="367">
        <v>0</v>
      </c>
      <c r="V389" s="367">
        <v>0</v>
      </c>
      <c r="W389" s="367">
        <v>0</v>
      </c>
      <c r="X389" s="367">
        <v>0</v>
      </c>
      <c r="Y389" s="367">
        <v>0</v>
      </c>
      <c r="Z389" s="367">
        <v>0</v>
      </c>
      <c r="AA389" s="367">
        <v>0</v>
      </c>
      <c r="AB389" s="367">
        <v>0</v>
      </c>
      <c r="AC389" s="373">
        <v>168079.7</v>
      </c>
      <c r="AD389" s="373">
        <v>168079.7</v>
      </c>
      <c r="AE389" s="444">
        <v>0</v>
      </c>
      <c r="AF389" s="344">
        <f t="shared" ref="AF389:AF440" si="36">AC389/$AC$556</f>
        <v>2.8969065137991192E-4</v>
      </c>
    </row>
    <row r="390" spans="1:32">
      <c r="A390" s="428" t="s">
        <v>1031</v>
      </c>
      <c r="B390" s="366" t="s">
        <v>989</v>
      </c>
      <c r="C390" s="361">
        <f t="shared" ref="C390:C453" si="37">SUM(H390:K390)</f>
        <v>0</v>
      </c>
      <c r="D390" s="361">
        <f t="shared" ref="D390:D453" si="38">SUM(L390:O390)</f>
        <v>0</v>
      </c>
      <c r="E390" s="361">
        <f t="shared" ref="E390:E453" si="39">SUM(P390:S390)</f>
        <v>223910</v>
      </c>
      <c r="F390" s="361">
        <f t="shared" ref="F390:F453" si="40">SUM(T390:W390)</f>
        <v>0</v>
      </c>
      <c r="G390" s="361">
        <f t="shared" ref="G390:G453" si="41">SUM(X390:AA390)</f>
        <v>0</v>
      </c>
      <c r="H390" s="367">
        <v>0</v>
      </c>
      <c r="I390" s="367">
        <v>0</v>
      </c>
      <c r="J390" s="367">
        <v>0</v>
      </c>
      <c r="K390" s="367">
        <v>0</v>
      </c>
      <c r="L390" s="367">
        <v>0</v>
      </c>
      <c r="M390" s="367">
        <v>0</v>
      </c>
      <c r="N390" s="367">
        <v>0</v>
      </c>
      <c r="O390" s="367">
        <v>0</v>
      </c>
      <c r="P390" s="367">
        <v>0</v>
      </c>
      <c r="Q390" s="367">
        <v>223910</v>
      </c>
      <c r="R390" s="367">
        <v>0</v>
      </c>
      <c r="S390" s="367">
        <v>0</v>
      </c>
      <c r="T390" s="367">
        <v>0</v>
      </c>
      <c r="U390" s="367">
        <v>0</v>
      </c>
      <c r="V390" s="367">
        <v>0</v>
      </c>
      <c r="W390" s="367">
        <v>0</v>
      </c>
      <c r="X390" s="367">
        <v>0</v>
      </c>
      <c r="Y390" s="367">
        <v>0</v>
      </c>
      <c r="Z390" s="367">
        <v>0</v>
      </c>
      <c r="AA390" s="367">
        <v>0</v>
      </c>
      <c r="AB390" s="367">
        <v>0</v>
      </c>
      <c r="AC390" s="373">
        <v>223910</v>
      </c>
      <c r="AD390" s="373">
        <v>223910</v>
      </c>
      <c r="AE390" s="444">
        <v>0</v>
      </c>
      <c r="AF390" s="344">
        <f t="shared" si="36"/>
        <v>3.8591593006458293E-4</v>
      </c>
    </row>
    <row r="391" spans="1:32">
      <c r="A391" s="428" t="s">
        <v>994</v>
      </c>
      <c r="B391" s="366" t="s">
        <v>989</v>
      </c>
      <c r="C391" s="361">
        <f t="shared" si="37"/>
        <v>0</v>
      </c>
      <c r="D391" s="361">
        <f t="shared" si="38"/>
        <v>0</v>
      </c>
      <c r="E391" s="361">
        <f t="shared" si="39"/>
        <v>0</v>
      </c>
      <c r="F391" s="361">
        <f t="shared" si="40"/>
        <v>0</v>
      </c>
      <c r="G391" s="361">
        <f t="shared" si="41"/>
        <v>0</v>
      </c>
      <c r="H391" s="367">
        <v>0</v>
      </c>
      <c r="I391" s="367">
        <v>0</v>
      </c>
      <c r="J391" s="367">
        <v>0</v>
      </c>
      <c r="K391" s="367">
        <v>0</v>
      </c>
      <c r="L391" s="367">
        <v>0</v>
      </c>
      <c r="M391" s="367">
        <v>0</v>
      </c>
      <c r="N391" s="367">
        <v>0</v>
      </c>
      <c r="O391" s="367">
        <v>0</v>
      </c>
      <c r="P391" s="367">
        <v>0</v>
      </c>
      <c r="Q391" s="367">
        <v>0</v>
      </c>
      <c r="R391" s="367">
        <v>0</v>
      </c>
      <c r="S391" s="367">
        <v>0</v>
      </c>
      <c r="T391" s="367">
        <v>0</v>
      </c>
      <c r="U391" s="367">
        <v>0</v>
      </c>
      <c r="V391" s="367">
        <v>0</v>
      </c>
      <c r="W391" s="367">
        <v>0</v>
      </c>
      <c r="X391" s="367">
        <v>0</v>
      </c>
      <c r="Y391" s="367">
        <v>0</v>
      </c>
      <c r="Z391" s="367">
        <v>0</v>
      </c>
      <c r="AA391" s="367">
        <v>0</v>
      </c>
      <c r="AB391" s="367">
        <v>0</v>
      </c>
      <c r="AC391" s="373">
        <v>0</v>
      </c>
      <c r="AD391" s="373">
        <v>0</v>
      </c>
      <c r="AE391" s="444">
        <v>0</v>
      </c>
      <c r="AF391" s="344">
        <f t="shared" si="36"/>
        <v>0</v>
      </c>
    </row>
    <row r="392" spans="1:32" ht="25.5">
      <c r="A392" s="390" t="s">
        <v>995</v>
      </c>
      <c r="B392" s="391" t="s">
        <v>996</v>
      </c>
      <c r="C392" s="361">
        <f t="shared" si="37"/>
        <v>0</v>
      </c>
      <c r="D392" s="361">
        <f t="shared" si="38"/>
        <v>240153.82999999929</v>
      </c>
      <c r="E392" s="361">
        <f t="shared" si="39"/>
        <v>90166.14</v>
      </c>
      <c r="F392" s="361">
        <f t="shared" si="40"/>
        <v>3362.7200000000003</v>
      </c>
      <c r="G392" s="361">
        <f t="shared" si="41"/>
        <v>0</v>
      </c>
      <c r="H392" s="394">
        <v>0</v>
      </c>
      <c r="I392" s="394">
        <v>0</v>
      </c>
      <c r="J392" s="394">
        <v>0</v>
      </c>
      <c r="K392" s="394">
        <v>0</v>
      </c>
      <c r="L392" s="394">
        <v>12259.15</v>
      </c>
      <c r="M392" s="394">
        <v>65998.129999999306</v>
      </c>
      <c r="N392" s="394">
        <v>118454.43</v>
      </c>
      <c r="O392" s="394">
        <v>43442.12</v>
      </c>
      <c r="P392" s="394">
        <v>33926.46</v>
      </c>
      <c r="Q392" s="395">
        <v>38326.229999999996</v>
      </c>
      <c r="R392" s="394">
        <v>11269.91</v>
      </c>
      <c r="S392" s="394">
        <v>6643.54</v>
      </c>
      <c r="T392" s="394">
        <v>-0.36999999999989086</v>
      </c>
      <c r="U392" s="394">
        <v>3363.09</v>
      </c>
      <c r="V392" s="394">
        <v>0</v>
      </c>
      <c r="W392" s="394">
        <v>0</v>
      </c>
      <c r="X392" s="394">
        <v>0</v>
      </c>
      <c r="Y392" s="394">
        <v>0</v>
      </c>
      <c r="Z392" s="394">
        <v>0</v>
      </c>
      <c r="AA392" s="392">
        <v>0</v>
      </c>
      <c r="AB392" s="394">
        <v>0</v>
      </c>
      <c r="AC392" s="373">
        <v>333682.69</v>
      </c>
      <c r="AD392" s="373">
        <v>333682.69</v>
      </c>
      <c r="AE392" s="444">
        <v>0</v>
      </c>
      <c r="AF392" s="344">
        <f t="shared" si="36"/>
        <v>5.7511261514805903E-4</v>
      </c>
    </row>
    <row r="393" spans="1:32">
      <c r="A393" s="428" t="s">
        <v>1032</v>
      </c>
      <c r="B393" s="382" t="s">
        <v>996</v>
      </c>
      <c r="C393" s="361">
        <f t="shared" si="37"/>
        <v>0</v>
      </c>
      <c r="D393" s="361">
        <f t="shared" si="38"/>
        <v>79930.949999999284</v>
      </c>
      <c r="E393" s="361">
        <f t="shared" si="39"/>
        <v>35914.160000000003</v>
      </c>
      <c r="F393" s="361">
        <f t="shared" si="40"/>
        <v>3363.09</v>
      </c>
      <c r="G393" s="361">
        <f t="shared" si="41"/>
        <v>0</v>
      </c>
      <c r="H393" s="371">
        <v>0</v>
      </c>
      <c r="I393" s="371">
        <v>0</v>
      </c>
      <c r="J393" s="371">
        <v>0</v>
      </c>
      <c r="K393" s="371">
        <v>0</v>
      </c>
      <c r="L393" s="371">
        <v>0</v>
      </c>
      <c r="M393" s="371">
        <v>17218.199999999299</v>
      </c>
      <c r="N393" s="371">
        <v>50081.29</v>
      </c>
      <c r="O393" s="371">
        <v>12631.46</v>
      </c>
      <c r="P393" s="371">
        <v>18470.3</v>
      </c>
      <c r="Q393" s="371">
        <v>14824.67</v>
      </c>
      <c r="R393" s="371">
        <v>4321.79</v>
      </c>
      <c r="S393" s="371">
        <v>-1702.6</v>
      </c>
      <c r="T393" s="371">
        <v>0</v>
      </c>
      <c r="U393" s="371">
        <v>3363.09</v>
      </c>
      <c r="V393" s="371">
        <v>0</v>
      </c>
      <c r="W393" s="371">
        <v>0</v>
      </c>
      <c r="X393" s="371">
        <v>0</v>
      </c>
      <c r="Y393" s="371">
        <v>0</v>
      </c>
      <c r="Z393" s="371">
        <v>0</v>
      </c>
      <c r="AA393" s="367">
        <v>0</v>
      </c>
      <c r="AB393" s="371">
        <v>0</v>
      </c>
      <c r="AC393" s="373">
        <v>119208.2</v>
      </c>
      <c r="AD393" s="373">
        <v>119208.2</v>
      </c>
      <c r="AE393" s="444">
        <v>0</v>
      </c>
      <c r="AF393" s="344">
        <f t="shared" si="36"/>
        <v>2.0545908344569164E-4</v>
      </c>
    </row>
    <row r="394" spans="1:32" ht="25.5">
      <c r="A394" s="428" t="s">
        <v>998</v>
      </c>
      <c r="B394" s="382" t="s">
        <v>996</v>
      </c>
      <c r="C394" s="361">
        <f t="shared" si="37"/>
        <v>0</v>
      </c>
      <c r="D394" s="361">
        <f t="shared" si="38"/>
        <v>160222.88</v>
      </c>
      <c r="E394" s="361">
        <f t="shared" si="39"/>
        <v>54251.98</v>
      </c>
      <c r="F394" s="361">
        <f t="shared" si="40"/>
        <v>-0.36999999999989086</v>
      </c>
      <c r="G394" s="361">
        <f t="shared" si="41"/>
        <v>0</v>
      </c>
      <c r="H394" s="371">
        <v>0</v>
      </c>
      <c r="I394" s="371">
        <v>0</v>
      </c>
      <c r="J394" s="371">
        <v>0</v>
      </c>
      <c r="K394" s="371">
        <v>0</v>
      </c>
      <c r="L394" s="371">
        <v>12259.15</v>
      </c>
      <c r="M394" s="371">
        <v>48779.930000000008</v>
      </c>
      <c r="N394" s="371">
        <v>68373.139999999985</v>
      </c>
      <c r="O394" s="371">
        <v>30810.660000000003</v>
      </c>
      <c r="P394" s="371">
        <v>15456.16</v>
      </c>
      <c r="Q394" s="371">
        <v>23501.559999999998</v>
      </c>
      <c r="R394" s="371">
        <v>6948.1200000000008</v>
      </c>
      <c r="S394" s="371">
        <v>8346.14</v>
      </c>
      <c r="T394" s="371">
        <v>-0.36999999999989086</v>
      </c>
      <c r="U394" s="371">
        <v>0</v>
      </c>
      <c r="V394" s="371">
        <v>0</v>
      </c>
      <c r="W394" s="371">
        <v>0</v>
      </c>
      <c r="X394" s="371">
        <v>0</v>
      </c>
      <c r="Y394" s="371">
        <v>0</v>
      </c>
      <c r="Z394" s="371">
        <v>0</v>
      </c>
      <c r="AA394" s="367">
        <v>0</v>
      </c>
      <c r="AB394" s="371">
        <v>0</v>
      </c>
      <c r="AC394" s="373">
        <v>214474.49</v>
      </c>
      <c r="AD394" s="373">
        <v>214474.49</v>
      </c>
      <c r="AE394" s="444">
        <v>0</v>
      </c>
      <c r="AF394" s="344">
        <f t="shared" si="36"/>
        <v>3.6965353170236742E-4</v>
      </c>
    </row>
    <row r="395" spans="1:32" ht="25.5">
      <c r="A395" s="428" t="s">
        <v>1033</v>
      </c>
      <c r="B395" s="382" t="s">
        <v>996</v>
      </c>
      <c r="C395" s="361">
        <f t="shared" si="37"/>
        <v>0</v>
      </c>
      <c r="D395" s="361">
        <f t="shared" si="38"/>
        <v>0</v>
      </c>
      <c r="E395" s="361">
        <f t="shared" si="39"/>
        <v>0</v>
      </c>
      <c r="F395" s="361">
        <f t="shared" si="40"/>
        <v>0</v>
      </c>
      <c r="G395" s="361">
        <f t="shared" si="41"/>
        <v>0</v>
      </c>
      <c r="H395" s="371">
        <v>0</v>
      </c>
      <c r="I395" s="371">
        <v>0</v>
      </c>
      <c r="J395" s="371">
        <v>0</v>
      </c>
      <c r="K395" s="371">
        <v>0</v>
      </c>
      <c r="L395" s="371">
        <v>0</v>
      </c>
      <c r="M395" s="371">
        <v>0</v>
      </c>
      <c r="N395" s="371">
        <v>0</v>
      </c>
      <c r="O395" s="371">
        <v>0</v>
      </c>
      <c r="P395" s="371">
        <v>0</v>
      </c>
      <c r="Q395" s="371">
        <v>0</v>
      </c>
      <c r="R395" s="371">
        <v>0</v>
      </c>
      <c r="S395" s="371">
        <v>0</v>
      </c>
      <c r="T395" s="371">
        <v>0</v>
      </c>
      <c r="U395" s="371">
        <v>0</v>
      </c>
      <c r="V395" s="371">
        <v>0</v>
      </c>
      <c r="W395" s="371">
        <v>0</v>
      </c>
      <c r="X395" s="371">
        <v>0</v>
      </c>
      <c r="Y395" s="371">
        <v>0</v>
      </c>
      <c r="Z395" s="371">
        <v>0</v>
      </c>
      <c r="AA395" s="367">
        <v>0</v>
      </c>
      <c r="AB395" s="371">
        <v>0</v>
      </c>
      <c r="AC395" s="373">
        <v>0</v>
      </c>
      <c r="AD395" s="373">
        <v>0</v>
      </c>
      <c r="AE395" s="444">
        <v>0</v>
      </c>
      <c r="AF395" s="344">
        <f t="shared" si="36"/>
        <v>0</v>
      </c>
    </row>
    <row r="396" spans="1:32" ht="25.5">
      <c r="A396" s="390" t="s">
        <v>1034</v>
      </c>
      <c r="B396" s="391" t="s">
        <v>996</v>
      </c>
      <c r="C396" s="361">
        <f t="shared" si="37"/>
        <v>0</v>
      </c>
      <c r="D396" s="361">
        <f t="shared" si="38"/>
        <v>0</v>
      </c>
      <c r="E396" s="361">
        <f t="shared" si="39"/>
        <v>0</v>
      </c>
      <c r="F396" s="361">
        <f t="shared" si="40"/>
        <v>0</v>
      </c>
      <c r="G396" s="361">
        <f t="shared" si="41"/>
        <v>0</v>
      </c>
      <c r="H396" s="394">
        <v>0</v>
      </c>
      <c r="I396" s="394">
        <v>0</v>
      </c>
      <c r="J396" s="394">
        <v>0</v>
      </c>
      <c r="K396" s="394">
        <v>0</v>
      </c>
      <c r="L396" s="394">
        <v>0</v>
      </c>
      <c r="M396" s="394">
        <v>0</v>
      </c>
      <c r="N396" s="394">
        <v>0</v>
      </c>
      <c r="O396" s="394">
        <v>0</v>
      </c>
      <c r="P396" s="394">
        <v>0</v>
      </c>
      <c r="Q396" s="394">
        <v>0</v>
      </c>
      <c r="R396" s="394">
        <v>0</v>
      </c>
      <c r="S396" s="394">
        <v>0</v>
      </c>
      <c r="T396" s="394">
        <v>0</v>
      </c>
      <c r="U396" s="394">
        <v>0</v>
      </c>
      <c r="V396" s="394">
        <v>0</v>
      </c>
      <c r="W396" s="394">
        <v>0</v>
      </c>
      <c r="X396" s="394">
        <v>0</v>
      </c>
      <c r="Y396" s="394">
        <v>0</v>
      </c>
      <c r="Z396" s="394">
        <v>0</v>
      </c>
      <c r="AA396" s="392">
        <v>0</v>
      </c>
      <c r="AB396" s="394">
        <v>0</v>
      </c>
      <c r="AC396" s="373">
        <v>0</v>
      </c>
      <c r="AD396" s="373">
        <v>0</v>
      </c>
      <c r="AE396" s="444">
        <v>0</v>
      </c>
      <c r="AF396" s="344">
        <f t="shared" si="36"/>
        <v>0</v>
      </c>
    </row>
    <row r="397" spans="1:32">
      <c r="A397" s="393" t="s">
        <v>1001</v>
      </c>
      <c r="B397" s="391" t="s">
        <v>1035</v>
      </c>
      <c r="C397" s="361">
        <f t="shared" si="37"/>
        <v>0</v>
      </c>
      <c r="D397" s="361">
        <f t="shared" si="38"/>
        <v>707191.12666666671</v>
      </c>
      <c r="E397" s="361">
        <f t="shared" si="39"/>
        <v>1297515.1099999999</v>
      </c>
      <c r="F397" s="361">
        <f t="shared" si="40"/>
        <v>1229146.3600000001</v>
      </c>
      <c r="G397" s="361">
        <f t="shared" si="41"/>
        <v>115105.44</v>
      </c>
      <c r="H397" s="394">
        <v>0</v>
      </c>
      <c r="I397" s="394">
        <v>0</v>
      </c>
      <c r="J397" s="394">
        <v>0</v>
      </c>
      <c r="K397" s="394">
        <v>0</v>
      </c>
      <c r="L397" s="394">
        <v>0</v>
      </c>
      <c r="M397" s="394">
        <v>389219.62666666665</v>
      </c>
      <c r="N397" s="394">
        <v>49393.5</v>
      </c>
      <c r="O397" s="394">
        <v>268578</v>
      </c>
      <c r="P397" s="394">
        <v>237954.02</v>
      </c>
      <c r="Q397" s="395">
        <v>271270.75</v>
      </c>
      <c r="R397" s="394">
        <v>264285.46000000002</v>
      </c>
      <c r="S397" s="394">
        <v>524004.88</v>
      </c>
      <c r="T397" s="394">
        <v>572396.88</v>
      </c>
      <c r="U397" s="394">
        <v>562598.34000000008</v>
      </c>
      <c r="V397" s="394">
        <v>94151.14</v>
      </c>
      <c r="W397" s="394">
        <v>0</v>
      </c>
      <c r="X397" s="394">
        <v>0</v>
      </c>
      <c r="Y397" s="394">
        <v>0</v>
      </c>
      <c r="Z397" s="394">
        <v>0</v>
      </c>
      <c r="AA397" s="392">
        <v>115105.44</v>
      </c>
      <c r="AB397" s="394">
        <v>322.76000000000931</v>
      </c>
      <c r="AC397" s="373">
        <v>3348958.04</v>
      </c>
      <c r="AD397" s="373">
        <v>3293852.11</v>
      </c>
      <c r="AE397" s="444">
        <v>-55105.93</v>
      </c>
      <c r="AF397" s="344">
        <f t="shared" si="36"/>
        <v>5.7720345529626311E-3</v>
      </c>
    </row>
    <row r="398" spans="1:32" ht="25.5">
      <c r="A398" s="428" t="s">
        <v>1036</v>
      </c>
      <c r="B398" s="382" t="s">
        <v>1004</v>
      </c>
      <c r="C398" s="361">
        <f t="shared" si="37"/>
        <v>0</v>
      </c>
      <c r="D398" s="361">
        <f t="shared" si="38"/>
        <v>524170.08999999997</v>
      </c>
      <c r="E398" s="361">
        <f t="shared" si="39"/>
        <v>1055047.26</v>
      </c>
      <c r="F398" s="361">
        <f t="shared" si="40"/>
        <v>1138821.25</v>
      </c>
      <c r="G398" s="361">
        <f t="shared" si="41"/>
        <v>0</v>
      </c>
      <c r="H398" s="371">
        <v>0</v>
      </c>
      <c r="I398" s="371">
        <v>0</v>
      </c>
      <c r="J398" s="371">
        <v>0</v>
      </c>
      <c r="K398" s="371">
        <v>0</v>
      </c>
      <c r="L398" s="371">
        <v>0</v>
      </c>
      <c r="M398" s="371">
        <v>257757</v>
      </c>
      <c r="N398" s="371">
        <v>-2164.91</v>
      </c>
      <c r="O398" s="371">
        <v>268578</v>
      </c>
      <c r="P398" s="371">
        <v>0</v>
      </c>
      <c r="Q398" s="403">
        <v>270706.8</v>
      </c>
      <c r="R398" s="371">
        <v>264285.46000000002</v>
      </c>
      <c r="S398" s="371">
        <v>520055</v>
      </c>
      <c r="T398" s="371">
        <v>519641.77</v>
      </c>
      <c r="U398" s="371">
        <v>525028.34000000008</v>
      </c>
      <c r="V398" s="371">
        <v>94151.14</v>
      </c>
      <c r="W398" s="371">
        <v>0</v>
      </c>
      <c r="X398" s="371">
        <v>0</v>
      </c>
      <c r="Y398" s="371">
        <v>0</v>
      </c>
      <c r="Z398" s="371">
        <v>0</v>
      </c>
      <c r="AA398" s="367">
        <v>0</v>
      </c>
      <c r="AB398" s="371">
        <v>-0.72999999998137355</v>
      </c>
      <c r="AC398" s="373">
        <v>2718038.6</v>
      </c>
      <c r="AD398" s="373">
        <v>2718038.11</v>
      </c>
      <c r="AE398" s="444">
        <v>-0.49</v>
      </c>
      <c r="AF398" s="344">
        <f t="shared" si="36"/>
        <v>4.6846250469851141E-3</v>
      </c>
    </row>
    <row r="399" spans="1:32">
      <c r="A399" s="451" t="s">
        <v>1037</v>
      </c>
      <c r="B399" s="380" t="s">
        <v>1004</v>
      </c>
      <c r="C399" s="361">
        <f t="shared" si="37"/>
        <v>0</v>
      </c>
      <c r="D399" s="361">
        <f t="shared" si="38"/>
        <v>255592.09</v>
      </c>
      <c r="E399" s="361">
        <f t="shared" si="39"/>
        <v>0</v>
      </c>
      <c r="F399" s="361">
        <f t="shared" si="40"/>
        <v>0</v>
      </c>
      <c r="G399" s="361">
        <f t="shared" si="41"/>
        <v>0</v>
      </c>
      <c r="H399" s="371">
        <v>0</v>
      </c>
      <c r="I399" s="371">
        <v>0</v>
      </c>
      <c r="J399" s="371">
        <v>0</v>
      </c>
      <c r="K399" s="371">
        <v>0</v>
      </c>
      <c r="L399" s="371">
        <v>0</v>
      </c>
      <c r="M399" s="371">
        <v>257757</v>
      </c>
      <c r="N399" s="371">
        <v>-2164.91</v>
      </c>
      <c r="O399" s="371">
        <v>0</v>
      </c>
      <c r="P399" s="371">
        <v>0</v>
      </c>
      <c r="Q399" s="371">
        <v>0</v>
      </c>
      <c r="R399" s="371">
        <v>0</v>
      </c>
      <c r="S399" s="371">
        <v>0</v>
      </c>
      <c r="T399" s="371">
        <v>0</v>
      </c>
      <c r="U399" s="371">
        <v>0</v>
      </c>
      <c r="V399" s="371">
        <v>0</v>
      </c>
      <c r="W399" s="371">
        <v>0</v>
      </c>
      <c r="X399" s="371">
        <v>0</v>
      </c>
      <c r="Y399" s="371">
        <v>0</v>
      </c>
      <c r="Z399" s="371">
        <v>0</v>
      </c>
      <c r="AA399" s="367">
        <v>0</v>
      </c>
      <c r="AB399" s="371">
        <v>-0.5</v>
      </c>
      <c r="AC399" s="398">
        <v>255592.09</v>
      </c>
      <c r="AD399" s="398">
        <v>255591.6</v>
      </c>
      <c r="AE399" s="444">
        <v>-0.49</v>
      </c>
      <c r="AF399" s="344">
        <f t="shared" si="36"/>
        <v>4.4052100901925142E-4</v>
      </c>
    </row>
    <row r="400" spans="1:32">
      <c r="A400" s="451" t="s">
        <v>1038</v>
      </c>
      <c r="B400" s="380" t="s">
        <v>1004</v>
      </c>
      <c r="C400" s="361">
        <f t="shared" si="37"/>
        <v>0</v>
      </c>
      <c r="D400" s="361">
        <f t="shared" si="38"/>
        <v>268578</v>
      </c>
      <c r="E400" s="361">
        <f t="shared" si="39"/>
        <v>0</v>
      </c>
      <c r="F400" s="361">
        <f t="shared" si="40"/>
        <v>264932.68</v>
      </c>
      <c r="G400" s="361">
        <f t="shared" si="41"/>
        <v>0</v>
      </c>
      <c r="H400" s="371">
        <v>0</v>
      </c>
      <c r="I400" s="371">
        <v>0</v>
      </c>
      <c r="J400" s="371">
        <v>0</v>
      </c>
      <c r="K400" s="371">
        <v>0</v>
      </c>
      <c r="L400" s="371">
        <v>0</v>
      </c>
      <c r="M400" s="371">
        <v>0</v>
      </c>
      <c r="N400" s="371">
        <v>0</v>
      </c>
      <c r="O400" s="371">
        <v>268578</v>
      </c>
      <c r="P400" s="371">
        <v>0</v>
      </c>
      <c r="Q400" s="371">
        <v>0</v>
      </c>
      <c r="R400" s="371">
        <v>0</v>
      </c>
      <c r="S400" s="371">
        <v>0</v>
      </c>
      <c r="T400" s="371">
        <v>264932.68</v>
      </c>
      <c r="U400" s="371">
        <v>0</v>
      </c>
      <c r="V400" s="371">
        <v>0</v>
      </c>
      <c r="W400" s="371">
        <v>0</v>
      </c>
      <c r="X400" s="371">
        <v>0</v>
      </c>
      <c r="Y400" s="371">
        <v>0</v>
      </c>
      <c r="Z400" s="371">
        <v>0</v>
      </c>
      <c r="AA400" s="367">
        <v>0</v>
      </c>
      <c r="AB400" s="371">
        <v>0</v>
      </c>
      <c r="AC400" s="398">
        <v>533510.68000000005</v>
      </c>
      <c r="AD400" s="398">
        <v>533510.68000000005</v>
      </c>
      <c r="AE400" s="444">
        <v>0</v>
      </c>
      <c r="AF400" s="344">
        <f t="shared" si="36"/>
        <v>9.1952244326554459E-4</v>
      </c>
    </row>
    <row r="401" spans="1:32" ht="25.5">
      <c r="A401" s="451" t="s">
        <v>1039</v>
      </c>
      <c r="B401" s="380" t="s">
        <v>1004</v>
      </c>
      <c r="C401" s="361">
        <f t="shared" si="37"/>
        <v>0</v>
      </c>
      <c r="D401" s="361">
        <f t="shared" si="38"/>
        <v>0</v>
      </c>
      <c r="E401" s="361">
        <f t="shared" si="39"/>
        <v>1055047.26</v>
      </c>
      <c r="F401" s="361">
        <f t="shared" si="40"/>
        <v>609604</v>
      </c>
      <c r="G401" s="361">
        <f t="shared" si="41"/>
        <v>0</v>
      </c>
      <c r="H401" s="371">
        <v>0</v>
      </c>
      <c r="I401" s="371">
        <v>0</v>
      </c>
      <c r="J401" s="371">
        <v>0</v>
      </c>
      <c r="K401" s="371">
        <v>0</v>
      </c>
      <c r="L401" s="371">
        <v>0</v>
      </c>
      <c r="M401" s="371">
        <v>0</v>
      </c>
      <c r="N401" s="371">
        <v>0</v>
      </c>
      <c r="O401" s="371">
        <v>0</v>
      </c>
      <c r="P401" s="371">
        <v>0</v>
      </c>
      <c r="Q401" s="371">
        <v>270706.8</v>
      </c>
      <c r="R401" s="371">
        <v>264285.46000000002</v>
      </c>
      <c r="S401" s="371">
        <v>520055</v>
      </c>
      <c r="T401" s="371">
        <v>254708.86</v>
      </c>
      <c r="U401" s="371">
        <v>260744</v>
      </c>
      <c r="V401" s="371">
        <v>94151.14</v>
      </c>
      <c r="W401" s="371">
        <v>0</v>
      </c>
      <c r="X401" s="371">
        <v>0</v>
      </c>
      <c r="Y401" s="371">
        <v>0</v>
      </c>
      <c r="Z401" s="371">
        <v>0</v>
      </c>
      <c r="AA401" s="367">
        <v>0</v>
      </c>
      <c r="AB401" s="371">
        <v>0</v>
      </c>
      <c r="AC401" s="398">
        <v>1664651.26</v>
      </c>
      <c r="AD401" s="398">
        <v>1664651.26</v>
      </c>
      <c r="AE401" s="444">
        <v>0</v>
      </c>
      <c r="AF401" s="344">
        <f t="shared" si="36"/>
        <v>2.8690788229024156E-3</v>
      </c>
    </row>
    <row r="402" spans="1:32">
      <c r="A402" s="451" t="s">
        <v>1040</v>
      </c>
      <c r="B402" s="380" t="s">
        <v>1004</v>
      </c>
      <c r="C402" s="361">
        <f t="shared" si="37"/>
        <v>0</v>
      </c>
      <c r="D402" s="361">
        <f t="shared" si="38"/>
        <v>0</v>
      </c>
      <c r="E402" s="361">
        <f t="shared" si="39"/>
        <v>0</v>
      </c>
      <c r="F402" s="361">
        <f t="shared" si="40"/>
        <v>264284.57</v>
      </c>
      <c r="G402" s="361">
        <f t="shared" si="41"/>
        <v>0</v>
      </c>
      <c r="H402" s="371">
        <v>0</v>
      </c>
      <c r="I402" s="371">
        <v>0</v>
      </c>
      <c r="J402" s="371">
        <v>0</v>
      </c>
      <c r="K402" s="371">
        <v>0</v>
      </c>
      <c r="L402" s="371">
        <v>0</v>
      </c>
      <c r="M402" s="371">
        <v>0</v>
      </c>
      <c r="N402" s="371">
        <v>0</v>
      </c>
      <c r="O402" s="371">
        <v>0</v>
      </c>
      <c r="P402" s="371">
        <v>0</v>
      </c>
      <c r="Q402" s="371">
        <v>0</v>
      </c>
      <c r="R402" s="371">
        <v>0</v>
      </c>
      <c r="S402" s="371">
        <v>0</v>
      </c>
      <c r="T402" s="371">
        <v>0.22999999999956344</v>
      </c>
      <c r="U402" s="371">
        <v>264284.34000000003</v>
      </c>
      <c r="V402" s="371">
        <v>0</v>
      </c>
      <c r="W402" s="371">
        <v>0</v>
      </c>
      <c r="X402" s="371">
        <v>0</v>
      </c>
      <c r="Y402" s="371">
        <v>0</v>
      </c>
      <c r="Z402" s="371">
        <v>0</v>
      </c>
      <c r="AA402" s="367">
        <v>0</v>
      </c>
      <c r="AB402" s="371">
        <v>-0.22999999998137355</v>
      </c>
      <c r="AC402" s="398">
        <v>264284.57</v>
      </c>
      <c r="AD402" s="398">
        <v>264284.57</v>
      </c>
      <c r="AE402" s="444">
        <v>0</v>
      </c>
      <c r="AF402" s="344">
        <f t="shared" si="36"/>
        <v>4.555027717979026E-4</v>
      </c>
    </row>
    <row r="403" spans="1:32">
      <c r="A403" s="428" t="s">
        <v>1009</v>
      </c>
      <c r="B403" s="382" t="s">
        <v>1010</v>
      </c>
      <c r="C403" s="361">
        <f t="shared" si="37"/>
        <v>0</v>
      </c>
      <c r="D403" s="361">
        <f t="shared" si="38"/>
        <v>183021.03666666665</v>
      </c>
      <c r="E403" s="361">
        <f t="shared" si="39"/>
        <v>0</v>
      </c>
      <c r="F403" s="361">
        <f t="shared" si="40"/>
        <v>87758.709999999992</v>
      </c>
      <c r="G403" s="361">
        <f t="shared" si="41"/>
        <v>0</v>
      </c>
      <c r="H403" s="371">
        <v>0</v>
      </c>
      <c r="I403" s="371">
        <v>0</v>
      </c>
      <c r="J403" s="371">
        <v>0</v>
      </c>
      <c r="K403" s="371">
        <v>0</v>
      </c>
      <c r="L403" s="371">
        <v>0</v>
      </c>
      <c r="M403" s="371">
        <v>131462.62666666665</v>
      </c>
      <c r="N403" s="371">
        <v>51558.41</v>
      </c>
      <c r="O403" s="371">
        <v>0</v>
      </c>
      <c r="P403" s="371">
        <v>0</v>
      </c>
      <c r="Q403" s="371">
        <v>0</v>
      </c>
      <c r="R403" s="371">
        <v>0</v>
      </c>
      <c r="S403" s="371">
        <v>0</v>
      </c>
      <c r="T403" s="371">
        <v>50188.71</v>
      </c>
      <c r="U403" s="371">
        <v>37570</v>
      </c>
      <c r="V403" s="371">
        <v>0</v>
      </c>
      <c r="W403" s="371">
        <v>0</v>
      </c>
      <c r="X403" s="371">
        <v>0</v>
      </c>
      <c r="Y403" s="371">
        <v>0</v>
      </c>
      <c r="Z403" s="371">
        <v>0</v>
      </c>
      <c r="AA403" s="367">
        <v>0</v>
      </c>
      <c r="AB403" s="371">
        <v>0</v>
      </c>
      <c r="AC403" s="373">
        <v>270779.75</v>
      </c>
      <c r="AD403" s="373">
        <v>270779.75</v>
      </c>
      <c r="AE403" s="444">
        <v>0</v>
      </c>
      <c r="AF403" s="344">
        <f t="shared" si="36"/>
        <v>4.6669741889109571E-4</v>
      </c>
    </row>
    <row r="404" spans="1:32">
      <c r="A404" s="428" t="s">
        <v>1041</v>
      </c>
      <c r="B404" s="382" t="s">
        <v>1012</v>
      </c>
      <c r="C404" s="361">
        <f t="shared" si="37"/>
        <v>0</v>
      </c>
      <c r="D404" s="361">
        <f t="shared" si="38"/>
        <v>0</v>
      </c>
      <c r="E404" s="361">
        <f t="shared" si="39"/>
        <v>238517.97</v>
      </c>
      <c r="F404" s="361">
        <f t="shared" si="40"/>
        <v>0</v>
      </c>
      <c r="G404" s="361">
        <f t="shared" si="41"/>
        <v>0</v>
      </c>
      <c r="H404" s="371">
        <v>0</v>
      </c>
      <c r="I404" s="371">
        <v>0</v>
      </c>
      <c r="J404" s="371">
        <v>0</v>
      </c>
      <c r="K404" s="371">
        <v>0</v>
      </c>
      <c r="L404" s="371">
        <v>0</v>
      </c>
      <c r="M404" s="371">
        <v>0</v>
      </c>
      <c r="N404" s="371">
        <v>0</v>
      </c>
      <c r="O404" s="371">
        <v>0</v>
      </c>
      <c r="P404" s="371">
        <v>237954.02</v>
      </c>
      <c r="Q404" s="371">
        <v>563.95000000000005</v>
      </c>
      <c r="R404" s="371">
        <v>0</v>
      </c>
      <c r="S404" s="371">
        <v>0</v>
      </c>
      <c r="T404" s="371">
        <v>0</v>
      </c>
      <c r="U404" s="371">
        <v>0</v>
      </c>
      <c r="V404" s="371">
        <v>0</v>
      </c>
      <c r="W404" s="371">
        <v>0</v>
      </c>
      <c r="X404" s="371">
        <v>0</v>
      </c>
      <c r="Y404" s="371">
        <v>0</v>
      </c>
      <c r="Z404" s="371">
        <v>0</v>
      </c>
      <c r="AA404" s="367">
        <v>0</v>
      </c>
      <c r="AB404" s="371">
        <v>0</v>
      </c>
      <c r="AC404" s="373">
        <v>238517.97</v>
      </c>
      <c r="AD404" s="373">
        <v>238517.97</v>
      </c>
      <c r="AE404" s="444">
        <v>0</v>
      </c>
      <c r="AF404" s="344">
        <f t="shared" si="36"/>
        <v>4.1109322598216377E-4</v>
      </c>
    </row>
    <row r="405" spans="1:32">
      <c r="A405" s="428" t="s">
        <v>1015</v>
      </c>
      <c r="B405" s="382" t="s">
        <v>1016</v>
      </c>
      <c r="C405" s="361">
        <f t="shared" si="37"/>
        <v>0</v>
      </c>
      <c r="D405" s="361">
        <f t="shared" si="38"/>
        <v>0</v>
      </c>
      <c r="E405" s="361">
        <f t="shared" si="39"/>
        <v>3949.88</v>
      </c>
      <c r="F405" s="361">
        <f t="shared" si="40"/>
        <v>2566.4</v>
      </c>
      <c r="G405" s="361">
        <f t="shared" si="41"/>
        <v>0</v>
      </c>
      <c r="H405" s="371"/>
      <c r="I405" s="371"/>
      <c r="J405" s="371"/>
      <c r="K405" s="371"/>
      <c r="L405" s="371"/>
      <c r="M405" s="371"/>
      <c r="N405" s="371"/>
      <c r="O405" s="371"/>
      <c r="P405" s="371"/>
      <c r="Q405" s="371"/>
      <c r="R405" s="371">
        <v>0</v>
      </c>
      <c r="S405" s="371">
        <v>3949.88</v>
      </c>
      <c r="T405" s="371">
        <v>2566.4</v>
      </c>
      <c r="U405" s="371">
        <v>0</v>
      </c>
      <c r="V405" s="371">
        <v>0</v>
      </c>
      <c r="W405" s="371">
        <v>0</v>
      </c>
      <c r="X405" s="371">
        <v>0</v>
      </c>
      <c r="Y405" s="371">
        <v>0</v>
      </c>
      <c r="Z405" s="371">
        <v>0</v>
      </c>
      <c r="AA405" s="367">
        <v>0</v>
      </c>
      <c r="AB405" s="371">
        <v>0</v>
      </c>
      <c r="AC405" s="373">
        <v>6516.28</v>
      </c>
      <c r="AD405" s="373">
        <v>6516.28</v>
      </c>
      <c r="AE405" s="444">
        <v>0</v>
      </c>
      <c r="AF405" s="344">
        <f t="shared" si="36"/>
        <v>1.123101360707981E-5</v>
      </c>
    </row>
    <row r="406" spans="1:32" ht="25.5">
      <c r="A406" s="428" t="s">
        <v>1042</v>
      </c>
      <c r="B406" s="382" t="s">
        <v>1043</v>
      </c>
      <c r="C406" s="361">
        <f t="shared" si="37"/>
        <v>0</v>
      </c>
      <c r="D406" s="361">
        <f t="shared" si="38"/>
        <v>0</v>
      </c>
      <c r="E406" s="361">
        <f t="shared" si="39"/>
        <v>0</v>
      </c>
      <c r="F406" s="361">
        <f t="shared" si="40"/>
        <v>0</v>
      </c>
      <c r="G406" s="361">
        <f t="shared" si="41"/>
        <v>115105.44</v>
      </c>
      <c r="H406" s="371"/>
      <c r="I406" s="371"/>
      <c r="J406" s="371"/>
      <c r="K406" s="371"/>
      <c r="L406" s="371"/>
      <c r="M406" s="371"/>
      <c r="N406" s="371"/>
      <c r="O406" s="371"/>
      <c r="P406" s="371"/>
      <c r="Q406" s="371"/>
      <c r="R406" s="371">
        <v>0</v>
      </c>
      <c r="S406" s="371">
        <v>0</v>
      </c>
      <c r="T406" s="371">
        <v>0</v>
      </c>
      <c r="U406" s="371">
        <v>0</v>
      </c>
      <c r="V406" s="371">
        <v>0</v>
      </c>
      <c r="W406" s="371">
        <v>0</v>
      </c>
      <c r="X406" s="371">
        <v>0</v>
      </c>
      <c r="Y406" s="371">
        <v>0</v>
      </c>
      <c r="Z406" s="371">
        <v>0</v>
      </c>
      <c r="AA406" s="367">
        <v>115105.44</v>
      </c>
      <c r="AB406" s="371">
        <v>323.48999999999069</v>
      </c>
      <c r="AC406" s="373">
        <v>115105.44</v>
      </c>
      <c r="AD406" s="373">
        <v>60000</v>
      </c>
      <c r="AE406" s="444">
        <v>-55105.440000000002</v>
      </c>
      <c r="AF406" s="344">
        <f t="shared" si="36"/>
        <v>1.9838784749717764E-4</v>
      </c>
    </row>
    <row r="407" spans="1:32">
      <c r="A407" s="393" t="s">
        <v>1044</v>
      </c>
      <c r="B407" s="391" t="s">
        <v>1045</v>
      </c>
      <c r="C407" s="361">
        <f t="shared" si="37"/>
        <v>40925.589999999997</v>
      </c>
      <c r="D407" s="361">
        <f t="shared" si="38"/>
        <v>62059.96</v>
      </c>
      <c r="E407" s="361">
        <f t="shared" si="39"/>
        <v>49622.17</v>
      </c>
      <c r="F407" s="361">
        <f t="shared" si="40"/>
        <v>43654.149999999994</v>
      </c>
      <c r="G407" s="361">
        <f t="shared" si="41"/>
        <v>10548.170000000002</v>
      </c>
      <c r="H407" s="394">
        <v>0</v>
      </c>
      <c r="I407" s="394">
        <v>0</v>
      </c>
      <c r="J407" s="394">
        <v>6545</v>
      </c>
      <c r="K407" s="394">
        <v>34380.589999999997</v>
      </c>
      <c r="L407" s="394">
        <v>19842.45</v>
      </c>
      <c r="M407" s="394">
        <v>14653</v>
      </c>
      <c r="N407" s="394">
        <v>11877</v>
      </c>
      <c r="O407" s="394">
        <v>15687.51</v>
      </c>
      <c r="P407" s="394">
        <v>6188.9400000000005</v>
      </c>
      <c r="Q407" s="395">
        <v>8441.91</v>
      </c>
      <c r="R407" s="394">
        <v>15959.5</v>
      </c>
      <c r="S407" s="394">
        <v>19031.82</v>
      </c>
      <c r="T407" s="394">
        <v>11543.869999999999</v>
      </c>
      <c r="U407" s="394">
        <v>8763.15</v>
      </c>
      <c r="V407" s="394">
        <v>12099.89</v>
      </c>
      <c r="W407" s="394">
        <v>11247.24</v>
      </c>
      <c r="X407" s="394">
        <v>4130.45</v>
      </c>
      <c r="Y407" s="394">
        <v>4578.7700000000004</v>
      </c>
      <c r="Z407" s="394">
        <v>1587.94</v>
      </c>
      <c r="AA407" s="392">
        <v>251.01000000000002</v>
      </c>
      <c r="AB407" s="394">
        <v>-1283.8100000000009</v>
      </c>
      <c r="AC407" s="373">
        <v>205410.64</v>
      </c>
      <c r="AD407" s="373">
        <v>212569.8</v>
      </c>
      <c r="AE407" s="444">
        <v>7159.16</v>
      </c>
      <c r="AF407" s="344">
        <f t="shared" si="36"/>
        <v>3.5403170104399633E-4</v>
      </c>
    </row>
    <row r="408" spans="1:32">
      <c r="A408" s="428" t="s">
        <v>1021</v>
      </c>
      <c r="B408" s="382" t="s">
        <v>1046</v>
      </c>
      <c r="C408" s="361">
        <f t="shared" si="37"/>
        <v>40925.589999999997</v>
      </c>
      <c r="D408" s="361">
        <f t="shared" si="38"/>
        <v>61436.1</v>
      </c>
      <c r="E408" s="361">
        <f t="shared" si="39"/>
        <v>46762.149999999994</v>
      </c>
      <c r="F408" s="361">
        <f t="shared" si="40"/>
        <v>42094.18</v>
      </c>
      <c r="G408" s="361">
        <f t="shared" si="41"/>
        <v>10290.600000000002</v>
      </c>
      <c r="H408" s="371">
        <v>0</v>
      </c>
      <c r="I408" s="371">
        <v>0</v>
      </c>
      <c r="J408" s="371">
        <v>6545</v>
      </c>
      <c r="K408" s="371">
        <v>34380.589999999997</v>
      </c>
      <c r="L408" s="371">
        <v>19842.45</v>
      </c>
      <c r="M408" s="371">
        <v>14386</v>
      </c>
      <c r="N408" s="371">
        <v>11877</v>
      </c>
      <c r="O408" s="371">
        <v>15330.65</v>
      </c>
      <c r="P408" s="371">
        <v>6188.9400000000005</v>
      </c>
      <c r="Q408" s="371">
        <v>8441.91</v>
      </c>
      <c r="R408" s="371">
        <v>13639.14</v>
      </c>
      <c r="S408" s="371">
        <v>18492.16</v>
      </c>
      <c r="T408" s="371">
        <v>10924.89</v>
      </c>
      <c r="U408" s="479">
        <v>8134.29</v>
      </c>
      <c r="V408" s="479">
        <v>11787.76</v>
      </c>
      <c r="W408" s="479">
        <v>11247.24</v>
      </c>
      <c r="X408" s="371">
        <v>4130.45</v>
      </c>
      <c r="Y408" s="371">
        <v>4321.2000000000007</v>
      </c>
      <c r="Z408" s="372">
        <v>1587.94</v>
      </c>
      <c r="AA408" s="367">
        <v>251.01000000000002</v>
      </c>
      <c r="AB408" s="371">
        <v>-1283.8100000000009</v>
      </c>
      <c r="AC408" s="398">
        <v>200114.26000000004</v>
      </c>
      <c r="AD408" s="398">
        <v>205030.99</v>
      </c>
      <c r="AE408" s="444">
        <v>4916.7299999999996</v>
      </c>
      <c r="AF408" s="344">
        <f t="shared" si="36"/>
        <v>3.449032234696341E-4</v>
      </c>
    </row>
    <row r="409" spans="1:32">
      <c r="A409" s="428" t="s">
        <v>1047</v>
      </c>
      <c r="B409" s="382" t="s">
        <v>1048</v>
      </c>
      <c r="C409" s="361">
        <f t="shared" si="37"/>
        <v>0</v>
      </c>
      <c r="D409" s="361">
        <f t="shared" si="38"/>
        <v>623.86</v>
      </c>
      <c r="E409" s="361">
        <f t="shared" si="39"/>
        <v>2860.02</v>
      </c>
      <c r="F409" s="361">
        <f t="shared" si="40"/>
        <v>1559.9700000000003</v>
      </c>
      <c r="G409" s="361">
        <f t="shared" si="41"/>
        <v>257.57</v>
      </c>
      <c r="H409" s="371">
        <v>0</v>
      </c>
      <c r="I409" s="371">
        <v>0</v>
      </c>
      <c r="J409" s="371">
        <v>0</v>
      </c>
      <c r="K409" s="371">
        <v>0</v>
      </c>
      <c r="L409" s="371">
        <v>0</v>
      </c>
      <c r="M409" s="371">
        <v>267</v>
      </c>
      <c r="N409" s="371">
        <v>0</v>
      </c>
      <c r="O409" s="371">
        <v>356.86</v>
      </c>
      <c r="P409" s="371">
        <v>0</v>
      </c>
      <c r="Q409" s="371">
        <v>0</v>
      </c>
      <c r="R409" s="371">
        <v>2320.36</v>
      </c>
      <c r="S409" s="371">
        <v>539.66</v>
      </c>
      <c r="T409" s="371">
        <v>618.98</v>
      </c>
      <c r="U409" s="479">
        <v>628.86</v>
      </c>
      <c r="V409" s="479">
        <v>312.13</v>
      </c>
      <c r="W409" s="479">
        <v>0</v>
      </c>
      <c r="X409" s="371">
        <v>0</v>
      </c>
      <c r="Y409" s="371">
        <v>257.57</v>
      </c>
      <c r="Z409" s="372">
        <v>0</v>
      </c>
      <c r="AA409" s="367">
        <v>0</v>
      </c>
      <c r="AB409" s="371">
        <v>3.6415315207705135E-14</v>
      </c>
      <c r="AC409" s="398">
        <v>5296.38</v>
      </c>
      <c r="AD409" s="398">
        <v>7538.81</v>
      </c>
      <c r="AE409" s="444">
        <v>2242.4299999999998</v>
      </c>
      <c r="AF409" s="344">
        <f t="shared" si="36"/>
        <v>9.1284775743622685E-6</v>
      </c>
    </row>
    <row r="410" spans="1:32">
      <c r="A410" s="428" t="s">
        <v>1049</v>
      </c>
      <c r="B410" s="382" t="s">
        <v>1050</v>
      </c>
      <c r="C410" s="361">
        <f t="shared" si="37"/>
        <v>0</v>
      </c>
      <c r="D410" s="361">
        <f t="shared" si="38"/>
        <v>0</v>
      </c>
      <c r="E410" s="361">
        <f t="shared" si="39"/>
        <v>0</v>
      </c>
      <c r="F410" s="361">
        <f t="shared" si="40"/>
        <v>0</v>
      </c>
      <c r="G410" s="361">
        <f t="shared" si="41"/>
        <v>0</v>
      </c>
      <c r="H410" s="371">
        <v>0</v>
      </c>
      <c r="I410" s="371">
        <v>0</v>
      </c>
      <c r="J410" s="371">
        <v>0</v>
      </c>
      <c r="K410" s="371">
        <v>0</v>
      </c>
      <c r="L410" s="371">
        <v>0</v>
      </c>
      <c r="M410" s="371">
        <v>0</v>
      </c>
      <c r="N410" s="371">
        <v>0</v>
      </c>
      <c r="O410" s="371">
        <v>0</v>
      </c>
      <c r="P410" s="371">
        <v>0</v>
      </c>
      <c r="Q410" s="371">
        <v>0</v>
      </c>
      <c r="R410" s="371">
        <v>0</v>
      </c>
      <c r="S410" s="371">
        <v>0</v>
      </c>
      <c r="T410" s="371">
        <v>0</v>
      </c>
      <c r="U410" s="371">
        <v>0</v>
      </c>
      <c r="V410" s="371">
        <v>0</v>
      </c>
      <c r="W410" s="371">
        <v>0</v>
      </c>
      <c r="X410" s="371">
        <v>0</v>
      </c>
      <c r="Y410" s="371">
        <v>0</v>
      </c>
      <c r="Z410" s="371">
        <v>0</v>
      </c>
      <c r="AA410" s="367">
        <v>0</v>
      </c>
      <c r="AB410" s="371">
        <v>0</v>
      </c>
      <c r="AC410" s="398">
        <v>0</v>
      </c>
      <c r="AD410" s="398">
        <v>0</v>
      </c>
      <c r="AE410" s="444">
        <v>0</v>
      </c>
      <c r="AF410" s="344">
        <f t="shared" si="36"/>
        <v>0</v>
      </c>
    </row>
    <row r="411" spans="1:32">
      <c r="A411" s="384" t="s">
        <v>535</v>
      </c>
      <c r="B411" s="385">
        <v>0</v>
      </c>
      <c r="C411" s="361">
        <f t="shared" si="37"/>
        <v>0</v>
      </c>
      <c r="D411" s="361">
        <f t="shared" si="38"/>
        <v>0</v>
      </c>
      <c r="E411" s="361">
        <f t="shared" si="39"/>
        <v>0</v>
      </c>
      <c r="F411" s="361">
        <f t="shared" si="40"/>
        <v>0</v>
      </c>
      <c r="G411" s="361">
        <f t="shared" si="41"/>
        <v>0</v>
      </c>
      <c r="H411" s="386">
        <v>0</v>
      </c>
      <c r="I411" s="386">
        <v>0</v>
      </c>
      <c r="J411" s="386">
        <v>0</v>
      </c>
      <c r="K411" s="386">
        <v>0</v>
      </c>
      <c r="L411" s="386">
        <v>0</v>
      </c>
      <c r="M411" s="386">
        <v>0</v>
      </c>
      <c r="N411" s="386">
        <v>0</v>
      </c>
      <c r="O411" s="386">
        <v>0</v>
      </c>
      <c r="P411" s="386">
        <v>0</v>
      </c>
      <c r="Q411" s="386">
        <v>0</v>
      </c>
      <c r="R411" s="386">
        <v>0</v>
      </c>
      <c r="S411" s="386">
        <v>0</v>
      </c>
      <c r="T411" s="386">
        <v>0</v>
      </c>
      <c r="U411" s="386">
        <v>0</v>
      </c>
      <c r="V411" s="386">
        <v>0</v>
      </c>
      <c r="W411" s="386">
        <v>0</v>
      </c>
      <c r="X411" s="386">
        <v>0</v>
      </c>
      <c r="Y411" s="386">
        <v>0</v>
      </c>
      <c r="Z411" s="386">
        <v>0</v>
      </c>
      <c r="AA411" s="387">
        <v>0</v>
      </c>
      <c r="AB411" s="386"/>
      <c r="AC411" s="373">
        <v>0</v>
      </c>
      <c r="AD411" s="373">
        <v>0</v>
      </c>
      <c r="AE411" s="369">
        <v>0</v>
      </c>
      <c r="AF411" s="344">
        <f t="shared" si="36"/>
        <v>0</v>
      </c>
    </row>
    <row r="412" spans="1:32" ht="25.5">
      <c r="A412" s="384" t="s">
        <v>536</v>
      </c>
      <c r="B412" s="385">
        <v>0</v>
      </c>
      <c r="C412" s="361">
        <f t="shared" si="37"/>
        <v>0</v>
      </c>
      <c r="D412" s="361">
        <f t="shared" si="38"/>
        <v>0</v>
      </c>
      <c r="E412" s="361">
        <f t="shared" si="39"/>
        <v>0</v>
      </c>
      <c r="F412" s="361">
        <f t="shared" si="40"/>
        <v>0</v>
      </c>
      <c r="G412" s="361">
        <f t="shared" si="41"/>
        <v>0</v>
      </c>
      <c r="H412" s="386">
        <v>0</v>
      </c>
      <c r="I412" s="386">
        <v>0</v>
      </c>
      <c r="J412" s="386">
        <v>0</v>
      </c>
      <c r="K412" s="386">
        <v>0</v>
      </c>
      <c r="L412" s="386">
        <v>0</v>
      </c>
      <c r="M412" s="386">
        <v>0</v>
      </c>
      <c r="N412" s="386">
        <v>0</v>
      </c>
      <c r="O412" s="386">
        <v>0</v>
      </c>
      <c r="P412" s="386">
        <v>0</v>
      </c>
      <c r="Q412" s="386">
        <v>0</v>
      </c>
      <c r="R412" s="386">
        <v>0</v>
      </c>
      <c r="S412" s="386">
        <v>0</v>
      </c>
      <c r="T412" s="386">
        <v>0</v>
      </c>
      <c r="U412" s="386">
        <v>0</v>
      </c>
      <c r="V412" s="386">
        <v>0</v>
      </c>
      <c r="W412" s="386">
        <v>0</v>
      </c>
      <c r="X412" s="386">
        <v>0</v>
      </c>
      <c r="Y412" s="386">
        <v>0</v>
      </c>
      <c r="Z412" s="386">
        <v>0</v>
      </c>
      <c r="AA412" s="387">
        <v>0</v>
      </c>
      <c r="AB412" s="386">
        <v>0</v>
      </c>
      <c r="AC412" s="373">
        <v>0</v>
      </c>
      <c r="AD412" s="373">
        <v>0</v>
      </c>
      <c r="AE412" s="369">
        <v>0</v>
      </c>
      <c r="AF412" s="344">
        <f t="shared" si="36"/>
        <v>0</v>
      </c>
    </row>
    <row r="413" spans="1:32">
      <c r="A413" s="384" t="s">
        <v>537</v>
      </c>
      <c r="B413" s="385"/>
      <c r="C413" s="361">
        <f t="shared" si="37"/>
        <v>0</v>
      </c>
      <c r="D413" s="361">
        <f t="shared" si="38"/>
        <v>0</v>
      </c>
      <c r="E413" s="361">
        <f t="shared" si="39"/>
        <v>0</v>
      </c>
      <c r="F413" s="361">
        <f t="shared" si="40"/>
        <v>0</v>
      </c>
      <c r="G413" s="361">
        <f t="shared" si="41"/>
        <v>0</v>
      </c>
      <c r="H413" s="386">
        <v>0</v>
      </c>
      <c r="I413" s="386">
        <v>0</v>
      </c>
      <c r="J413" s="386">
        <v>0</v>
      </c>
      <c r="K413" s="386">
        <v>0</v>
      </c>
      <c r="L413" s="386">
        <v>0</v>
      </c>
      <c r="M413" s="386">
        <v>0</v>
      </c>
      <c r="N413" s="386">
        <v>0</v>
      </c>
      <c r="O413" s="386">
        <v>0</v>
      </c>
      <c r="P413" s="386">
        <v>0</v>
      </c>
      <c r="Q413" s="386">
        <v>0</v>
      </c>
      <c r="R413" s="386">
        <v>0</v>
      </c>
      <c r="S413" s="386">
        <v>0</v>
      </c>
      <c r="T413" s="386">
        <v>0</v>
      </c>
      <c r="U413" s="386">
        <v>0</v>
      </c>
      <c r="V413" s="386">
        <v>0</v>
      </c>
      <c r="W413" s="386">
        <v>0</v>
      </c>
      <c r="X413" s="386">
        <v>0</v>
      </c>
      <c r="Y413" s="386">
        <v>0</v>
      </c>
      <c r="Z413" s="386">
        <v>0</v>
      </c>
      <c r="AA413" s="387">
        <v>0</v>
      </c>
      <c r="AB413" s="386"/>
      <c r="AC413" s="373">
        <v>0</v>
      </c>
      <c r="AD413" s="373">
        <v>5296.71</v>
      </c>
      <c r="AE413" s="369">
        <v>5296.71</v>
      </c>
      <c r="AF413" s="344">
        <f t="shared" si="36"/>
        <v>0</v>
      </c>
    </row>
    <row r="414" spans="1:32">
      <c r="A414" s="360" t="s">
        <v>1051</v>
      </c>
      <c r="B414" s="427" t="s">
        <v>1027</v>
      </c>
      <c r="C414" s="361">
        <f t="shared" si="37"/>
        <v>430142.97000000003</v>
      </c>
      <c r="D414" s="361">
        <f t="shared" si="38"/>
        <v>1249025.1067000006</v>
      </c>
      <c r="E414" s="361">
        <f t="shared" si="39"/>
        <v>2111249.7399999998</v>
      </c>
      <c r="F414" s="361">
        <f t="shared" si="40"/>
        <v>1259697.4099999999</v>
      </c>
      <c r="G414" s="361">
        <f t="shared" si="41"/>
        <v>32520.620000000003</v>
      </c>
      <c r="H414" s="388">
        <v>0</v>
      </c>
      <c r="I414" s="388">
        <v>0</v>
      </c>
      <c r="J414" s="388">
        <v>207436.14</v>
      </c>
      <c r="K414" s="388">
        <v>222706.83000000002</v>
      </c>
      <c r="L414" s="388">
        <v>85224.2</v>
      </c>
      <c r="M414" s="388">
        <v>626598.26670000062</v>
      </c>
      <c r="N414" s="388">
        <v>200715.02000000002</v>
      </c>
      <c r="O414" s="388">
        <v>336487.62000000005</v>
      </c>
      <c r="P414" s="388">
        <v>280381.66000000003</v>
      </c>
      <c r="Q414" s="389">
        <v>855820.97</v>
      </c>
      <c r="R414" s="388">
        <v>439606.42</v>
      </c>
      <c r="S414" s="388">
        <v>535440.68999999994</v>
      </c>
      <c r="T414" s="388">
        <v>542607.4</v>
      </c>
      <c r="U414" s="388">
        <v>625804.84</v>
      </c>
      <c r="V414" s="388">
        <v>79838.189999999988</v>
      </c>
      <c r="W414" s="388">
        <v>11446.98</v>
      </c>
      <c r="X414" s="388">
        <v>20810.5</v>
      </c>
      <c r="Y414" s="388">
        <v>6594.4400000000005</v>
      </c>
      <c r="Z414" s="388">
        <v>2317.3200000000002</v>
      </c>
      <c r="AA414" s="362">
        <v>2798.36</v>
      </c>
      <c r="AB414" s="388">
        <v>141.29000000017447</v>
      </c>
      <c r="AC414" s="364">
        <v>5081746.5900000008</v>
      </c>
      <c r="AD414" s="388">
        <v>5152612.92</v>
      </c>
      <c r="AE414" s="364">
        <v>70866.33</v>
      </c>
      <c r="AF414" s="344">
        <f t="shared" si="36"/>
        <v>8.7585501390396725E-3</v>
      </c>
    </row>
    <row r="415" spans="1:32">
      <c r="A415" s="390" t="s">
        <v>1052</v>
      </c>
      <c r="B415" s="391" t="s">
        <v>989</v>
      </c>
      <c r="C415" s="361">
        <f t="shared" si="37"/>
        <v>382681.07</v>
      </c>
      <c r="D415" s="361">
        <f t="shared" si="38"/>
        <v>340062.37</v>
      </c>
      <c r="E415" s="361">
        <f t="shared" si="39"/>
        <v>552349.6</v>
      </c>
      <c r="F415" s="361">
        <f t="shared" si="40"/>
        <v>0</v>
      </c>
      <c r="G415" s="361">
        <f t="shared" si="41"/>
        <v>0</v>
      </c>
      <c r="H415" s="392">
        <v>0</v>
      </c>
      <c r="I415" s="392">
        <v>0</v>
      </c>
      <c r="J415" s="392">
        <v>191257</v>
      </c>
      <c r="K415" s="392">
        <v>191424.07</v>
      </c>
      <c r="L415" s="392">
        <v>76655.759999999995</v>
      </c>
      <c r="M415" s="392">
        <v>178443</v>
      </c>
      <c r="N415" s="392">
        <v>76463.31</v>
      </c>
      <c r="O415" s="392">
        <v>8500.2999999999993</v>
      </c>
      <c r="P415" s="392">
        <v>169836</v>
      </c>
      <c r="Q415" s="407">
        <v>318761.3</v>
      </c>
      <c r="R415" s="392">
        <v>63752.3</v>
      </c>
      <c r="S415" s="392">
        <v>0</v>
      </c>
      <c r="T415" s="392">
        <v>0</v>
      </c>
      <c r="U415" s="392">
        <v>0</v>
      </c>
      <c r="V415" s="392">
        <v>0</v>
      </c>
      <c r="W415" s="392">
        <v>0</v>
      </c>
      <c r="X415" s="392">
        <v>0</v>
      </c>
      <c r="Y415" s="392">
        <v>0</v>
      </c>
      <c r="Z415" s="392">
        <v>0</v>
      </c>
      <c r="AA415" s="392">
        <v>0</v>
      </c>
      <c r="AB415" s="392">
        <v>0</v>
      </c>
      <c r="AC415" s="373">
        <v>1275093.04</v>
      </c>
      <c r="AD415" s="373">
        <v>1275093.04</v>
      </c>
      <c r="AE415" s="444">
        <v>0</v>
      </c>
      <c r="AF415" s="344">
        <f t="shared" si="36"/>
        <v>2.1976629737415769E-3</v>
      </c>
    </row>
    <row r="416" spans="1:32">
      <c r="A416" s="428" t="s">
        <v>990</v>
      </c>
      <c r="B416" s="366" t="s">
        <v>989</v>
      </c>
      <c r="C416" s="361">
        <f t="shared" si="37"/>
        <v>191257</v>
      </c>
      <c r="D416" s="361">
        <f t="shared" si="38"/>
        <v>0</v>
      </c>
      <c r="E416" s="361">
        <f t="shared" si="39"/>
        <v>0</v>
      </c>
      <c r="F416" s="361">
        <f t="shared" si="40"/>
        <v>0</v>
      </c>
      <c r="G416" s="361">
        <f t="shared" si="41"/>
        <v>0</v>
      </c>
      <c r="H416" s="367">
        <v>0</v>
      </c>
      <c r="I416" s="367">
        <v>0</v>
      </c>
      <c r="J416" s="367">
        <v>191257</v>
      </c>
      <c r="K416" s="367">
        <v>0</v>
      </c>
      <c r="L416" s="367">
        <v>0</v>
      </c>
      <c r="M416" s="367">
        <v>0</v>
      </c>
      <c r="N416" s="367">
        <v>0</v>
      </c>
      <c r="O416" s="367">
        <v>0</v>
      </c>
      <c r="P416" s="367">
        <v>0</v>
      </c>
      <c r="Q416" s="367">
        <v>0</v>
      </c>
      <c r="R416" s="367">
        <v>0</v>
      </c>
      <c r="S416" s="367">
        <v>0</v>
      </c>
      <c r="T416" s="367">
        <v>0</v>
      </c>
      <c r="U416" s="367">
        <v>0</v>
      </c>
      <c r="V416" s="367">
        <v>0</v>
      </c>
      <c r="W416" s="367">
        <v>0</v>
      </c>
      <c r="X416" s="367">
        <v>0</v>
      </c>
      <c r="Y416" s="367">
        <v>0</v>
      </c>
      <c r="Z416" s="367">
        <v>0</v>
      </c>
      <c r="AA416" s="367">
        <v>0</v>
      </c>
      <c r="AB416" s="367">
        <v>0</v>
      </c>
      <c r="AC416" s="373">
        <v>191257</v>
      </c>
      <c r="AD416" s="373">
        <v>191257</v>
      </c>
      <c r="AE416" s="444">
        <v>0</v>
      </c>
      <c r="AF416" s="344">
        <f t="shared" si="36"/>
        <v>3.2963745717637415E-4</v>
      </c>
    </row>
    <row r="417" spans="1:32">
      <c r="A417" s="370" t="s">
        <v>1029</v>
      </c>
      <c r="B417" s="366" t="s">
        <v>989</v>
      </c>
      <c r="C417" s="361">
        <f t="shared" si="37"/>
        <v>0</v>
      </c>
      <c r="D417" s="361">
        <f t="shared" si="38"/>
        <v>340062.37</v>
      </c>
      <c r="E417" s="361">
        <f t="shared" si="39"/>
        <v>297340.59999999998</v>
      </c>
      <c r="F417" s="361">
        <f t="shared" si="40"/>
        <v>0</v>
      </c>
      <c r="G417" s="361">
        <f t="shared" si="41"/>
        <v>0</v>
      </c>
      <c r="H417" s="367">
        <v>0</v>
      </c>
      <c r="I417" s="367">
        <v>0</v>
      </c>
      <c r="J417" s="367">
        <v>0</v>
      </c>
      <c r="K417" s="367">
        <v>0</v>
      </c>
      <c r="L417" s="367">
        <v>76655.759999999995</v>
      </c>
      <c r="M417" s="367">
        <v>178443</v>
      </c>
      <c r="N417" s="367">
        <v>76463.31</v>
      </c>
      <c r="O417" s="367">
        <v>8500.2999999999993</v>
      </c>
      <c r="P417" s="367">
        <v>169836</v>
      </c>
      <c r="Q417" s="367">
        <v>63752.3</v>
      </c>
      <c r="R417" s="367">
        <v>63752.3</v>
      </c>
      <c r="S417" s="367">
        <v>0</v>
      </c>
      <c r="T417" s="367">
        <v>0</v>
      </c>
      <c r="U417" s="367">
        <v>0</v>
      </c>
      <c r="V417" s="367">
        <v>0</v>
      </c>
      <c r="W417" s="367">
        <v>0</v>
      </c>
      <c r="X417" s="367">
        <v>0</v>
      </c>
      <c r="Y417" s="367">
        <v>0</v>
      </c>
      <c r="Z417" s="367">
        <v>0</v>
      </c>
      <c r="AA417" s="367">
        <v>0</v>
      </c>
      <c r="AB417" s="367">
        <v>0</v>
      </c>
      <c r="AC417" s="373">
        <v>637402.97</v>
      </c>
      <c r="AD417" s="373">
        <v>637402.97</v>
      </c>
      <c r="AE417" s="444">
        <v>0</v>
      </c>
      <c r="AF417" s="344">
        <f t="shared" si="36"/>
        <v>1.0985840739291565E-3</v>
      </c>
    </row>
    <row r="418" spans="1:32">
      <c r="A418" s="428" t="s">
        <v>1053</v>
      </c>
      <c r="B418" s="366" t="s">
        <v>989</v>
      </c>
      <c r="C418" s="361">
        <f t="shared" si="37"/>
        <v>191424.07</v>
      </c>
      <c r="D418" s="361">
        <f t="shared" si="38"/>
        <v>0</v>
      </c>
      <c r="E418" s="361">
        <f t="shared" si="39"/>
        <v>0</v>
      </c>
      <c r="F418" s="361">
        <f t="shared" si="40"/>
        <v>0</v>
      </c>
      <c r="G418" s="361">
        <f t="shared" si="41"/>
        <v>0</v>
      </c>
      <c r="H418" s="367">
        <v>0</v>
      </c>
      <c r="I418" s="367">
        <v>0</v>
      </c>
      <c r="J418" s="367">
        <v>0</v>
      </c>
      <c r="K418" s="367">
        <v>191424.07</v>
      </c>
      <c r="L418" s="367">
        <v>0</v>
      </c>
      <c r="M418" s="367">
        <v>0</v>
      </c>
      <c r="N418" s="367">
        <v>0</v>
      </c>
      <c r="O418" s="367">
        <v>0</v>
      </c>
      <c r="P418" s="367">
        <v>0</v>
      </c>
      <c r="Q418" s="367">
        <v>0</v>
      </c>
      <c r="R418" s="367">
        <v>0</v>
      </c>
      <c r="S418" s="367">
        <v>0</v>
      </c>
      <c r="T418" s="367">
        <v>0</v>
      </c>
      <c r="U418" s="367">
        <v>0</v>
      </c>
      <c r="V418" s="367">
        <v>0</v>
      </c>
      <c r="W418" s="367">
        <v>0</v>
      </c>
      <c r="X418" s="367">
        <v>0</v>
      </c>
      <c r="Y418" s="367">
        <v>0</v>
      </c>
      <c r="Z418" s="367">
        <v>0</v>
      </c>
      <c r="AA418" s="367">
        <v>0</v>
      </c>
      <c r="AB418" s="367">
        <v>0</v>
      </c>
      <c r="AC418" s="373">
        <v>191424.07</v>
      </c>
      <c r="AD418" s="373">
        <v>191424.07</v>
      </c>
      <c r="AE418" s="444">
        <v>0</v>
      </c>
      <c r="AF418" s="344">
        <f t="shared" si="36"/>
        <v>3.2992540757803503E-4</v>
      </c>
    </row>
    <row r="419" spans="1:32">
      <c r="A419" s="428" t="s">
        <v>1054</v>
      </c>
      <c r="B419" s="366" t="s">
        <v>989</v>
      </c>
      <c r="C419" s="361">
        <f t="shared" si="37"/>
        <v>0</v>
      </c>
      <c r="D419" s="361">
        <f t="shared" si="38"/>
        <v>0</v>
      </c>
      <c r="E419" s="361">
        <f t="shared" si="39"/>
        <v>255009</v>
      </c>
      <c r="F419" s="361">
        <f t="shared" si="40"/>
        <v>0</v>
      </c>
      <c r="G419" s="361">
        <f t="shared" si="41"/>
        <v>0</v>
      </c>
      <c r="H419" s="367">
        <v>0</v>
      </c>
      <c r="I419" s="367">
        <v>0</v>
      </c>
      <c r="J419" s="367">
        <v>0</v>
      </c>
      <c r="K419" s="367">
        <v>0</v>
      </c>
      <c r="L419" s="367">
        <v>0</v>
      </c>
      <c r="M419" s="367">
        <v>0</v>
      </c>
      <c r="N419" s="367">
        <v>0</v>
      </c>
      <c r="O419" s="367">
        <v>0</v>
      </c>
      <c r="P419" s="367">
        <v>0</v>
      </c>
      <c r="Q419" s="367">
        <v>255009</v>
      </c>
      <c r="R419" s="367">
        <v>0</v>
      </c>
      <c r="S419" s="367">
        <v>0</v>
      </c>
      <c r="T419" s="367">
        <v>0</v>
      </c>
      <c r="U419" s="367">
        <v>0</v>
      </c>
      <c r="V419" s="367">
        <v>0</v>
      </c>
      <c r="W419" s="367">
        <v>0</v>
      </c>
      <c r="X419" s="367">
        <v>0</v>
      </c>
      <c r="Y419" s="367">
        <v>0</v>
      </c>
      <c r="Z419" s="367">
        <v>0</v>
      </c>
      <c r="AA419" s="367">
        <v>0</v>
      </c>
      <c r="AB419" s="367">
        <v>0</v>
      </c>
      <c r="AC419" s="373">
        <v>255009</v>
      </c>
      <c r="AD419" s="373">
        <v>255009</v>
      </c>
      <c r="AE419" s="444">
        <v>0</v>
      </c>
      <c r="AF419" s="344">
        <f t="shared" si="36"/>
        <v>4.3951603505801089E-4</v>
      </c>
    </row>
    <row r="420" spans="1:32">
      <c r="A420" s="428" t="s">
        <v>1055</v>
      </c>
      <c r="B420" s="366" t="s">
        <v>989</v>
      </c>
      <c r="C420" s="361">
        <f t="shared" si="37"/>
        <v>0</v>
      </c>
      <c r="D420" s="361">
        <f t="shared" si="38"/>
        <v>0</v>
      </c>
      <c r="E420" s="361">
        <f t="shared" si="39"/>
        <v>0</v>
      </c>
      <c r="F420" s="361">
        <f t="shared" si="40"/>
        <v>0</v>
      </c>
      <c r="G420" s="361">
        <f t="shared" si="41"/>
        <v>0</v>
      </c>
      <c r="H420" s="367">
        <v>0</v>
      </c>
      <c r="I420" s="367">
        <v>0</v>
      </c>
      <c r="J420" s="367">
        <v>0</v>
      </c>
      <c r="K420" s="367">
        <v>0</v>
      </c>
      <c r="L420" s="367">
        <v>0</v>
      </c>
      <c r="M420" s="367">
        <v>0</v>
      </c>
      <c r="N420" s="367">
        <v>0</v>
      </c>
      <c r="O420" s="367">
        <v>0</v>
      </c>
      <c r="P420" s="367">
        <v>0</v>
      </c>
      <c r="Q420" s="367">
        <v>0</v>
      </c>
      <c r="R420" s="367">
        <v>0</v>
      </c>
      <c r="S420" s="367">
        <v>0</v>
      </c>
      <c r="T420" s="367">
        <v>0</v>
      </c>
      <c r="U420" s="367">
        <v>0</v>
      </c>
      <c r="V420" s="367">
        <v>0</v>
      </c>
      <c r="W420" s="367">
        <v>0</v>
      </c>
      <c r="X420" s="367">
        <v>0</v>
      </c>
      <c r="Y420" s="367">
        <v>0</v>
      </c>
      <c r="Z420" s="367">
        <v>0</v>
      </c>
      <c r="AA420" s="367">
        <v>0</v>
      </c>
      <c r="AB420" s="367">
        <v>0</v>
      </c>
      <c r="AC420" s="373">
        <v>0</v>
      </c>
      <c r="AD420" s="373">
        <v>0</v>
      </c>
      <c r="AE420" s="444">
        <v>0</v>
      </c>
      <c r="AF420" s="344">
        <f t="shared" si="36"/>
        <v>0</v>
      </c>
    </row>
    <row r="421" spans="1:32" ht="25.5">
      <c r="A421" s="390" t="s">
        <v>1056</v>
      </c>
      <c r="B421" s="391" t="s">
        <v>996</v>
      </c>
      <c r="C421" s="361">
        <f t="shared" si="37"/>
        <v>881.72</v>
      </c>
      <c r="D421" s="361">
        <f t="shared" si="38"/>
        <v>153048.28</v>
      </c>
      <c r="E421" s="361">
        <f t="shared" si="39"/>
        <v>323561.09000000003</v>
      </c>
      <c r="F421" s="361">
        <f t="shared" si="40"/>
        <v>5100.38</v>
      </c>
      <c r="G421" s="361">
        <f t="shared" si="41"/>
        <v>16754.11</v>
      </c>
      <c r="H421" s="394">
        <v>0</v>
      </c>
      <c r="I421" s="394">
        <v>0</v>
      </c>
      <c r="J421" s="394">
        <v>0</v>
      </c>
      <c r="K421" s="394">
        <v>881.72</v>
      </c>
      <c r="L421" s="394">
        <v>0</v>
      </c>
      <c r="M421" s="394">
        <v>42861</v>
      </c>
      <c r="N421" s="394">
        <v>66486.89</v>
      </c>
      <c r="O421" s="394">
        <v>43700.39</v>
      </c>
      <c r="P421" s="394">
        <v>98302.52</v>
      </c>
      <c r="Q421" s="395">
        <v>127799.25</v>
      </c>
      <c r="R421" s="394">
        <v>97459.32</v>
      </c>
      <c r="S421" s="394">
        <v>0</v>
      </c>
      <c r="T421" s="394">
        <v>0</v>
      </c>
      <c r="U421" s="394">
        <v>5100.38</v>
      </c>
      <c r="V421" s="394">
        <v>0</v>
      </c>
      <c r="W421" s="394">
        <v>0</v>
      </c>
      <c r="X421" s="394">
        <v>16754.11</v>
      </c>
      <c r="Y421" s="394">
        <v>0</v>
      </c>
      <c r="Z421" s="394">
        <v>0</v>
      </c>
      <c r="AA421" s="392">
        <v>0</v>
      </c>
      <c r="AB421" s="394">
        <v>0</v>
      </c>
      <c r="AC421" s="373">
        <v>499345.58</v>
      </c>
      <c r="AD421" s="373">
        <v>499345.58</v>
      </c>
      <c r="AE421" s="444">
        <v>0</v>
      </c>
      <c r="AF421" s="344">
        <f t="shared" si="36"/>
        <v>8.6063781845088924E-4</v>
      </c>
    </row>
    <row r="422" spans="1:32" ht="26.25">
      <c r="A422" s="445" t="s">
        <v>1057</v>
      </c>
      <c r="B422" s="382" t="s">
        <v>996</v>
      </c>
      <c r="C422" s="361">
        <f t="shared" si="37"/>
        <v>881.72</v>
      </c>
      <c r="D422" s="361">
        <f t="shared" si="38"/>
        <v>153048.28</v>
      </c>
      <c r="E422" s="361">
        <f t="shared" si="39"/>
        <v>323561.09000000003</v>
      </c>
      <c r="F422" s="361">
        <f t="shared" si="40"/>
        <v>5100.38</v>
      </c>
      <c r="G422" s="361">
        <f t="shared" si="41"/>
        <v>16754.11</v>
      </c>
      <c r="H422" s="371">
        <v>0</v>
      </c>
      <c r="I422" s="371">
        <v>0</v>
      </c>
      <c r="J422" s="371">
        <v>0</v>
      </c>
      <c r="K422" s="371">
        <v>881.72</v>
      </c>
      <c r="L422" s="371">
        <v>0</v>
      </c>
      <c r="M422" s="371">
        <v>42861</v>
      </c>
      <c r="N422" s="371">
        <v>66486.89</v>
      </c>
      <c r="O422" s="371">
        <v>43700.39</v>
      </c>
      <c r="P422" s="371">
        <v>98302.52</v>
      </c>
      <c r="Q422" s="371">
        <v>127799.25</v>
      </c>
      <c r="R422" s="371">
        <v>97459.32</v>
      </c>
      <c r="S422" s="371">
        <v>0</v>
      </c>
      <c r="T422" s="371">
        <v>0</v>
      </c>
      <c r="U422" s="371">
        <v>5100.38</v>
      </c>
      <c r="V422" s="371">
        <v>0</v>
      </c>
      <c r="W422" s="371">
        <v>0</v>
      </c>
      <c r="X422" s="371">
        <v>16754.11</v>
      </c>
      <c r="Y422" s="371">
        <v>0</v>
      </c>
      <c r="Z422" s="371">
        <v>0</v>
      </c>
      <c r="AA422" s="367">
        <v>0</v>
      </c>
      <c r="AB422" s="371">
        <v>0</v>
      </c>
      <c r="AC422" s="373">
        <v>499345.58</v>
      </c>
      <c r="AD422" s="373">
        <v>499345.58</v>
      </c>
      <c r="AE422" s="444">
        <v>0</v>
      </c>
      <c r="AF422" s="344">
        <f t="shared" si="36"/>
        <v>8.6063781845088924E-4</v>
      </c>
    </row>
    <row r="423" spans="1:32">
      <c r="A423" s="393" t="s">
        <v>1058</v>
      </c>
      <c r="B423" s="391" t="s">
        <v>1059</v>
      </c>
      <c r="C423" s="361">
        <f t="shared" si="37"/>
        <v>0</v>
      </c>
      <c r="D423" s="361">
        <f t="shared" si="38"/>
        <v>707191.12666666671</v>
      </c>
      <c r="E423" s="361">
        <f t="shared" si="39"/>
        <v>1190094.8900000001</v>
      </c>
      <c r="F423" s="361">
        <f t="shared" si="40"/>
        <v>1205198.3500000001</v>
      </c>
      <c r="G423" s="361">
        <f t="shared" si="41"/>
        <v>2588.2399999999998</v>
      </c>
      <c r="H423" s="394">
        <v>0</v>
      </c>
      <c r="I423" s="394">
        <v>0</v>
      </c>
      <c r="J423" s="394">
        <v>0</v>
      </c>
      <c r="K423" s="394">
        <v>0</v>
      </c>
      <c r="L423" s="394">
        <v>0</v>
      </c>
      <c r="M423" s="394">
        <v>389219.62666666665</v>
      </c>
      <c r="N423" s="394">
        <v>49393.5</v>
      </c>
      <c r="O423" s="394">
        <v>268578</v>
      </c>
      <c r="P423" s="394">
        <v>0</v>
      </c>
      <c r="Q423" s="395">
        <v>401202.83999999997</v>
      </c>
      <c r="R423" s="394">
        <v>264887.15999999997</v>
      </c>
      <c r="S423" s="394">
        <v>524004.89</v>
      </c>
      <c r="T423" s="394">
        <v>525060.73</v>
      </c>
      <c r="U423" s="394">
        <v>612131</v>
      </c>
      <c r="V423" s="394">
        <v>68006.62</v>
      </c>
      <c r="W423" s="394">
        <v>0</v>
      </c>
      <c r="X423" s="394">
        <v>0</v>
      </c>
      <c r="Y423" s="394">
        <v>0</v>
      </c>
      <c r="Z423" s="394">
        <v>0</v>
      </c>
      <c r="AA423" s="392">
        <v>2588.2399999999998</v>
      </c>
      <c r="AB423" s="394">
        <v>945.57000000018206</v>
      </c>
      <c r="AC423" s="373">
        <v>3105072.6100000003</v>
      </c>
      <c r="AD423" s="373">
        <v>3162484.76</v>
      </c>
      <c r="AE423" s="444">
        <v>57412.15</v>
      </c>
      <c r="AF423" s="344">
        <f t="shared" si="36"/>
        <v>5.351690340789657E-3</v>
      </c>
    </row>
    <row r="424" spans="1:32" ht="25.5">
      <c r="A424" s="428" t="s">
        <v>1060</v>
      </c>
      <c r="B424" s="382" t="s">
        <v>1004</v>
      </c>
      <c r="C424" s="361">
        <f t="shared" si="37"/>
        <v>0</v>
      </c>
      <c r="D424" s="361">
        <f t="shared" si="38"/>
        <v>524170.08999999997</v>
      </c>
      <c r="E424" s="361">
        <f t="shared" si="39"/>
        <v>1051063.43</v>
      </c>
      <c r="F424" s="361">
        <f t="shared" si="40"/>
        <v>1116276.0699999998</v>
      </c>
      <c r="G424" s="361">
        <f t="shared" si="41"/>
        <v>0</v>
      </c>
      <c r="H424" s="371">
        <v>0</v>
      </c>
      <c r="I424" s="371">
        <v>0</v>
      </c>
      <c r="J424" s="371">
        <v>0</v>
      </c>
      <c r="K424" s="371">
        <v>0</v>
      </c>
      <c r="L424" s="371">
        <v>0</v>
      </c>
      <c r="M424" s="371">
        <v>257757</v>
      </c>
      <c r="N424" s="371">
        <v>-2164.91</v>
      </c>
      <c r="O424" s="371">
        <v>268578</v>
      </c>
      <c r="P424" s="371">
        <v>0</v>
      </c>
      <c r="Q424" s="403">
        <v>267999.76</v>
      </c>
      <c r="R424" s="371">
        <v>263008.67</v>
      </c>
      <c r="S424" s="371">
        <v>520055</v>
      </c>
      <c r="T424" s="371">
        <v>522494.32999999996</v>
      </c>
      <c r="U424" s="371">
        <v>525775.12</v>
      </c>
      <c r="V424" s="371">
        <v>68006.62</v>
      </c>
      <c r="W424" s="371">
        <v>0</v>
      </c>
      <c r="X424" s="371">
        <v>0</v>
      </c>
      <c r="Y424" s="371">
        <v>0</v>
      </c>
      <c r="Z424" s="371">
        <v>0</v>
      </c>
      <c r="AA424" s="367">
        <v>0</v>
      </c>
      <c r="AB424" s="371">
        <v>-0.62999999983003363</v>
      </c>
      <c r="AC424" s="373">
        <v>2691509.59</v>
      </c>
      <c r="AD424" s="373">
        <v>2691508.96</v>
      </c>
      <c r="AE424" s="444">
        <v>-0.63</v>
      </c>
      <c r="AF424" s="344">
        <f t="shared" si="36"/>
        <v>4.6389014635460418E-3</v>
      </c>
    </row>
    <row r="425" spans="1:32">
      <c r="A425" s="451" t="s">
        <v>1061</v>
      </c>
      <c r="B425" s="380" t="s">
        <v>1004</v>
      </c>
      <c r="C425" s="361">
        <f t="shared" si="37"/>
        <v>0</v>
      </c>
      <c r="D425" s="361">
        <f t="shared" si="38"/>
        <v>255592.09</v>
      </c>
      <c r="E425" s="361">
        <f t="shared" si="39"/>
        <v>0</v>
      </c>
      <c r="F425" s="361">
        <f t="shared" si="40"/>
        <v>0</v>
      </c>
      <c r="G425" s="361">
        <f t="shared" si="41"/>
        <v>0</v>
      </c>
      <c r="H425" s="403">
        <v>0</v>
      </c>
      <c r="I425" s="403">
        <v>0</v>
      </c>
      <c r="J425" s="403">
        <v>0</v>
      </c>
      <c r="K425" s="403">
        <v>0</v>
      </c>
      <c r="L425" s="403">
        <v>0</v>
      </c>
      <c r="M425" s="403">
        <v>257757</v>
      </c>
      <c r="N425" s="403">
        <v>-2164.91</v>
      </c>
      <c r="O425" s="403">
        <v>0</v>
      </c>
      <c r="P425" s="403">
        <v>0</v>
      </c>
      <c r="Q425" s="403">
        <v>0</v>
      </c>
      <c r="R425" s="403">
        <v>0</v>
      </c>
      <c r="S425" s="403">
        <v>0</v>
      </c>
      <c r="T425" s="403">
        <v>0</v>
      </c>
      <c r="U425" s="403">
        <v>0</v>
      </c>
      <c r="V425" s="403">
        <v>0</v>
      </c>
      <c r="W425" s="403">
        <v>0</v>
      </c>
      <c r="X425" s="403">
        <v>0</v>
      </c>
      <c r="Y425" s="403">
        <v>0</v>
      </c>
      <c r="Z425" s="403">
        <v>0</v>
      </c>
      <c r="AA425" s="367">
        <v>0</v>
      </c>
      <c r="AB425" s="403">
        <v>0</v>
      </c>
      <c r="AC425" s="398">
        <v>255592.09</v>
      </c>
      <c r="AD425" s="398">
        <v>255592.09</v>
      </c>
      <c r="AE425" s="453">
        <v>0</v>
      </c>
      <c r="AF425" s="344">
        <f t="shared" si="36"/>
        <v>4.4052100901925142E-4</v>
      </c>
    </row>
    <row r="426" spans="1:32">
      <c r="A426" s="451" t="s">
        <v>1062</v>
      </c>
      <c r="B426" s="380" t="s">
        <v>1004</v>
      </c>
      <c r="C426" s="361">
        <f t="shared" si="37"/>
        <v>0</v>
      </c>
      <c r="D426" s="361">
        <f t="shared" si="38"/>
        <v>268578</v>
      </c>
      <c r="E426" s="361">
        <f t="shared" si="39"/>
        <v>0</v>
      </c>
      <c r="F426" s="361">
        <f t="shared" si="40"/>
        <v>262555.75</v>
      </c>
      <c r="G426" s="361">
        <f t="shared" si="41"/>
        <v>0</v>
      </c>
      <c r="H426" s="403">
        <v>0</v>
      </c>
      <c r="I426" s="403">
        <v>0</v>
      </c>
      <c r="J426" s="403">
        <v>0</v>
      </c>
      <c r="K426" s="403">
        <v>0</v>
      </c>
      <c r="L426" s="403">
        <v>0</v>
      </c>
      <c r="M426" s="403">
        <v>0</v>
      </c>
      <c r="N426" s="403">
        <v>0</v>
      </c>
      <c r="O426" s="403">
        <v>268578</v>
      </c>
      <c r="P426" s="403">
        <v>0</v>
      </c>
      <c r="Q426" s="403">
        <v>0</v>
      </c>
      <c r="R426" s="403">
        <v>0</v>
      </c>
      <c r="S426" s="403">
        <v>0</v>
      </c>
      <c r="T426" s="403">
        <v>262555.75</v>
      </c>
      <c r="U426" s="403">
        <v>0</v>
      </c>
      <c r="V426" s="403">
        <v>0</v>
      </c>
      <c r="W426" s="403">
        <v>0</v>
      </c>
      <c r="X426" s="403">
        <v>0</v>
      </c>
      <c r="Y426" s="403">
        <v>0</v>
      </c>
      <c r="Z426" s="403">
        <v>0</v>
      </c>
      <c r="AA426" s="367">
        <v>0</v>
      </c>
      <c r="AB426" s="403">
        <v>0</v>
      </c>
      <c r="AC426" s="398">
        <v>531133.75</v>
      </c>
      <c r="AD426" s="398">
        <v>531133.75</v>
      </c>
      <c r="AE426" s="453">
        <v>0</v>
      </c>
      <c r="AF426" s="344">
        <f t="shared" si="36"/>
        <v>9.1542572962323996E-4</v>
      </c>
    </row>
    <row r="427" spans="1:32" ht="25.5">
      <c r="A427" s="451" t="s">
        <v>1063</v>
      </c>
      <c r="B427" s="380" t="s">
        <v>1004</v>
      </c>
      <c r="C427" s="361">
        <f t="shared" si="37"/>
        <v>0</v>
      </c>
      <c r="D427" s="361">
        <f t="shared" si="38"/>
        <v>0</v>
      </c>
      <c r="E427" s="361">
        <f t="shared" si="39"/>
        <v>1051063.43</v>
      </c>
      <c r="F427" s="361">
        <f t="shared" si="40"/>
        <v>591031.97</v>
      </c>
      <c r="G427" s="361">
        <f t="shared" si="41"/>
        <v>0</v>
      </c>
      <c r="H427" s="403">
        <v>0</v>
      </c>
      <c r="I427" s="403">
        <v>0</v>
      </c>
      <c r="J427" s="403">
        <v>0</v>
      </c>
      <c r="K427" s="403">
        <v>0</v>
      </c>
      <c r="L427" s="403">
        <v>0</v>
      </c>
      <c r="M427" s="403">
        <v>0</v>
      </c>
      <c r="N427" s="403">
        <v>0</v>
      </c>
      <c r="O427" s="403">
        <v>0</v>
      </c>
      <c r="P427" s="403">
        <v>0</v>
      </c>
      <c r="Q427" s="403">
        <v>267999.76</v>
      </c>
      <c r="R427" s="403">
        <v>263008.67</v>
      </c>
      <c r="S427" s="403">
        <v>520055</v>
      </c>
      <c r="T427" s="403">
        <v>259938.35</v>
      </c>
      <c r="U427" s="403">
        <v>263087</v>
      </c>
      <c r="V427" s="403">
        <v>68006.62</v>
      </c>
      <c r="W427" s="403">
        <v>0</v>
      </c>
      <c r="X427" s="403">
        <v>0</v>
      </c>
      <c r="Y427" s="403">
        <v>0</v>
      </c>
      <c r="Z427" s="403">
        <v>0</v>
      </c>
      <c r="AA427" s="367">
        <v>0</v>
      </c>
      <c r="AB427" s="403">
        <v>-0.85999999986961484</v>
      </c>
      <c r="AC427" s="398">
        <v>1642095.4</v>
      </c>
      <c r="AD427" s="398">
        <v>1642094.54</v>
      </c>
      <c r="AE427" s="453">
        <v>-0.86</v>
      </c>
      <c r="AF427" s="344">
        <f t="shared" si="36"/>
        <v>2.830203088498831E-3</v>
      </c>
    </row>
    <row r="428" spans="1:32">
      <c r="A428" s="451" t="s">
        <v>1064</v>
      </c>
      <c r="B428" s="380" t="s">
        <v>1004</v>
      </c>
      <c r="C428" s="361">
        <f t="shared" si="37"/>
        <v>0</v>
      </c>
      <c r="D428" s="361">
        <f t="shared" si="38"/>
        <v>0</v>
      </c>
      <c r="E428" s="361">
        <f t="shared" si="39"/>
        <v>0</v>
      </c>
      <c r="F428" s="361">
        <f t="shared" si="40"/>
        <v>262688.34999999998</v>
      </c>
      <c r="G428" s="361">
        <f t="shared" si="41"/>
        <v>0</v>
      </c>
      <c r="H428" s="403">
        <v>0</v>
      </c>
      <c r="I428" s="403">
        <v>0</v>
      </c>
      <c r="J428" s="403">
        <v>0</v>
      </c>
      <c r="K428" s="403">
        <v>0</v>
      </c>
      <c r="L428" s="403">
        <v>0</v>
      </c>
      <c r="M428" s="403">
        <v>0</v>
      </c>
      <c r="N428" s="403">
        <v>0</v>
      </c>
      <c r="O428" s="403">
        <v>0</v>
      </c>
      <c r="P428" s="403">
        <v>0</v>
      </c>
      <c r="Q428" s="403">
        <v>0</v>
      </c>
      <c r="R428" s="403">
        <v>0</v>
      </c>
      <c r="S428" s="403">
        <v>0</v>
      </c>
      <c r="T428" s="403">
        <v>0.22999999999956344</v>
      </c>
      <c r="U428" s="403">
        <v>262688.12</v>
      </c>
      <c r="V428" s="403">
        <v>0</v>
      </c>
      <c r="W428" s="403">
        <v>0</v>
      </c>
      <c r="X428" s="403">
        <v>0</v>
      </c>
      <c r="Y428" s="403">
        <v>0</v>
      </c>
      <c r="Z428" s="403">
        <v>0</v>
      </c>
      <c r="AA428" s="367">
        <v>0</v>
      </c>
      <c r="AB428" s="403">
        <v>0.23000000003958121</v>
      </c>
      <c r="AC428" s="398">
        <v>262688.34999999998</v>
      </c>
      <c r="AD428" s="398">
        <v>262688.58</v>
      </c>
      <c r="AE428" s="453">
        <v>0.23</v>
      </c>
      <c r="AF428" s="344">
        <f t="shared" si="36"/>
        <v>4.5275163640471917E-4</v>
      </c>
    </row>
    <row r="429" spans="1:32">
      <c r="A429" s="428" t="s">
        <v>1065</v>
      </c>
      <c r="B429" s="382" t="s">
        <v>1010</v>
      </c>
      <c r="C429" s="361">
        <f t="shared" si="37"/>
        <v>0</v>
      </c>
      <c r="D429" s="361">
        <f t="shared" si="38"/>
        <v>183021.03666666665</v>
      </c>
      <c r="E429" s="361">
        <f t="shared" si="39"/>
        <v>0</v>
      </c>
      <c r="F429" s="361">
        <f t="shared" si="40"/>
        <v>86355.88</v>
      </c>
      <c r="G429" s="361">
        <f t="shared" si="41"/>
        <v>0</v>
      </c>
      <c r="H429" s="371">
        <v>0</v>
      </c>
      <c r="I429" s="371">
        <v>0</v>
      </c>
      <c r="J429" s="371">
        <v>0</v>
      </c>
      <c r="K429" s="371">
        <v>0</v>
      </c>
      <c r="L429" s="371">
        <v>0</v>
      </c>
      <c r="M429" s="371">
        <v>131462.62666666665</v>
      </c>
      <c r="N429" s="371">
        <v>51558.41</v>
      </c>
      <c r="O429" s="371">
        <v>0</v>
      </c>
      <c r="P429" s="371">
        <v>0</v>
      </c>
      <c r="Q429" s="371">
        <v>0</v>
      </c>
      <c r="R429" s="371">
        <v>0</v>
      </c>
      <c r="S429" s="371">
        <v>0</v>
      </c>
      <c r="T429" s="371">
        <v>0</v>
      </c>
      <c r="U429" s="371">
        <v>86355.88</v>
      </c>
      <c r="V429" s="371">
        <v>0</v>
      </c>
      <c r="W429" s="371">
        <v>0</v>
      </c>
      <c r="X429" s="371">
        <v>0</v>
      </c>
      <c r="Y429" s="371">
        <v>0</v>
      </c>
      <c r="Z429" s="371">
        <v>0</v>
      </c>
      <c r="AA429" s="367">
        <v>0</v>
      </c>
      <c r="AB429" s="371">
        <v>0.70000000001164153</v>
      </c>
      <c r="AC429" s="373">
        <v>269376.92</v>
      </c>
      <c r="AD429" s="373">
        <v>269377.62</v>
      </c>
      <c r="AE429" s="444">
        <v>0.7</v>
      </c>
      <c r="AF429" s="344">
        <f t="shared" si="36"/>
        <v>4.6427959724770106E-4</v>
      </c>
    </row>
    <row r="430" spans="1:32">
      <c r="A430" s="428" t="s">
        <v>1066</v>
      </c>
      <c r="B430" s="382" t="s">
        <v>1012</v>
      </c>
      <c r="C430" s="361">
        <f t="shared" si="37"/>
        <v>0</v>
      </c>
      <c r="D430" s="361">
        <f t="shared" si="38"/>
        <v>0</v>
      </c>
      <c r="E430" s="361">
        <f t="shared" si="39"/>
        <v>135081.56999999998</v>
      </c>
      <c r="F430" s="361">
        <f t="shared" si="40"/>
        <v>0</v>
      </c>
      <c r="G430" s="361">
        <f t="shared" si="41"/>
        <v>0</v>
      </c>
      <c r="H430" s="371">
        <v>0</v>
      </c>
      <c r="I430" s="371">
        <v>0</v>
      </c>
      <c r="J430" s="371">
        <v>0</v>
      </c>
      <c r="K430" s="371">
        <v>0</v>
      </c>
      <c r="L430" s="371">
        <v>0</v>
      </c>
      <c r="M430" s="371">
        <v>0</v>
      </c>
      <c r="N430" s="371">
        <v>0</v>
      </c>
      <c r="O430" s="371">
        <v>0</v>
      </c>
      <c r="P430" s="371">
        <v>0</v>
      </c>
      <c r="Q430" s="371">
        <v>133203.07999999999</v>
      </c>
      <c r="R430" s="371">
        <v>1878.49</v>
      </c>
      <c r="S430" s="371">
        <v>0</v>
      </c>
      <c r="T430" s="371">
        <v>0</v>
      </c>
      <c r="U430" s="371">
        <v>0</v>
      </c>
      <c r="V430" s="371">
        <v>0</v>
      </c>
      <c r="W430" s="371">
        <v>0</v>
      </c>
      <c r="X430" s="371">
        <v>0</v>
      </c>
      <c r="Y430" s="371">
        <v>0</v>
      </c>
      <c r="Z430" s="371">
        <v>0</v>
      </c>
      <c r="AA430" s="367">
        <v>0</v>
      </c>
      <c r="AB430" s="371">
        <v>0</v>
      </c>
      <c r="AC430" s="373">
        <v>135081.57</v>
      </c>
      <c r="AD430" s="373">
        <v>135081.57</v>
      </c>
      <c r="AE430" s="444">
        <v>0</v>
      </c>
      <c r="AF430" s="344">
        <f t="shared" si="36"/>
        <v>2.3281733607759397E-4</v>
      </c>
    </row>
    <row r="431" spans="1:32">
      <c r="A431" s="428" t="s">
        <v>1015</v>
      </c>
      <c r="B431" s="382" t="s">
        <v>1016</v>
      </c>
      <c r="C431" s="361">
        <f t="shared" si="37"/>
        <v>0</v>
      </c>
      <c r="D431" s="361">
        <f t="shared" si="38"/>
        <v>0</v>
      </c>
      <c r="E431" s="361">
        <f t="shared" si="39"/>
        <v>3949.89</v>
      </c>
      <c r="F431" s="361">
        <f t="shared" si="40"/>
        <v>2566.4</v>
      </c>
      <c r="G431" s="361">
        <f t="shared" si="41"/>
        <v>0</v>
      </c>
      <c r="H431" s="371"/>
      <c r="I431" s="371"/>
      <c r="J431" s="371"/>
      <c r="K431" s="371"/>
      <c r="L431" s="371"/>
      <c r="M431" s="371"/>
      <c r="N431" s="371"/>
      <c r="O431" s="371"/>
      <c r="P431" s="371"/>
      <c r="Q431" s="371">
        <v>0</v>
      </c>
      <c r="R431" s="371">
        <v>0</v>
      </c>
      <c r="S431" s="371">
        <v>3949.89</v>
      </c>
      <c r="T431" s="371">
        <v>2566.4</v>
      </c>
      <c r="U431" s="371">
        <v>0</v>
      </c>
      <c r="V431" s="371">
        <v>0</v>
      </c>
      <c r="W431" s="371">
        <v>0</v>
      </c>
      <c r="X431" s="371">
        <v>0</v>
      </c>
      <c r="Y431" s="371">
        <v>0</v>
      </c>
      <c r="Z431" s="371">
        <v>0</v>
      </c>
      <c r="AA431" s="367">
        <v>0</v>
      </c>
      <c r="AB431" s="371">
        <v>-0.31999999999970896</v>
      </c>
      <c r="AC431" s="373">
        <v>6516.29</v>
      </c>
      <c r="AD431" s="373">
        <v>6516.29</v>
      </c>
      <c r="AE431" s="444">
        <v>0</v>
      </c>
      <c r="AF431" s="344">
        <f t="shared" si="36"/>
        <v>1.1231030842394449E-5</v>
      </c>
    </row>
    <row r="432" spans="1:32" ht="25.5">
      <c r="A432" s="428" t="s">
        <v>1042</v>
      </c>
      <c r="B432" s="382" t="s">
        <v>1067</v>
      </c>
      <c r="C432" s="361">
        <f t="shared" si="37"/>
        <v>0</v>
      </c>
      <c r="D432" s="361">
        <f t="shared" si="38"/>
        <v>0</v>
      </c>
      <c r="E432" s="361">
        <f t="shared" si="39"/>
        <v>0</v>
      </c>
      <c r="F432" s="361">
        <f t="shared" si="40"/>
        <v>0</v>
      </c>
      <c r="G432" s="361">
        <f t="shared" si="41"/>
        <v>2588.2399999999998</v>
      </c>
      <c r="H432" s="371"/>
      <c r="I432" s="371"/>
      <c r="J432" s="371"/>
      <c r="K432" s="371"/>
      <c r="L432" s="371"/>
      <c r="M432" s="371"/>
      <c r="N432" s="371"/>
      <c r="O432" s="371"/>
      <c r="P432" s="371"/>
      <c r="Q432" s="371">
        <v>0</v>
      </c>
      <c r="R432" s="371">
        <v>0</v>
      </c>
      <c r="S432" s="371">
        <v>0</v>
      </c>
      <c r="T432" s="371">
        <v>0</v>
      </c>
      <c r="U432" s="371">
        <v>0</v>
      </c>
      <c r="V432" s="371">
        <v>0</v>
      </c>
      <c r="W432" s="371">
        <v>0</v>
      </c>
      <c r="X432" s="371">
        <v>0</v>
      </c>
      <c r="Y432" s="371">
        <v>0</v>
      </c>
      <c r="Z432" s="371">
        <v>0</v>
      </c>
      <c r="AA432" s="367">
        <v>2588.2399999999998</v>
      </c>
      <c r="AB432" s="371">
        <v>945.82000000000016</v>
      </c>
      <c r="AC432" s="373">
        <v>2588.2399999999998</v>
      </c>
      <c r="AD432" s="373">
        <v>60000.32</v>
      </c>
      <c r="AE432" s="444">
        <v>57412.08</v>
      </c>
      <c r="AF432" s="344">
        <f t="shared" si="36"/>
        <v>4.4609130759249524E-6</v>
      </c>
    </row>
    <row r="433" spans="1:32">
      <c r="A433" s="390" t="s">
        <v>1068</v>
      </c>
      <c r="B433" s="391" t="s">
        <v>1069</v>
      </c>
      <c r="C433" s="361">
        <f t="shared" si="37"/>
        <v>46580.179999999993</v>
      </c>
      <c r="D433" s="361">
        <f t="shared" si="38"/>
        <v>48723.330033333914</v>
      </c>
      <c r="E433" s="361">
        <f t="shared" si="39"/>
        <v>45244.160000000003</v>
      </c>
      <c r="F433" s="361">
        <f t="shared" si="40"/>
        <v>49398.679999999993</v>
      </c>
      <c r="G433" s="361">
        <f t="shared" si="41"/>
        <v>13178.27</v>
      </c>
      <c r="H433" s="394">
        <v>0</v>
      </c>
      <c r="I433" s="394">
        <v>0</v>
      </c>
      <c r="J433" s="394">
        <v>16179.14</v>
      </c>
      <c r="K433" s="394">
        <v>30401.039999999997</v>
      </c>
      <c r="L433" s="394">
        <v>8568.44</v>
      </c>
      <c r="M433" s="394">
        <v>16074.640033333912</v>
      </c>
      <c r="N433" s="394">
        <v>8371.32</v>
      </c>
      <c r="O433" s="394">
        <v>15708.93</v>
      </c>
      <c r="P433" s="394">
        <v>12243.14</v>
      </c>
      <c r="Q433" s="395">
        <v>8057.58</v>
      </c>
      <c r="R433" s="394">
        <v>13507.64</v>
      </c>
      <c r="S433" s="394">
        <v>11435.800000000001</v>
      </c>
      <c r="T433" s="394">
        <v>17546.669999999998</v>
      </c>
      <c r="U433" s="394">
        <v>8573.4599999999991</v>
      </c>
      <c r="V433" s="394">
        <v>11831.57</v>
      </c>
      <c r="W433" s="394">
        <v>11446.98</v>
      </c>
      <c r="X433" s="394">
        <v>4056.39</v>
      </c>
      <c r="Y433" s="394">
        <v>6594.4400000000005</v>
      </c>
      <c r="Z433" s="394">
        <v>2317.3200000000002</v>
      </c>
      <c r="AA433" s="392">
        <v>210.12</v>
      </c>
      <c r="AB433" s="394">
        <v>-804.28000000000759</v>
      </c>
      <c r="AC433" s="373">
        <v>202235.36</v>
      </c>
      <c r="AD433" s="373">
        <v>210279.73</v>
      </c>
      <c r="AE433" s="444">
        <v>8044.37</v>
      </c>
      <c r="AF433" s="344">
        <f t="shared" si="36"/>
        <v>3.4855900605754874E-4</v>
      </c>
    </row>
    <row r="434" spans="1:32">
      <c r="A434" s="428" t="s">
        <v>1070</v>
      </c>
      <c r="B434" s="382" t="s">
        <v>1071</v>
      </c>
      <c r="C434" s="361">
        <f t="shared" si="37"/>
        <v>46580.179999999993</v>
      </c>
      <c r="D434" s="361">
        <f t="shared" si="38"/>
        <v>47664.820033333912</v>
      </c>
      <c r="E434" s="361">
        <f t="shared" si="39"/>
        <v>44246.68</v>
      </c>
      <c r="F434" s="361">
        <f t="shared" si="40"/>
        <v>47616.569999999992</v>
      </c>
      <c r="G434" s="361">
        <f t="shared" si="41"/>
        <v>13037.76</v>
      </c>
      <c r="H434" s="371">
        <v>0</v>
      </c>
      <c r="I434" s="371">
        <v>0</v>
      </c>
      <c r="J434" s="371">
        <v>16179.14</v>
      </c>
      <c r="K434" s="371">
        <v>30401.039999999997</v>
      </c>
      <c r="L434" s="371">
        <v>8568.44</v>
      </c>
      <c r="M434" s="371">
        <v>15626.640033333912</v>
      </c>
      <c r="N434" s="371">
        <v>7998</v>
      </c>
      <c r="O434" s="371">
        <v>15471.74</v>
      </c>
      <c r="P434" s="371">
        <v>11361.42</v>
      </c>
      <c r="Q434" s="371">
        <v>8057.58</v>
      </c>
      <c r="R434" s="371">
        <v>13417.49</v>
      </c>
      <c r="S434" s="371">
        <v>11410.19</v>
      </c>
      <c r="T434" s="371">
        <v>16251.689999999999</v>
      </c>
      <c r="U434" s="371">
        <v>8086.33</v>
      </c>
      <c r="V434" s="371">
        <v>11831.57</v>
      </c>
      <c r="W434" s="371">
        <v>11446.98</v>
      </c>
      <c r="X434" s="371">
        <v>4056.39</v>
      </c>
      <c r="Y434" s="371">
        <v>6453.93</v>
      </c>
      <c r="Z434" s="372">
        <v>2317.3200000000002</v>
      </c>
      <c r="AA434" s="367">
        <v>210.12</v>
      </c>
      <c r="AB434" s="371">
        <v>-804.77000000000737</v>
      </c>
      <c r="AC434" s="373">
        <v>198258.02000000002</v>
      </c>
      <c r="AD434" s="373">
        <v>203942.81</v>
      </c>
      <c r="AE434" s="444">
        <v>5684.79</v>
      </c>
      <c r="AF434" s="344">
        <f t="shared" si="36"/>
        <v>3.4170393542522752E-4</v>
      </c>
    </row>
    <row r="435" spans="1:32">
      <c r="A435" s="428" t="s">
        <v>1072</v>
      </c>
      <c r="B435" s="382" t="s">
        <v>1071</v>
      </c>
      <c r="C435" s="361">
        <f t="shared" si="37"/>
        <v>0</v>
      </c>
      <c r="D435" s="361">
        <f t="shared" si="38"/>
        <v>1058.51</v>
      </c>
      <c r="E435" s="361">
        <f t="shared" si="39"/>
        <v>997.48</v>
      </c>
      <c r="F435" s="361">
        <f t="shared" si="40"/>
        <v>1782.1100000000001</v>
      </c>
      <c r="G435" s="361">
        <f t="shared" si="41"/>
        <v>140.51</v>
      </c>
      <c r="H435" s="371">
        <v>0</v>
      </c>
      <c r="I435" s="371">
        <v>0</v>
      </c>
      <c r="J435" s="371">
        <v>0</v>
      </c>
      <c r="K435" s="371">
        <v>0</v>
      </c>
      <c r="L435" s="371">
        <v>0</v>
      </c>
      <c r="M435" s="371">
        <v>448</v>
      </c>
      <c r="N435" s="371">
        <v>373.32000000000005</v>
      </c>
      <c r="O435" s="371">
        <v>237.19</v>
      </c>
      <c r="P435" s="371">
        <v>881.72</v>
      </c>
      <c r="Q435" s="371">
        <v>0</v>
      </c>
      <c r="R435" s="371">
        <v>90.15</v>
      </c>
      <c r="S435" s="371">
        <v>25.61</v>
      </c>
      <c r="T435" s="371">
        <v>1294.98</v>
      </c>
      <c r="U435" s="371">
        <v>487.13</v>
      </c>
      <c r="V435" s="371">
        <v>0</v>
      </c>
      <c r="W435" s="371">
        <v>0</v>
      </c>
      <c r="X435" s="371">
        <v>0</v>
      </c>
      <c r="Y435" s="371">
        <v>140.51</v>
      </c>
      <c r="Z435" s="372">
        <v>0</v>
      </c>
      <c r="AA435" s="367">
        <v>0</v>
      </c>
      <c r="AB435" s="371">
        <v>0.48999999999979993</v>
      </c>
      <c r="AC435" s="373">
        <v>3977.34</v>
      </c>
      <c r="AD435" s="373">
        <v>6337.32</v>
      </c>
      <c r="AE435" s="444">
        <v>2359.98</v>
      </c>
      <c r="AF435" s="344">
        <f t="shared" si="36"/>
        <v>6.855070632321327E-6</v>
      </c>
    </row>
    <row r="436" spans="1:32">
      <c r="A436" s="428" t="s">
        <v>1073</v>
      </c>
      <c r="B436" s="382" t="s">
        <v>1074</v>
      </c>
      <c r="C436" s="361">
        <f t="shared" si="37"/>
        <v>0</v>
      </c>
      <c r="D436" s="361">
        <f t="shared" si="38"/>
        <v>0</v>
      </c>
      <c r="E436" s="361">
        <f t="shared" si="39"/>
        <v>0</v>
      </c>
      <c r="F436" s="361">
        <f t="shared" si="40"/>
        <v>0</v>
      </c>
      <c r="G436" s="361">
        <f t="shared" si="41"/>
        <v>0</v>
      </c>
      <c r="H436" s="371">
        <v>0</v>
      </c>
      <c r="I436" s="371">
        <v>0</v>
      </c>
      <c r="J436" s="371">
        <v>0</v>
      </c>
      <c r="K436" s="371">
        <v>0</v>
      </c>
      <c r="L436" s="371">
        <v>0</v>
      </c>
      <c r="M436" s="371">
        <v>0</v>
      </c>
      <c r="N436" s="371">
        <v>0</v>
      </c>
      <c r="O436" s="371">
        <v>0</v>
      </c>
      <c r="P436" s="371">
        <v>0</v>
      </c>
      <c r="Q436" s="371">
        <v>0</v>
      </c>
      <c r="R436" s="371">
        <v>0</v>
      </c>
      <c r="S436" s="371">
        <v>0</v>
      </c>
      <c r="T436" s="371">
        <v>0</v>
      </c>
      <c r="U436" s="371">
        <v>0</v>
      </c>
      <c r="V436" s="371">
        <v>0</v>
      </c>
      <c r="W436" s="371">
        <v>0</v>
      </c>
      <c r="X436" s="371">
        <v>0</v>
      </c>
      <c r="Y436" s="371">
        <v>0</v>
      </c>
      <c r="Z436" s="371">
        <v>0</v>
      </c>
      <c r="AA436" s="367">
        <v>0</v>
      </c>
      <c r="AB436" s="371">
        <v>0</v>
      </c>
      <c r="AC436" s="373">
        <v>0</v>
      </c>
      <c r="AD436" s="373">
        <v>-0.4</v>
      </c>
      <c r="AE436" s="444">
        <v>-0.4</v>
      </c>
      <c r="AF436" s="344">
        <f t="shared" si="36"/>
        <v>0</v>
      </c>
    </row>
    <row r="437" spans="1:32">
      <c r="A437" s="384" t="s">
        <v>535</v>
      </c>
      <c r="B437" s="385">
        <v>0</v>
      </c>
      <c r="C437" s="361">
        <f t="shared" si="37"/>
        <v>0</v>
      </c>
      <c r="D437" s="361">
        <f t="shared" si="38"/>
        <v>0</v>
      </c>
      <c r="E437" s="361">
        <f t="shared" si="39"/>
        <v>0</v>
      </c>
      <c r="F437" s="361">
        <f t="shared" si="40"/>
        <v>0</v>
      </c>
      <c r="G437" s="361">
        <f t="shared" si="41"/>
        <v>0</v>
      </c>
      <c r="H437" s="386">
        <v>0</v>
      </c>
      <c r="I437" s="386">
        <v>0</v>
      </c>
      <c r="J437" s="386">
        <v>0</v>
      </c>
      <c r="K437" s="386">
        <v>0</v>
      </c>
      <c r="L437" s="386">
        <v>0</v>
      </c>
      <c r="M437" s="386">
        <v>0</v>
      </c>
      <c r="N437" s="386">
        <v>0</v>
      </c>
      <c r="O437" s="386">
        <v>0</v>
      </c>
      <c r="P437" s="386">
        <v>0</v>
      </c>
      <c r="Q437" s="386">
        <v>0</v>
      </c>
      <c r="R437" s="386">
        <v>0</v>
      </c>
      <c r="S437" s="386">
        <v>0</v>
      </c>
      <c r="T437" s="386">
        <v>0</v>
      </c>
      <c r="U437" s="386">
        <v>0</v>
      </c>
      <c r="V437" s="386">
        <v>0</v>
      </c>
      <c r="W437" s="386">
        <v>0</v>
      </c>
      <c r="X437" s="386">
        <v>0</v>
      </c>
      <c r="Y437" s="386">
        <v>0</v>
      </c>
      <c r="Z437" s="386">
        <v>0</v>
      </c>
      <c r="AA437" s="387">
        <v>0</v>
      </c>
      <c r="AB437" s="386"/>
      <c r="AC437" s="373">
        <v>0</v>
      </c>
      <c r="AD437" s="373">
        <v>0</v>
      </c>
      <c r="AE437" s="369">
        <v>0</v>
      </c>
      <c r="AF437" s="344">
        <f t="shared" si="36"/>
        <v>0</v>
      </c>
    </row>
    <row r="438" spans="1:32" ht="25.5">
      <c r="A438" s="384" t="s">
        <v>536</v>
      </c>
      <c r="B438" s="385">
        <v>0</v>
      </c>
      <c r="C438" s="361">
        <f t="shared" si="37"/>
        <v>0</v>
      </c>
      <c r="D438" s="361">
        <f t="shared" si="38"/>
        <v>0</v>
      </c>
      <c r="E438" s="361">
        <f t="shared" si="39"/>
        <v>0</v>
      </c>
      <c r="F438" s="361">
        <f t="shared" si="40"/>
        <v>0</v>
      </c>
      <c r="G438" s="361">
        <f t="shared" si="41"/>
        <v>0</v>
      </c>
      <c r="H438" s="386">
        <v>0</v>
      </c>
      <c r="I438" s="386">
        <v>0</v>
      </c>
      <c r="J438" s="386">
        <v>0</v>
      </c>
      <c r="K438" s="386">
        <v>0</v>
      </c>
      <c r="L438" s="386">
        <v>0</v>
      </c>
      <c r="M438" s="386">
        <v>0</v>
      </c>
      <c r="N438" s="386">
        <v>0</v>
      </c>
      <c r="O438" s="386">
        <v>0</v>
      </c>
      <c r="P438" s="386">
        <v>0</v>
      </c>
      <c r="Q438" s="386">
        <v>0</v>
      </c>
      <c r="R438" s="386">
        <v>0</v>
      </c>
      <c r="S438" s="386">
        <v>0</v>
      </c>
      <c r="T438" s="386">
        <v>0</v>
      </c>
      <c r="U438" s="386">
        <v>0</v>
      </c>
      <c r="V438" s="386">
        <v>0</v>
      </c>
      <c r="W438" s="386">
        <v>0</v>
      </c>
      <c r="X438" s="386">
        <v>0</v>
      </c>
      <c r="Y438" s="386">
        <v>0</v>
      </c>
      <c r="Z438" s="386">
        <v>0</v>
      </c>
      <c r="AA438" s="387">
        <v>0</v>
      </c>
      <c r="AB438" s="386">
        <v>0</v>
      </c>
      <c r="AC438" s="373">
        <v>0</v>
      </c>
      <c r="AD438" s="373">
        <v>0</v>
      </c>
      <c r="AE438" s="369">
        <v>0</v>
      </c>
      <c r="AF438" s="344">
        <f t="shared" si="36"/>
        <v>0</v>
      </c>
    </row>
    <row r="439" spans="1:32">
      <c r="A439" s="384" t="s">
        <v>537</v>
      </c>
      <c r="B439" s="385"/>
      <c r="C439" s="361">
        <f t="shared" si="37"/>
        <v>0</v>
      </c>
      <c r="D439" s="361">
        <f t="shared" si="38"/>
        <v>0</v>
      </c>
      <c r="E439" s="361">
        <f t="shared" si="39"/>
        <v>0</v>
      </c>
      <c r="F439" s="361">
        <f t="shared" si="40"/>
        <v>0</v>
      </c>
      <c r="G439" s="361">
        <f t="shared" si="41"/>
        <v>0</v>
      </c>
      <c r="H439" s="386">
        <v>0</v>
      </c>
      <c r="I439" s="386">
        <v>0</v>
      </c>
      <c r="J439" s="386">
        <v>0</v>
      </c>
      <c r="K439" s="386">
        <v>0</v>
      </c>
      <c r="L439" s="386">
        <v>0</v>
      </c>
      <c r="M439" s="386">
        <v>0</v>
      </c>
      <c r="N439" s="386">
        <v>0</v>
      </c>
      <c r="O439" s="386">
        <v>0</v>
      </c>
      <c r="P439" s="386">
        <v>0</v>
      </c>
      <c r="Q439" s="386">
        <v>0</v>
      </c>
      <c r="R439" s="386">
        <v>0</v>
      </c>
      <c r="S439" s="386">
        <v>0</v>
      </c>
      <c r="T439" s="386">
        <v>0</v>
      </c>
      <c r="U439" s="386">
        <v>0</v>
      </c>
      <c r="V439" s="386">
        <v>0</v>
      </c>
      <c r="W439" s="386">
        <v>0</v>
      </c>
      <c r="X439" s="386">
        <v>0</v>
      </c>
      <c r="Y439" s="386">
        <v>0</v>
      </c>
      <c r="Z439" s="386">
        <v>0</v>
      </c>
      <c r="AA439" s="387">
        <v>0</v>
      </c>
      <c r="AB439" s="386"/>
      <c r="AC439" s="373">
        <v>0</v>
      </c>
      <c r="AD439" s="373">
        <v>5409.81</v>
      </c>
      <c r="AE439" s="369">
        <v>5409.81</v>
      </c>
      <c r="AF439" s="344">
        <f t="shared" si="36"/>
        <v>0</v>
      </c>
    </row>
    <row r="440" spans="1:32">
      <c r="A440" s="419" t="s">
        <v>1075</v>
      </c>
      <c r="B440" s="420">
        <v>0</v>
      </c>
      <c r="C440" s="361">
        <f t="shared" si="37"/>
        <v>1082721.1099999999</v>
      </c>
      <c r="D440" s="361">
        <f t="shared" si="38"/>
        <v>3877158.8067333335</v>
      </c>
      <c r="E440" s="361">
        <f t="shared" si="39"/>
        <v>5656790.6499999994</v>
      </c>
      <c r="F440" s="361">
        <f t="shared" si="40"/>
        <v>3837506.6300000004</v>
      </c>
      <c r="G440" s="361">
        <f t="shared" si="41"/>
        <v>664158.57000000007</v>
      </c>
      <c r="H440" s="423">
        <v>0</v>
      </c>
      <c r="I440" s="423">
        <v>0</v>
      </c>
      <c r="J440" s="423">
        <v>505025.78</v>
      </c>
      <c r="K440" s="423">
        <v>577695.32999999996</v>
      </c>
      <c r="L440" s="423">
        <v>275418.62999999995</v>
      </c>
      <c r="M440" s="423">
        <v>1753375.7867333333</v>
      </c>
      <c r="N440" s="423">
        <v>700036.76</v>
      </c>
      <c r="O440" s="423">
        <v>1148327.6300000001</v>
      </c>
      <c r="P440" s="423">
        <v>1110465.21</v>
      </c>
      <c r="Q440" s="437">
        <v>1770599.21</v>
      </c>
      <c r="R440" s="423">
        <v>1084894.3799999999</v>
      </c>
      <c r="S440" s="423">
        <v>1690831.8499999999</v>
      </c>
      <c r="T440" s="423">
        <v>1719772.23</v>
      </c>
      <c r="U440" s="423">
        <v>1751440.1400000001</v>
      </c>
      <c r="V440" s="423">
        <v>317148.84999999998</v>
      </c>
      <c r="W440" s="423">
        <v>49145.41</v>
      </c>
      <c r="X440" s="423">
        <v>143430.62</v>
      </c>
      <c r="Y440" s="423">
        <v>15187.62</v>
      </c>
      <c r="Z440" s="423">
        <v>273217.90000000002</v>
      </c>
      <c r="AA440" s="423">
        <v>232322.43</v>
      </c>
      <c r="AB440" s="423">
        <v>-1925.2099999997827</v>
      </c>
      <c r="AC440" s="423">
        <v>15114876.799999999</v>
      </c>
      <c r="AD440" s="423">
        <v>15042300.380000001</v>
      </c>
      <c r="AE440" s="423">
        <v>-72576.42</v>
      </c>
      <c r="AF440" s="344">
        <f t="shared" si="36"/>
        <v>2.6050965736606611E-2</v>
      </c>
    </row>
    <row r="441" spans="1:32">
      <c r="A441" s="425" t="s">
        <v>1076</v>
      </c>
      <c r="B441" s="426"/>
      <c r="C441" s="361">
        <f t="shared" si="37"/>
        <v>0</v>
      </c>
      <c r="D441" s="361">
        <f t="shared" si="38"/>
        <v>0</v>
      </c>
      <c r="E441" s="361">
        <f t="shared" si="39"/>
        <v>0</v>
      </c>
      <c r="F441" s="361">
        <f t="shared" si="40"/>
        <v>0</v>
      </c>
      <c r="G441" s="361">
        <f t="shared" si="41"/>
        <v>0</v>
      </c>
      <c r="H441" s="480"/>
      <c r="I441" s="480"/>
      <c r="J441" s="480"/>
      <c r="K441" s="480"/>
      <c r="L441" s="480"/>
      <c r="M441" s="480"/>
      <c r="N441" s="480"/>
      <c r="O441" s="480"/>
      <c r="P441" s="480">
        <v>0</v>
      </c>
      <c r="Q441" s="481">
        <v>0</v>
      </c>
      <c r="R441" s="480">
        <v>0</v>
      </c>
      <c r="S441" s="480">
        <v>0</v>
      </c>
      <c r="T441" s="480">
        <v>0</v>
      </c>
      <c r="U441" s="480">
        <v>0</v>
      </c>
      <c r="V441" s="480">
        <v>0</v>
      </c>
      <c r="W441" s="480">
        <v>0</v>
      </c>
      <c r="X441" s="480">
        <v>0</v>
      </c>
      <c r="Y441" s="480">
        <v>0</v>
      </c>
      <c r="Z441" s="480">
        <v>0</v>
      </c>
      <c r="AA441" s="480">
        <v>0</v>
      </c>
      <c r="AB441" s="480"/>
      <c r="AC441" s="473"/>
      <c r="AD441" s="473">
        <v>0</v>
      </c>
      <c r="AE441" s="473">
        <v>0</v>
      </c>
    </row>
    <row r="442" spans="1:32">
      <c r="A442" s="402" t="s">
        <v>1077</v>
      </c>
      <c r="B442" s="427" t="s">
        <v>1078</v>
      </c>
      <c r="C442" s="361">
        <f t="shared" si="37"/>
        <v>52480.54</v>
      </c>
      <c r="D442" s="361">
        <f t="shared" si="38"/>
        <v>464369.1</v>
      </c>
      <c r="E442" s="361">
        <f t="shared" si="39"/>
        <v>1169026.71</v>
      </c>
      <c r="F442" s="361">
        <f t="shared" si="40"/>
        <v>861047.8</v>
      </c>
      <c r="G442" s="361">
        <f t="shared" si="41"/>
        <v>4557015.1090909094</v>
      </c>
      <c r="H442" s="388">
        <v>0</v>
      </c>
      <c r="I442" s="388">
        <v>0</v>
      </c>
      <c r="J442" s="388">
        <v>52480.54</v>
      </c>
      <c r="K442" s="388">
        <v>0</v>
      </c>
      <c r="L442" s="388">
        <v>0</v>
      </c>
      <c r="M442" s="388">
        <v>109258.66</v>
      </c>
      <c r="N442" s="388">
        <v>94234.22</v>
      </c>
      <c r="O442" s="388">
        <v>260876.22</v>
      </c>
      <c r="P442" s="388">
        <v>362013.08999999997</v>
      </c>
      <c r="Q442" s="389">
        <v>170724.06</v>
      </c>
      <c r="R442" s="388">
        <v>435485.85</v>
      </c>
      <c r="S442" s="388">
        <v>200803.71</v>
      </c>
      <c r="T442" s="388">
        <v>370825.28</v>
      </c>
      <c r="U442" s="388">
        <v>130405.9</v>
      </c>
      <c r="V442" s="388">
        <v>192075.88999999998</v>
      </c>
      <c r="W442" s="388">
        <v>167740.73000000001</v>
      </c>
      <c r="X442" s="388">
        <v>123181.45999999999</v>
      </c>
      <c r="Y442" s="388">
        <v>137888.94</v>
      </c>
      <c r="Z442" s="388">
        <v>145490.83000000002</v>
      </c>
      <c r="AA442" s="362">
        <v>4150453.8790909094</v>
      </c>
      <c r="AB442" s="388">
        <v>25197.500303030483</v>
      </c>
      <c r="AC442" s="364">
        <v>7103939.2590909097</v>
      </c>
      <c r="AD442" s="388">
        <v>6297599.8800000008</v>
      </c>
      <c r="AE442" s="364">
        <v>-806339.38</v>
      </c>
    </row>
    <row r="443" spans="1:32">
      <c r="A443" s="390" t="s">
        <v>688</v>
      </c>
      <c r="B443" s="482" t="s">
        <v>1079</v>
      </c>
      <c r="C443" s="361">
        <f t="shared" si="37"/>
        <v>52480.54</v>
      </c>
      <c r="D443" s="361">
        <f t="shared" si="38"/>
        <v>88936.19</v>
      </c>
      <c r="E443" s="361">
        <f t="shared" si="39"/>
        <v>87660.569999999992</v>
      </c>
      <c r="F443" s="361">
        <f t="shared" si="40"/>
        <v>69984.38</v>
      </c>
      <c r="G443" s="361">
        <f t="shared" si="41"/>
        <v>275694.48757575755</v>
      </c>
      <c r="H443" s="392">
        <v>0</v>
      </c>
      <c r="I443" s="392">
        <v>0</v>
      </c>
      <c r="J443" s="392">
        <v>52480.54</v>
      </c>
      <c r="K443" s="392">
        <v>0</v>
      </c>
      <c r="L443" s="392">
        <v>0</v>
      </c>
      <c r="M443" s="392">
        <v>31028.5</v>
      </c>
      <c r="N443" s="392">
        <v>14289.07</v>
      </c>
      <c r="O443" s="392">
        <v>43618.619999999995</v>
      </c>
      <c r="P443" s="392">
        <v>17623.759999999998</v>
      </c>
      <c r="Q443" s="392">
        <v>64314.03</v>
      </c>
      <c r="R443" s="392">
        <v>0</v>
      </c>
      <c r="S443" s="392">
        <v>5722.78</v>
      </c>
      <c r="T443" s="392">
        <v>0</v>
      </c>
      <c r="U443" s="392">
        <v>0</v>
      </c>
      <c r="V443" s="392">
        <v>19932</v>
      </c>
      <c r="W443" s="392">
        <v>50052.38</v>
      </c>
      <c r="X443" s="392">
        <v>19593.169999999998</v>
      </c>
      <c r="Y443" s="392">
        <v>20264.79</v>
      </c>
      <c r="Z443" s="392">
        <v>31520.58</v>
      </c>
      <c r="AA443" s="392">
        <v>204315.94757575757</v>
      </c>
      <c r="AB443" s="392">
        <v>-0.93000000000392902</v>
      </c>
      <c r="AC443" s="369">
        <v>574756.1675757576</v>
      </c>
      <c r="AD443" s="369">
        <v>486808.06000000006</v>
      </c>
      <c r="AE443" s="444">
        <v>-87948.11</v>
      </c>
    </row>
    <row r="444" spans="1:32">
      <c r="A444" s="415" t="s">
        <v>688</v>
      </c>
      <c r="B444" s="366" t="s">
        <v>1080</v>
      </c>
      <c r="C444" s="361">
        <f t="shared" si="37"/>
        <v>52480.54</v>
      </c>
      <c r="D444" s="361">
        <f t="shared" si="38"/>
        <v>88936.19</v>
      </c>
      <c r="E444" s="361">
        <f t="shared" si="39"/>
        <v>87660.569999999992</v>
      </c>
      <c r="F444" s="361">
        <f t="shared" si="40"/>
        <v>0</v>
      </c>
      <c r="G444" s="361">
        <f t="shared" si="41"/>
        <v>61073.617575757577</v>
      </c>
      <c r="H444" s="367">
        <v>0</v>
      </c>
      <c r="I444" s="367">
        <v>0</v>
      </c>
      <c r="J444" s="367">
        <v>52480.54</v>
      </c>
      <c r="K444" s="367">
        <v>0</v>
      </c>
      <c r="L444" s="367">
        <v>0</v>
      </c>
      <c r="M444" s="367">
        <v>31028.5</v>
      </c>
      <c r="N444" s="367">
        <v>14289.07</v>
      </c>
      <c r="O444" s="367">
        <v>43618.619999999995</v>
      </c>
      <c r="P444" s="367">
        <v>17623.759999999998</v>
      </c>
      <c r="Q444" s="367">
        <v>64314.03</v>
      </c>
      <c r="R444" s="367">
        <v>0</v>
      </c>
      <c r="S444" s="367">
        <v>5722.78</v>
      </c>
      <c r="T444" s="367">
        <v>0</v>
      </c>
      <c r="U444" s="367">
        <v>0</v>
      </c>
      <c r="V444" s="367">
        <v>0</v>
      </c>
      <c r="W444" s="367">
        <v>0</v>
      </c>
      <c r="X444" s="367">
        <v>0</v>
      </c>
      <c r="Y444" s="367">
        <v>0</v>
      </c>
      <c r="Z444" s="367">
        <v>11736.88</v>
      </c>
      <c r="AA444" s="367">
        <v>49336.737575757579</v>
      </c>
      <c r="AB444" s="367">
        <v>-0.23000000000320142</v>
      </c>
      <c r="AC444" s="369">
        <v>290150.9175757576</v>
      </c>
      <c r="AD444" s="369">
        <v>229077.30000000002</v>
      </c>
      <c r="AE444" s="444">
        <v>-61073.62</v>
      </c>
    </row>
    <row r="445" spans="1:32" ht="25.5">
      <c r="A445" s="415" t="s">
        <v>1081</v>
      </c>
      <c r="B445" s="366" t="s">
        <v>1082</v>
      </c>
      <c r="C445" s="361">
        <f t="shared" si="37"/>
        <v>0</v>
      </c>
      <c r="D445" s="361">
        <f t="shared" si="38"/>
        <v>0</v>
      </c>
      <c r="E445" s="361">
        <f t="shared" si="39"/>
        <v>0</v>
      </c>
      <c r="F445" s="361">
        <f t="shared" si="40"/>
        <v>0</v>
      </c>
      <c r="G445" s="361">
        <f t="shared" si="41"/>
        <v>85066.51</v>
      </c>
      <c r="H445" s="367"/>
      <c r="I445" s="367"/>
      <c r="J445" s="367"/>
      <c r="K445" s="367"/>
      <c r="L445" s="367"/>
      <c r="M445" s="367"/>
      <c r="N445" s="367"/>
      <c r="O445" s="367"/>
      <c r="P445" s="367"/>
      <c r="Q445" s="367"/>
      <c r="R445" s="367"/>
      <c r="S445" s="367">
        <v>0</v>
      </c>
      <c r="T445" s="367">
        <v>0</v>
      </c>
      <c r="U445" s="367">
        <v>0</v>
      </c>
      <c r="V445" s="367">
        <v>0</v>
      </c>
      <c r="W445" s="367">
        <v>0</v>
      </c>
      <c r="X445" s="367">
        <v>0</v>
      </c>
      <c r="Y445" s="367">
        <v>0</v>
      </c>
      <c r="Z445" s="368">
        <v>0</v>
      </c>
      <c r="AA445" s="367">
        <v>85066.51</v>
      </c>
      <c r="AB445" s="367">
        <v>-0.16999999999825377</v>
      </c>
      <c r="AC445" s="369">
        <v>85066.51</v>
      </c>
      <c r="AD445" s="369">
        <v>68000</v>
      </c>
      <c r="AE445" s="444">
        <v>-17066.509999999998</v>
      </c>
    </row>
    <row r="446" spans="1:32" ht="25.5">
      <c r="A446" s="428" t="s">
        <v>1083</v>
      </c>
      <c r="B446" s="431" t="s">
        <v>1084</v>
      </c>
      <c r="C446" s="361">
        <f t="shared" si="37"/>
        <v>0</v>
      </c>
      <c r="D446" s="361">
        <f t="shared" si="38"/>
        <v>0</v>
      </c>
      <c r="E446" s="361">
        <f t="shared" si="39"/>
        <v>0</v>
      </c>
      <c r="F446" s="361">
        <f t="shared" si="40"/>
        <v>0</v>
      </c>
      <c r="G446" s="361">
        <f t="shared" si="41"/>
        <v>29657.61</v>
      </c>
      <c r="H446" s="386">
        <v>0</v>
      </c>
      <c r="I446" s="386">
        <v>0</v>
      </c>
      <c r="J446" s="386">
        <v>0</v>
      </c>
      <c r="K446" s="386">
        <v>0</v>
      </c>
      <c r="L446" s="386">
        <v>0</v>
      </c>
      <c r="M446" s="386">
        <v>0</v>
      </c>
      <c r="N446" s="386">
        <v>0</v>
      </c>
      <c r="O446" s="386">
        <v>0</v>
      </c>
      <c r="P446" s="386">
        <v>0</v>
      </c>
      <c r="Q446" s="386">
        <v>0</v>
      </c>
      <c r="R446" s="386">
        <v>0</v>
      </c>
      <c r="S446" s="386">
        <v>0</v>
      </c>
      <c r="T446" s="386">
        <v>0</v>
      </c>
      <c r="U446" s="386">
        <v>0</v>
      </c>
      <c r="V446" s="386">
        <v>0</v>
      </c>
      <c r="W446" s="448">
        <v>0</v>
      </c>
      <c r="X446" s="448">
        <v>0</v>
      </c>
      <c r="Y446" s="448">
        <v>0</v>
      </c>
      <c r="Z446" s="416">
        <v>0</v>
      </c>
      <c r="AA446" s="367">
        <v>29657.61</v>
      </c>
      <c r="AB446" s="367">
        <v>-0.15999999999985448</v>
      </c>
      <c r="AC446" s="373">
        <v>29657.61</v>
      </c>
      <c r="AD446" s="373">
        <v>20000</v>
      </c>
      <c r="AE446" s="369">
        <v>-9657.61</v>
      </c>
    </row>
    <row r="447" spans="1:32">
      <c r="A447" s="415" t="s">
        <v>1085</v>
      </c>
      <c r="B447" s="366" t="s">
        <v>1086</v>
      </c>
      <c r="C447" s="361">
        <f t="shared" si="37"/>
        <v>0</v>
      </c>
      <c r="D447" s="361">
        <f t="shared" si="38"/>
        <v>0</v>
      </c>
      <c r="E447" s="361">
        <f t="shared" si="39"/>
        <v>0</v>
      </c>
      <c r="F447" s="361">
        <f t="shared" si="40"/>
        <v>31078.799999999999</v>
      </c>
      <c r="G447" s="361">
        <f t="shared" si="41"/>
        <v>0</v>
      </c>
      <c r="H447" s="367"/>
      <c r="I447" s="367"/>
      <c r="J447" s="367"/>
      <c r="K447" s="367"/>
      <c r="L447" s="367"/>
      <c r="M447" s="367"/>
      <c r="N447" s="367"/>
      <c r="O447" s="367"/>
      <c r="P447" s="367"/>
      <c r="Q447" s="367"/>
      <c r="R447" s="367"/>
      <c r="S447" s="367">
        <v>0</v>
      </c>
      <c r="T447" s="367">
        <v>0</v>
      </c>
      <c r="U447" s="367">
        <v>0</v>
      </c>
      <c r="V447" s="367">
        <v>0</v>
      </c>
      <c r="W447" s="367">
        <v>31078.799999999999</v>
      </c>
      <c r="X447" s="367">
        <v>0</v>
      </c>
      <c r="Y447" s="367">
        <v>0</v>
      </c>
      <c r="Z447" s="367">
        <v>0</v>
      </c>
      <c r="AA447" s="367">
        <v>0</v>
      </c>
      <c r="AB447" s="367">
        <v>0</v>
      </c>
      <c r="AC447" s="369">
        <v>31078.799999999999</v>
      </c>
      <c r="AD447" s="369">
        <v>31078.799999999999</v>
      </c>
      <c r="AE447" s="444">
        <v>0</v>
      </c>
    </row>
    <row r="448" spans="1:32">
      <c r="A448" s="415" t="s">
        <v>971</v>
      </c>
      <c r="B448" s="366" t="s">
        <v>1087</v>
      </c>
      <c r="C448" s="361">
        <f t="shared" si="37"/>
        <v>0</v>
      </c>
      <c r="D448" s="361">
        <f t="shared" si="38"/>
        <v>0</v>
      </c>
      <c r="E448" s="361">
        <f t="shared" si="39"/>
        <v>0</v>
      </c>
      <c r="F448" s="361">
        <f t="shared" si="40"/>
        <v>38905.58</v>
      </c>
      <c r="G448" s="361">
        <f t="shared" si="41"/>
        <v>99896.75</v>
      </c>
      <c r="H448" s="367"/>
      <c r="I448" s="367"/>
      <c r="J448" s="367"/>
      <c r="K448" s="367"/>
      <c r="L448" s="367"/>
      <c r="M448" s="367"/>
      <c r="N448" s="367"/>
      <c r="O448" s="367"/>
      <c r="P448" s="367"/>
      <c r="Q448" s="367"/>
      <c r="R448" s="367"/>
      <c r="S448" s="367">
        <v>0</v>
      </c>
      <c r="T448" s="367">
        <v>0</v>
      </c>
      <c r="U448" s="367">
        <v>0</v>
      </c>
      <c r="V448" s="367">
        <v>19932</v>
      </c>
      <c r="W448" s="367">
        <v>18973.580000000002</v>
      </c>
      <c r="X448" s="367">
        <v>19593.169999999998</v>
      </c>
      <c r="Y448" s="367">
        <v>20264.79</v>
      </c>
      <c r="Z448" s="367">
        <v>19783.7</v>
      </c>
      <c r="AA448" s="367">
        <v>40255.089999999997</v>
      </c>
      <c r="AB448" s="367">
        <v>-0.37000000000261934</v>
      </c>
      <c r="AC448" s="369">
        <v>138802.32999999999</v>
      </c>
      <c r="AD448" s="369">
        <v>138651.96</v>
      </c>
      <c r="AE448" s="444">
        <v>-150.37</v>
      </c>
    </row>
    <row r="449" spans="1:31">
      <c r="A449" s="390" t="s">
        <v>1088</v>
      </c>
      <c r="B449" s="482" t="s">
        <v>1089</v>
      </c>
      <c r="C449" s="361">
        <f t="shared" si="37"/>
        <v>0</v>
      </c>
      <c r="D449" s="361">
        <f t="shared" si="38"/>
        <v>299757.96999999997</v>
      </c>
      <c r="E449" s="361">
        <f t="shared" si="39"/>
        <v>97743.5</v>
      </c>
      <c r="F449" s="361">
        <f t="shared" si="40"/>
        <v>2102.5300000000002</v>
      </c>
      <c r="G449" s="361">
        <f t="shared" si="41"/>
        <v>144119.41484848486</v>
      </c>
      <c r="H449" s="392">
        <v>0</v>
      </c>
      <c r="I449" s="392">
        <v>0</v>
      </c>
      <c r="J449" s="392">
        <v>0</v>
      </c>
      <c r="K449" s="392">
        <v>0</v>
      </c>
      <c r="L449" s="392">
        <v>0</v>
      </c>
      <c r="M449" s="392">
        <v>71418</v>
      </c>
      <c r="N449" s="392">
        <v>40174.410000000003</v>
      </c>
      <c r="O449" s="392">
        <v>188165.56</v>
      </c>
      <c r="P449" s="392">
        <v>63194</v>
      </c>
      <c r="Q449" s="392">
        <v>-207.5</v>
      </c>
      <c r="R449" s="392">
        <v>34757</v>
      </c>
      <c r="S449" s="392">
        <v>0</v>
      </c>
      <c r="T449" s="392">
        <v>2102.5300000000002</v>
      </c>
      <c r="U449" s="392">
        <v>0</v>
      </c>
      <c r="V449" s="392">
        <v>0</v>
      </c>
      <c r="W449" s="392">
        <v>0</v>
      </c>
      <c r="X449" s="392">
        <v>2851.28</v>
      </c>
      <c r="Y449" s="392">
        <v>28606.09</v>
      </c>
      <c r="Z449" s="392">
        <v>8994</v>
      </c>
      <c r="AA449" s="392">
        <v>103668.04484848485</v>
      </c>
      <c r="AB449" s="392">
        <v>0.26030303024163004</v>
      </c>
      <c r="AC449" s="369">
        <v>543723.4148484848</v>
      </c>
      <c r="AD449" s="369">
        <v>479642.62999999995</v>
      </c>
      <c r="AE449" s="444">
        <v>-64080.78</v>
      </c>
    </row>
    <row r="450" spans="1:31">
      <c r="A450" s="483" t="s">
        <v>1090</v>
      </c>
      <c r="B450" s="377" t="s">
        <v>1091</v>
      </c>
      <c r="C450" s="361">
        <f t="shared" si="37"/>
        <v>0</v>
      </c>
      <c r="D450" s="361">
        <f t="shared" si="38"/>
        <v>178503.93</v>
      </c>
      <c r="E450" s="361">
        <f t="shared" si="39"/>
        <v>97743.5</v>
      </c>
      <c r="F450" s="361">
        <f t="shared" si="40"/>
        <v>2102.5300000000002</v>
      </c>
      <c r="G450" s="361">
        <f t="shared" si="41"/>
        <v>0</v>
      </c>
      <c r="H450" s="484">
        <v>0</v>
      </c>
      <c r="I450" s="484">
        <v>0</v>
      </c>
      <c r="J450" s="484">
        <v>0</v>
      </c>
      <c r="K450" s="484">
        <v>0</v>
      </c>
      <c r="L450" s="484">
        <v>0</v>
      </c>
      <c r="M450" s="484">
        <v>71418</v>
      </c>
      <c r="N450" s="484">
        <v>35687.93</v>
      </c>
      <c r="O450" s="484">
        <v>71398</v>
      </c>
      <c r="P450" s="484">
        <v>63194</v>
      </c>
      <c r="Q450" s="484">
        <v>-207.5</v>
      </c>
      <c r="R450" s="484">
        <v>34757</v>
      </c>
      <c r="S450" s="484">
        <v>0</v>
      </c>
      <c r="T450" s="484">
        <v>2102.5300000000002</v>
      </c>
      <c r="U450" s="484">
        <v>0</v>
      </c>
      <c r="V450" s="484">
        <v>0</v>
      </c>
      <c r="W450" s="484">
        <v>0</v>
      </c>
      <c r="X450" s="484">
        <v>0</v>
      </c>
      <c r="Y450" s="484">
        <v>0</v>
      </c>
      <c r="Z450" s="484">
        <v>0</v>
      </c>
      <c r="AA450" s="367">
        <v>0</v>
      </c>
      <c r="AB450" s="484">
        <v>-0.11000000004423782</v>
      </c>
      <c r="AC450" s="379">
        <v>278349.96000000002</v>
      </c>
      <c r="AD450" s="379">
        <v>278349.95999999996</v>
      </c>
      <c r="AE450" s="453">
        <v>0</v>
      </c>
    </row>
    <row r="451" spans="1:31">
      <c r="A451" s="483" t="s">
        <v>1092</v>
      </c>
      <c r="B451" s="377" t="s">
        <v>1093</v>
      </c>
      <c r="C451" s="361">
        <f t="shared" si="37"/>
        <v>0</v>
      </c>
      <c r="D451" s="361">
        <f t="shared" si="38"/>
        <v>120020.81</v>
      </c>
      <c r="E451" s="361">
        <f t="shared" si="39"/>
        <v>0</v>
      </c>
      <c r="F451" s="361">
        <f t="shared" si="40"/>
        <v>0</v>
      </c>
      <c r="G451" s="361">
        <f t="shared" si="41"/>
        <v>0</v>
      </c>
      <c r="H451" s="484">
        <v>0</v>
      </c>
      <c r="I451" s="484">
        <v>0</v>
      </c>
      <c r="J451" s="484">
        <v>0</v>
      </c>
      <c r="K451" s="484">
        <v>0</v>
      </c>
      <c r="L451" s="484">
        <v>0</v>
      </c>
      <c r="M451" s="484">
        <v>0</v>
      </c>
      <c r="N451" s="484">
        <v>3253.25</v>
      </c>
      <c r="O451" s="484">
        <v>116767.56</v>
      </c>
      <c r="P451" s="484">
        <v>0</v>
      </c>
      <c r="Q451" s="484">
        <v>0</v>
      </c>
      <c r="R451" s="484">
        <v>0</v>
      </c>
      <c r="S451" s="484">
        <v>0</v>
      </c>
      <c r="T451" s="484">
        <v>0</v>
      </c>
      <c r="U451" s="484">
        <v>0</v>
      </c>
      <c r="V451" s="484">
        <v>0</v>
      </c>
      <c r="W451" s="484">
        <v>0</v>
      </c>
      <c r="X451" s="484">
        <v>0</v>
      </c>
      <c r="Y451" s="484">
        <v>0</v>
      </c>
      <c r="Z451" s="484">
        <v>0</v>
      </c>
      <c r="AA451" s="367">
        <v>0</v>
      </c>
      <c r="AB451" s="484">
        <v>0</v>
      </c>
      <c r="AC451" s="379">
        <v>120020.81</v>
      </c>
      <c r="AD451" s="379">
        <v>120020.81</v>
      </c>
      <c r="AE451" s="453">
        <v>0</v>
      </c>
    </row>
    <row r="452" spans="1:31">
      <c r="A452" s="483" t="s">
        <v>1094</v>
      </c>
      <c r="B452" s="377" t="s">
        <v>1095</v>
      </c>
      <c r="C452" s="361">
        <f t="shared" si="37"/>
        <v>0</v>
      </c>
      <c r="D452" s="361">
        <f t="shared" si="38"/>
        <v>0</v>
      </c>
      <c r="E452" s="361">
        <f t="shared" si="39"/>
        <v>0</v>
      </c>
      <c r="F452" s="361">
        <f t="shared" si="40"/>
        <v>0</v>
      </c>
      <c r="G452" s="361">
        <f t="shared" si="41"/>
        <v>0</v>
      </c>
      <c r="H452" s="484">
        <v>0</v>
      </c>
      <c r="I452" s="484">
        <v>0</v>
      </c>
      <c r="J452" s="484">
        <v>0</v>
      </c>
      <c r="K452" s="484">
        <v>0</v>
      </c>
      <c r="L452" s="484">
        <v>0</v>
      </c>
      <c r="M452" s="484">
        <v>0</v>
      </c>
      <c r="N452" s="484">
        <v>0</v>
      </c>
      <c r="O452" s="484">
        <v>0</v>
      </c>
      <c r="P452" s="484">
        <v>0</v>
      </c>
      <c r="Q452" s="484">
        <v>0</v>
      </c>
      <c r="R452" s="484">
        <v>0</v>
      </c>
      <c r="S452" s="484">
        <v>0</v>
      </c>
      <c r="T452" s="484">
        <v>0</v>
      </c>
      <c r="U452" s="484">
        <v>0</v>
      </c>
      <c r="V452" s="484">
        <v>0</v>
      </c>
      <c r="W452" s="484">
        <v>0</v>
      </c>
      <c r="X452" s="484">
        <v>0</v>
      </c>
      <c r="Y452" s="484">
        <v>0</v>
      </c>
      <c r="Z452" s="484">
        <v>0</v>
      </c>
      <c r="AA452" s="367">
        <v>0</v>
      </c>
      <c r="AB452" s="484">
        <v>0</v>
      </c>
      <c r="AC452" s="379">
        <v>0</v>
      </c>
      <c r="AD452" s="379">
        <v>0</v>
      </c>
      <c r="AE452" s="453">
        <v>0</v>
      </c>
    </row>
    <row r="453" spans="1:31">
      <c r="A453" s="483" t="s">
        <v>1096</v>
      </c>
      <c r="B453" s="377" t="s">
        <v>1097</v>
      </c>
      <c r="C453" s="361">
        <f t="shared" si="37"/>
        <v>0</v>
      </c>
      <c r="D453" s="361">
        <f t="shared" si="38"/>
        <v>1233.23</v>
      </c>
      <c r="E453" s="361">
        <f t="shared" si="39"/>
        <v>0</v>
      </c>
      <c r="F453" s="361">
        <f t="shared" si="40"/>
        <v>0</v>
      </c>
      <c r="G453" s="361">
        <f t="shared" si="41"/>
        <v>144119.41484848486</v>
      </c>
      <c r="H453" s="484">
        <v>0</v>
      </c>
      <c r="I453" s="484">
        <v>0</v>
      </c>
      <c r="J453" s="484">
        <v>0</v>
      </c>
      <c r="K453" s="484">
        <v>0</v>
      </c>
      <c r="L453" s="484">
        <v>0</v>
      </c>
      <c r="M453" s="484">
        <v>0</v>
      </c>
      <c r="N453" s="484">
        <v>1233.23</v>
      </c>
      <c r="O453" s="484">
        <v>0</v>
      </c>
      <c r="P453" s="484">
        <v>0</v>
      </c>
      <c r="Q453" s="484">
        <v>0</v>
      </c>
      <c r="R453" s="484">
        <v>0</v>
      </c>
      <c r="S453" s="484">
        <v>0</v>
      </c>
      <c r="T453" s="484">
        <v>0</v>
      </c>
      <c r="U453" s="484">
        <v>0</v>
      </c>
      <c r="V453" s="484">
        <v>0</v>
      </c>
      <c r="W453" s="484">
        <v>0</v>
      </c>
      <c r="X453" s="484">
        <v>2851.28</v>
      </c>
      <c r="Y453" s="484">
        <v>28606.09</v>
      </c>
      <c r="Z453" s="484">
        <v>8994</v>
      </c>
      <c r="AA453" s="367">
        <v>103668.04484848485</v>
      </c>
      <c r="AB453" s="484">
        <v>0.37030303028586786</v>
      </c>
      <c r="AC453" s="379">
        <v>145352.64484848484</v>
      </c>
      <c r="AD453" s="379">
        <v>81271.86</v>
      </c>
      <c r="AE453" s="453">
        <v>-64080.78</v>
      </c>
    </row>
    <row r="454" spans="1:31">
      <c r="A454" s="390" t="s">
        <v>1098</v>
      </c>
      <c r="B454" s="482" t="s">
        <v>1099</v>
      </c>
      <c r="C454" s="361">
        <f t="shared" ref="C454:C517" si="42">SUM(H454:K454)</f>
        <v>0</v>
      </c>
      <c r="D454" s="361">
        <f t="shared" ref="D454:D517" si="43">SUM(L454:O454)</f>
        <v>75674.94</v>
      </c>
      <c r="E454" s="361">
        <f t="shared" ref="E454:E517" si="44">SUM(P454:S454)</f>
        <v>647702.6399999999</v>
      </c>
      <c r="F454" s="361">
        <f t="shared" ref="F454:F517" si="45">SUM(T454:W454)</f>
        <v>788960.89</v>
      </c>
      <c r="G454" s="361">
        <f t="shared" ref="G454:G517" si="46">SUM(X454:AA454)</f>
        <v>1516796.5866666669</v>
      </c>
      <c r="H454" s="392">
        <v>0</v>
      </c>
      <c r="I454" s="392">
        <v>0</v>
      </c>
      <c r="J454" s="392">
        <v>0</v>
      </c>
      <c r="K454" s="392">
        <v>0</v>
      </c>
      <c r="L454" s="392">
        <v>0</v>
      </c>
      <c r="M454" s="392">
        <v>6812.16</v>
      </c>
      <c r="N454" s="392">
        <v>39770.74</v>
      </c>
      <c r="O454" s="392">
        <v>29092.04</v>
      </c>
      <c r="P454" s="392">
        <v>281195.33</v>
      </c>
      <c r="Q454" s="392">
        <v>22637.53</v>
      </c>
      <c r="R454" s="392">
        <v>232768.84999999998</v>
      </c>
      <c r="S454" s="392">
        <v>111100.93</v>
      </c>
      <c r="T454" s="392">
        <v>368722.75</v>
      </c>
      <c r="U454" s="392">
        <v>130405.9</v>
      </c>
      <c r="V454" s="392">
        <v>172143.88999999998</v>
      </c>
      <c r="W454" s="392">
        <v>117688.35</v>
      </c>
      <c r="X454" s="392">
        <v>100737.01000000001</v>
      </c>
      <c r="Y454" s="392">
        <v>89018.06</v>
      </c>
      <c r="Z454" s="392">
        <v>104976.25</v>
      </c>
      <c r="AA454" s="392">
        <v>1222065.2666666668</v>
      </c>
      <c r="AB454" s="392">
        <v>25197.849999999948</v>
      </c>
      <c r="AC454" s="369">
        <v>3029135.0566666666</v>
      </c>
      <c r="AD454" s="369">
        <v>2985229.1900000004</v>
      </c>
      <c r="AE454" s="444">
        <v>-43905.87</v>
      </c>
    </row>
    <row r="455" spans="1:31">
      <c r="A455" s="415" t="s">
        <v>1100</v>
      </c>
      <c r="B455" s="366" t="s">
        <v>1101</v>
      </c>
      <c r="C455" s="361">
        <f t="shared" si="42"/>
        <v>0</v>
      </c>
      <c r="D455" s="361">
        <f t="shared" si="43"/>
        <v>0</v>
      </c>
      <c r="E455" s="361">
        <f t="shared" si="44"/>
        <v>111100.93</v>
      </c>
      <c r="F455" s="361">
        <f t="shared" si="45"/>
        <v>164041.91</v>
      </c>
      <c r="G455" s="361">
        <f t="shared" si="46"/>
        <v>3502.44</v>
      </c>
      <c r="H455" s="374"/>
      <c r="I455" s="374"/>
      <c r="J455" s="374"/>
      <c r="K455" s="374"/>
      <c r="L455" s="374"/>
      <c r="M455" s="374"/>
      <c r="N455" s="374"/>
      <c r="O455" s="374"/>
      <c r="P455" s="374"/>
      <c r="Q455" s="374"/>
      <c r="R455" s="374">
        <v>0</v>
      </c>
      <c r="S455" s="374">
        <v>111100.93</v>
      </c>
      <c r="T455" s="374">
        <v>111205.27</v>
      </c>
      <c r="U455" s="374">
        <v>0</v>
      </c>
      <c r="V455" s="374">
        <v>0</v>
      </c>
      <c r="W455" s="374">
        <v>52836.639999999999</v>
      </c>
      <c r="X455" s="374">
        <v>3502.44</v>
      </c>
      <c r="Y455" s="374">
        <v>0</v>
      </c>
      <c r="Z455" s="374">
        <v>0</v>
      </c>
      <c r="AA455" s="374">
        <v>0</v>
      </c>
      <c r="AB455" s="374">
        <v>0</v>
      </c>
      <c r="AC455" s="369">
        <v>278645.28000000003</v>
      </c>
      <c r="AD455" s="369">
        <v>278645.28000000003</v>
      </c>
      <c r="AE455" s="444">
        <v>0</v>
      </c>
    </row>
    <row r="456" spans="1:31">
      <c r="A456" s="415" t="s">
        <v>1102</v>
      </c>
      <c r="B456" s="366" t="s">
        <v>1103</v>
      </c>
      <c r="C456" s="361">
        <f t="shared" si="42"/>
        <v>0</v>
      </c>
      <c r="D456" s="361">
        <f t="shared" si="43"/>
        <v>0</v>
      </c>
      <c r="E456" s="361">
        <f t="shared" si="44"/>
        <v>98914.5</v>
      </c>
      <c r="F456" s="361">
        <f t="shared" si="45"/>
        <v>0</v>
      </c>
      <c r="G456" s="361">
        <f t="shared" si="46"/>
        <v>0</v>
      </c>
      <c r="H456" s="374"/>
      <c r="I456" s="374"/>
      <c r="J456" s="374"/>
      <c r="K456" s="374"/>
      <c r="L456" s="374"/>
      <c r="M456" s="374"/>
      <c r="N456" s="374"/>
      <c r="O456" s="374"/>
      <c r="P456" s="374"/>
      <c r="Q456" s="374"/>
      <c r="R456" s="374">
        <v>98914.5</v>
      </c>
      <c r="S456" s="374">
        <v>0</v>
      </c>
      <c r="T456" s="374">
        <v>0</v>
      </c>
      <c r="U456" s="374">
        <v>0</v>
      </c>
      <c r="V456" s="374">
        <v>0</v>
      </c>
      <c r="W456" s="374">
        <v>0</v>
      </c>
      <c r="X456" s="374">
        <v>0</v>
      </c>
      <c r="Y456" s="374">
        <v>0</v>
      </c>
      <c r="Z456" s="374">
        <v>0</v>
      </c>
      <c r="AA456" s="374">
        <v>0</v>
      </c>
      <c r="AB456" s="374">
        <v>9604.5200000000041</v>
      </c>
      <c r="AC456" s="369">
        <v>98914.5</v>
      </c>
      <c r="AD456" s="369">
        <v>108519.02</v>
      </c>
      <c r="AE456" s="444">
        <v>9604.52</v>
      </c>
    </row>
    <row r="457" spans="1:31">
      <c r="A457" s="415" t="s">
        <v>1104</v>
      </c>
      <c r="B457" s="366" t="s">
        <v>1105</v>
      </c>
      <c r="C457" s="361">
        <f t="shared" si="42"/>
        <v>0</v>
      </c>
      <c r="D457" s="361">
        <f t="shared" si="43"/>
        <v>0</v>
      </c>
      <c r="E457" s="361">
        <f t="shared" si="44"/>
        <v>112697.65999999999</v>
      </c>
      <c r="F457" s="361">
        <f t="shared" si="45"/>
        <v>235794.7</v>
      </c>
      <c r="G457" s="361">
        <f t="shared" si="46"/>
        <v>172764.03</v>
      </c>
      <c r="H457" s="374"/>
      <c r="I457" s="374"/>
      <c r="J457" s="374"/>
      <c r="K457" s="374"/>
      <c r="L457" s="374"/>
      <c r="M457" s="374"/>
      <c r="N457" s="374"/>
      <c r="O457" s="374"/>
      <c r="P457" s="374"/>
      <c r="Q457" s="374"/>
      <c r="R457" s="374">
        <v>112697.65999999999</v>
      </c>
      <c r="S457" s="374">
        <v>0</v>
      </c>
      <c r="T457" s="374">
        <v>172159.7</v>
      </c>
      <c r="U457" s="374">
        <v>0</v>
      </c>
      <c r="V457" s="374">
        <v>63635</v>
      </c>
      <c r="W457" s="374">
        <v>0</v>
      </c>
      <c r="X457" s="374">
        <v>0</v>
      </c>
      <c r="Y457" s="374">
        <v>0</v>
      </c>
      <c r="Z457" s="374">
        <v>77184</v>
      </c>
      <c r="AA457" s="374">
        <v>95580.03</v>
      </c>
      <c r="AB457" s="374">
        <v>0.70999999999185093</v>
      </c>
      <c r="AC457" s="369">
        <v>521256.39</v>
      </c>
      <c r="AD457" s="369">
        <v>520943.92</v>
      </c>
      <c r="AE457" s="444">
        <v>-312.47000000000003</v>
      </c>
    </row>
    <row r="458" spans="1:31">
      <c r="A458" s="415" t="s">
        <v>1106</v>
      </c>
      <c r="B458" s="366" t="s">
        <v>1107</v>
      </c>
      <c r="C458" s="361">
        <f t="shared" si="42"/>
        <v>0</v>
      </c>
      <c r="D458" s="361">
        <f t="shared" si="43"/>
        <v>0</v>
      </c>
      <c r="E458" s="361">
        <f t="shared" si="44"/>
        <v>0</v>
      </c>
      <c r="F458" s="361">
        <f t="shared" si="45"/>
        <v>166902.88</v>
      </c>
      <c r="G458" s="361">
        <f t="shared" si="46"/>
        <v>213435.88</v>
      </c>
      <c r="H458" s="374"/>
      <c r="I458" s="374"/>
      <c r="J458" s="374"/>
      <c r="K458" s="374"/>
      <c r="L458" s="374"/>
      <c r="M458" s="374"/>
      <c r="N458" s="374"/>
      <c r="O458" s="374"/>
      <c r="P458" s="374"/>
      <c r="Q458" s="374"/>
      <c r="R458" s="374">
        <v>0</v>
      </c>
      <c r="S458" s="374">
        <v>0</v>
      </c>
      <c r="T458" s="374">
        <v>0</v>
      </c>
      <c r="U458" s="374">
        <v>0</v>
      </c>
      <c r="V458" s="374">
        <v>102051.17</v>
      </c>
      <c r="W458" s="374">
        <v>64851.71</v>
      </c>
      <c r="X458" s="374">
        <v>63.64</v>
      </c>
      <c r="Y458" s="374">
        <v>0</v>
      </c>
      <c r="Z458" s="383">
        <v>21638.45</v>
      </c>
      <c r="AA458" s="374">
        <v>191733.79</v>
      </c>
      <c r="AB458" s="374">
        <v>9438.4400000000314</v>
      </c>
      <c r="AC458" s="369">
        <v>380338.76</v>
      </c>
      <c r="AD458" s="369">
        <v>386564.5</v>
      </c>
      <c r="AE458" s="444">
        <v>6225.74</v>
      </c>
    </row>
    <row r="459" spans="1:31">
      <c r="A459" s="415" t="s">
        <v>1108</v>
      </c>
      <c r="B459" s="366" t="s">
        <v>1109</v>
      </c>
      <c r="C459" s="361">
        <f t="shared" si="42"/>
        <v>0</v>
      </c>
      <c r="D459" s="361">
        <f t="shared" si="43"/>
        <v>0</v>
      </c>
      <c r="E459" s="361">
        <f t="shared" si="44"/>
        <v>0</v>
      </c>
      <c r="F459" s="361">
        <f t="shared" si="45"/>
        <v>7398</v>
      </c>
      <c r="G459" s="361">
        <f t="shared" si="46"/>
        <v>0</v>
      </c>
      <c r="H459" s="374"/>
      <c r="I459" s="374"/>
      <c r="J459" s="374"/>
      <c r="K459" s="374"/>
      <c r="L459" s="374"/>
      <c r="M459" s="374"/>
      <c r="N459" s="374"/>
      <c r="O459" s="374"/>
      <c r="P459" s="374"/>
      <c r="Q459" s="374"/>
      <c r="R459" s="374">
        <v>0</v>
      </c>
      <c r="S459" s="374">
        <v>0</v>
      </c>
      <c r="T459" s="374">
        <v>0</v>
      </c>
      <c r="U459" s="374">
        <v>7398</v>
      </c>
      <c r="V459" s="374">
        <v>0</v>
      </c>
      <c r="W459" s="374">
        <v>0</v>
      </c>
      <c r="X459" s="374">
        <v>0</v>
      </c>
      <c r="Y459" s="374">
        <v>0</v>
      </c>
      <c r="Z459" s="374">
        <v>0</v>
      </c>
      <c r="AA459" s="374">
        <v>0</v>
      </c>
      <c r="AB459" s="374">
        <v>0</v>
      </c>
      <c r="AC459" s="369">
        <v>7398</v>
      </c>
      <c r="AD459" s="369">
        <v>7398.26</v>
      </c>
      <c r="AE459" s="444">
        <v>0.26</v>
      </c>
    </row>
    <row r="460" spans="1:31" ht="25.5">
      <c r="A460" s="415" t="s">
        <v>1110</v>
      </c>
      <c r="B460" s="366" t="s">
        <v>1111</v>
      </c>
      <c r="C460" s="361">
        <f t="shared" si="42"/>
        <v>0</v>
      </c>
      <c r="D460" s="361">
        <f t="shared" si="43"/>
        <v>0</v>
      </c>
      <c r="E460" s="361">
        <f t="shared" si="44"/>
        <v>0</v>
      </c>
      <c r="F460" s="361">
        <f t="shared" si="45"/>
        <v>0</v>
      </c>
      <c r="G460" s="361">
        <f t="shared" si="46"/>
        <v>412936.14999999997</v>
      </c>
      <c r="H460" s="374"/>
      <c r="I460" s="374"/>
      <c r="J460" s="374"/>
      <c r="K460" s="374"/>
      <c r="L460" s="374"/>
      <c r="M460" s="374"/>
      <c r="N460" s="374"/>
      <c r="O460" s="374"/>
      <c r="P460" s="374"/>
      <c r="Q460" s="374"/>
      <c r="R460" s="374">
        <v>0</v>
      </c>
      <c r="S460" s="374">
        <v>0</v>
      </c>
      <c r="T460" s="374">
        <v>0</v>
      </c>
      <c r="U460" s="374">
        <v>0</v>
      </c>
      <c r="V460" s="374">
        <v>0</v>
      </c>
      <c r="W460" s="374">
        <v>0</v>
      </c>
      <c r="X460" s="374">
        <v>63565.56</v>
      </c>
      <c r="Y460" s="374">
        <v>78278.06</v>
      </c>
      <c r="Z460" s="383">
        <v>6153.8</v>
      </c>
      <c r="AA460" s="374">
        <v>264938.73</v>
      </c>
      <c r="AB460" s="374">
        <v>6153.7999999999884</v>
      </c>
      <c r="AC460" s="369">
        <v>412936.14999999997</v>
      </c>
      <c r="AD460" s="369">
        <v>418951.69999999995</v>
      </c>
      <c r="AE460" s="444">
        <v>6015.55</v>
      </c>
    </row>
    <row r="461" spans="1:31">
      <c r="A461" s="415" t="s">
        <v>1112</v>
      </c>
      <c r="B461" s="366" t="s">
        <v>1113</v>
      </c>
      <c r="C461" s="361">
        <f t="shared" si="42"/>
        <v>0</v>
      </c>
      <c r="D461" s="361">
        <f t="shared" si="43"/>
        <v>0</v>
      </c>
      <c r="E461" s="361">
        <f t="shared" si="44"/>
        <v>0</v>
      </c>
      <c r="F461" s="361">
        <f t="shared" si="45"/>
        <v>96777.98000000001</v>
      </c>
      <c r="G461" s="361">
        <f t="shared" si="46"/>
        <v>0</v>
      </c>
      <c r="H461" s="374"/>
      <c r="I461" s="374"/>
      <c r="J461" s="374"/>
      <c r="K461" s="374"/>
      <c r="L461" s="374"/>
      <c r="M461" s="374"/>
      <c r="N461" s="374"/>
      <c r="O461" s="374"/>
      <c r="P461" s="374"/>
      <c r="Q461" s="374"/>
      <c r="R461" s="374">
        <v>0</v>
      </c>
      <c r="S461" s="374">
        <v>0</v>
      </c>
      <c r="T461" s="374">
        <v>72908.98000000001</v>
      </c>
      <c r="U461" s="374">
        <v>23869</v>
      </c>
      <c r="V461" s="374">
        <v>0</v>
      </c>
      <c r="W461" s="374">
        <v>0</v>
      </c>
      <c r="X461" s="374">
        <v>0</v>
      </c>
      <c r="Y461" s="374">
        <v>0</v>
      </c>
      <c r="Z461" s="374">
        <v>0</v>
      </c>
      <c r="AA461" s="367">
        <v>0</v>
      </c>
      <c r="AB461" s="374">
        <v>0</v>
      </c>
      <c r="AC461" s="369">
        <v>96777.98</v>
      </c>
      <c r="AD461" s="369">
        <v>96777.98</v>
      </c>
      <c r="AE461" s="444">
        <v>0</v>
      </c>
    </row>
    <row r="462" spans="1:31">
      <c r="A462" s="415" t="s">
        <v>1114</v>
      </c>
      <c r="B462" s="366" t="s">
        <v>1115</v>
      </c>
      <c r="C462" s="361">
        <f t="shared" si="42"/>
        <v>0</v>
      </c>
      <c r="D462" s="361">
        <f t="shared" si="43"/>
        <v>0</v>
      </c>
      <c r="E462" s="361">
        <f t="shared" si="44"/>
        <v>0</v>
      </c>
      <c r="F462" s="361">
        <f t="shared" si="45"/>
        <v>-0.30000000000291038</v>
      </c>
      <c r="G462" s="361">
        <f t="shared" si="46"/>
        <v>33605.370000000003</v>
      </c>
      <c r="H462" s="374"/>
      <c r="I462" s="374"/>
      <c r="J462" s="374"/>
      <c r="K462" s="374"/>
      <c r="L462" s="374"/>
      <c r="M462" s="374"/>
      <c r="N462" s="374"/>
      <c r="O462" s="374"/>
      <c r="P462" s="374"/>
      <c r="Q462" s="374"/>
      <c r="R462" s="374">
        <v>0</v>
      </c>
      <c r="S462" s="374">
        <v>0</v>
      </c>
      <c r="T462" s="374">
        <v>0</v>
      </c>
      <c r="U462" s="374">
        <v>-0.30000000000291038</v>
      </c>
      <c r="V462" s="374">
        <v>0</v>
      </c>
      <c r="W462" s="374">
        <v>0</v>
      </c>
      <c r="X462" s="374">
        <v>33605.370000000003</v>
      </c>
      <c r="Y462" s="374">
        <v>0</v>
      </c>
      <c r="Z462" s="374">
        <v>0</v>
      </c>
      <c r="AA462" s="367">
        <v>0</v>
      </c>
      <c r="AB462" s="374">
        <v>0</v>
      </c>
      <c r="AC462" s="369">
        <v>33605.07</v>
      </c>
      <c r="AD462" s="369">
        <v>33605.07</v>
      </c>
      <c r="AE462" s="444">
        <v>0</v>
      </c>
    </row>
    <row r="463" spans="1:31">
      <c r="A463" s="415" t="s">
        <v>1116</v>
      </c>
      <c r="B463" s="366" t="s">
        <v>1117</v>
      </c>
      <c r="C463" s="361">
        <f t="shared" si="42"/>
        <v>0</v>
      </c>
      <c r="D463" s="361">
        <f t="shared" si="43"/>
        <v>0</v>
      </c>
      <c r="E463" s="361">
        <f t="shared" si="44"/>
        <v>0</v>
      </c>
      <c r="F463" s="361">
        <f t="shared" si="45"/>
        <v>79157</v>
      </c>
      <c r="G463" s="361">
        <f t="shared" si="46"/>
        <v>0</v>
      </c>
      <c r="H463" s="374"/>
      <c r="I463" s="374"/>
      <c r="J463" s="374"/>
      <c r="K463" s="374"/>
      <c r="L463" s="374"/>
      <c r="M463" s="374"/>
      <c r="N463" s="374"/>
      <c r="O463" s="374"/>
      <c r="P463" s="374"/>
      <c r="Q463" s="374"/>
      <c r="R463" s="374">
        <v>0</v>
      </c>
      <c r="S463" s="374">
        <v>0</v>
      </c>
      <c r="T463" s="374">
        <v>0</v>
      </c>
      <c r="U463" s="374">
        <v>79157</v>
      </c>
      <c r="V463" s="374">
        <v>0</v>
      </c>
      <c r="W463" s="374">
        <v>0</v>
      </c>
      <c r="X463" s="374">
        <v>0</v>
      </c>
      <c r="Y463" s="374">
        <v>0</v>
      </c>
      <c r="Z463" s="374">
        <v>0</v>
      </c>
      <c r="AA463" s="367">
        <v>0</v>
      </c>
      <c r="AB463" s="374">
        <v>0.30000000000291038</v>
      </c>
      <c r="AC463" s="369">
        <v>79157</v>
      </c>
      <c r="AD463" s="369">
        <v>79157.3</v>
      </c>
      <c r="AE463" s="444">
        <v>0.3</v>
      </c>
    </row>
    <row r="464" spans="1:31">
      <c r="A464" s="415" t="s">
        <v>1118</v>
      </c>
      <c r="B464" s="366" t="s">
        <v>1119</v>
      </c>
      <c r="C464" s="361">
        <f t="shared" si="42"/>
        <v>0</v>
      </c>
      <c r="D464" s="361">
        <f t="shared" si="43"/>
        <v>0</v>
      </c>
      <c r="E464" s="361">
        <f t="shared" si="44"/>
        <v>0</v>
      </c>
      <c r="F464" s="361">
        <f t="shared" si="45"/>
        <v>12449</v>
      </c>
      <c r="G464" s="361">
        <f t="shared" si="46"/>
        <v>0</v>
      </c>
      <c r="H464" s="374"/>
      <c r="I464" s="374"/>
      <c r="J464" s="374"/>
      <c r="K464" s="374"/>
      <c r="L464" s="374"/>
      <c r="M464" s="374"/>
      <c r="N464" s="374"/>
      <c r="O464" s="374"/>
      <c r="P464" s="374"/>
      <c r="Q464" s="374"/>
      <c r="R464" s="374">
        <v>0</v>
      </c>
      <c r="S464" s="374">
        <v>0</v>
      </c>
      <c r="T464" s="374">
        <v>12448.8</v>
      </c>
      <c r="U464" s="374">
        <v>0.2000000000007276</v>
      </c>
      <c r="V464" s="374">
        <v>0</v>
      </c>
      <c r="W464" s="374">
        <v>0</v>
      </c>
      <c r="X464" s="374">
        <v>0</v>
      </c>
      <c r="Y464" s="374">
        <v>0</v>
      </c>
      <c r="Z464" s="374">
        <v>0</v>
      </c>
      <c r="AA464" s="367">
        <v>0</v>
      </c>
      <c r="AB464" s="374">
        <v>0</v>
      </c>
      <c r="AC464" s="369">
        <v>12449</v>
      </c>
      <c r="AD464" s="369">
        <v>12449</v>
      </c>
      <c r="AE464" s="444">
        <v>0</v>
      </c>
    </row>
    <row r="465" spans="1:31">
      <c r="A465" s="415" t="s">
        <v>1120</v>
      </c>
      <c r="B465" s="366" t="s">
        <v>1121</v>
      </c>
      <c r="C465" s="361">
        <f t="shared" si="42"/>
        <v>0</v>
      </c>
      <c r="D465" s="361">
        <f t="shared" si="43"/>
        <v>0</v>
      </c>
      <c r="E465" s="361">
        <f t="shared" si="44"/>
        <v>0</v>
      </c>
      <c r="F465" s="361">
        <f t="shared" si="45"/>
        <v>19982</v>
      </c>
      <c r="G465" s="361">
        <f t="shared" si="46"/>
        <v>10740</v>
      </c>
      <c r="H465" s="374"/>
      <c r="I465" s="374"/>
      <c r="J465" s="374"/>
      <c r="K465" s="374"/>
      <c r="L465" s="374"/>
      <c r="M465" s="374"/>
      <c r="N465" s="374"/>
      <c r="O465" s="374"/>
      <c r="P465" s="374"/>
      <c r="Q465" s="374"/>
      <c r="R465" s="374">
        <v>0</v>
      </c>
      <c r="S465" s="374">
        <v>0</v>
      </c>
      <c r="T465" s="374">
        <v>0</v>
      </c>
      <c r="U465" s="374">
        <v>19982</v>
      </c>
      <c r="V465" s="374">
        <v>0</v>
      </c>
      <c r="W465" s="374">
        <v>0</v>
      </c>
      <c r="X465" s="374">
        <v>0</v>
      </c>
      <c r="Y465" s="374">
        <v>10740</v>
      </c>
      <c r="Z465" s="374">
        <v>0</v>
      </c>
      <c r="AA465" s="367">
        <v>0</v>
      </c>
      <c r="AB465" s="374">
        <v>0</v>
      </c>
      <c r="AC465" s="369">
        <v>30722</v>
      </c>
      <c r="AD465" s="369">
        <v>30722</v>
      </c>
      <c r="AE465" s="444">
        <v>0</v>
      </c>
    </row>
    <row r="466" spans="1:31" ht="25.5">
      <c r="A466" s="415" t="s">
        <v>1122</v>
      </c>
      <c r="B466" s="366" t="s">
        <v>1123</v>
      </c>
      <c r="C466" s="361">
        <f t="shared" si="42"/>
        <v>0</v>
      </c>
      <c r="D466" s="361">
        <f t="shared" si="43"/>
        <v>0</v>
      </c>
      <c r="E466" s="361">
        <f t="shared" si="44"/>
        <v>0</v>
      </c>
      <c r="F466" s="361">
        <f t="shared" si="45"/>
        <v>0</v>
      </c>
      <c r="G466" s="361">
        <f t="shared" si="46"/>
        <v>626499.03</v>
      </c>
      <c r="H466" s="374"/>
      <c r="I466" s="374"/>
      <c r="J466" s="374"/>
      <c r="K466" s="374"/>
      <c r="L466" s="374"/>
      <c r="M466" s="374"/>
      <c r="N466" s="374"/>
      <c r="O466" s="374"/>
      <c r="P466" s="374"/>
      <c r="Q466" s="374"/>
      <c r="R466" s="374">
        <v>0</v>
      </c>
      <c r="S466" s="374">
        <v>0</v>
      </c>
      <c r="T466" s="374">
        <v>0</v>
      </c>
      <c r="U466" s="374">
        <v>0</v>
      </c>
      <c r="V466" s="374">
        <v>0</v>
      </c>
      <c r="W466" s="374">
        <v>0</v>
      </c>
      <c r="X466" s="374">
        <v>0</v>
      </c>
      <c r="Y466" s="374">
        <v>0</v>
      </c>
      <c r="Z466" s="383">
        <v>0</v>
      </c>
      <c r="AA466" s="367">
        <v>626499.03</v>
      </c>
      <c r="AB466" s="374">
        <v>-0.45000000006984919</v>
      </c>
      <c r="AC466" s="369">
        <v>626499.03</v>
      </c>
      <c r="AD466" s="369">
        <v>600000</v>
      </c>
      <c r="AE466" s="444">
        <v>-26499.03</v>
      </c>
    </row>
    <row r="467" spans="1:31">
      <c r="A467" s="415" t="s">
        <v>1124</v>
      </c>
      <c r="B467" s="366" t="s">
        <v>1125</v>
      </c>
      <c r="C467" s="361">
        <f t="shared" si="42"/>
        <v>0</v>
      </c>
      <c r="D467" s="361">
        <f t="shared" si="43"/>
        <v>0</v>
      </c>
      <c r="E467" s="361">
        <f t="shared" si="44"/>
        <v>400665</v>
      </c>
      <c r="F467" s="361">
        <f t="shared" si="45"/>
        <v>6457.72</v>
      </c>
      <c r="G467" s="361">
        <f t="shared" si="46"/>
        <v>43313.686666666676</v>
      </c>
      <c r="H467" s="374"/>
      <c r="I467" s="374"/>
      <c r="J467" s="374"/>
      <c r="K467" s="374"/>
      <c r="L467" s="374"/>
      <c r="M467" s="374"/>
      <c r="N467" s="374"/>
      <c r="O467" s="374"/>
      <c r="P467" s="374"/>
      <c r="Q467" s="374"/>
      <c r="R467" s="374">
        <v>400665</v>
      </c>
      <c r="S467" s="374">
        <v>0</v>
      </c>
      <c r="T467" s="374">
        <v>0</v>
      </c>
      <c r="U467" s="374">
        <v>0</v>
      </c>
      <c r="V467" s="374">
        <v>6457.72</v>
      </c>
      <c r="W467" s="374">
        <v>0</v>
      </c>
      <c r="X467" s="374">
        <v>0</v>
      </c>
      <c r="Y467" s="374">
        <v>0</v>
      </c>
      <c r="Z467" s="374">
        <v>0</v>
      </c>
      <c r="AA467" s="367">
        <v>43313.686666666676</v>
      </c>
      <c r="AB467" s="374">
        <v>0.52999999999883585</v>
      </c>
      <c r="AC467" s="369">
        <v>450436.40666666662</v>
      </c>
      <c r="AD467" s="369">
        <v>411495.16</v>
      </c>
      <c r="AE467" s="444">
        <v>-38941.25</v>
      </c>
    </row>
    <row r="468" spans="1:31">
      <c r="A468" s="390" t="s">
        <v>1126</v>
      </c>
      <c r="B468" s="482" t="s">
        <v>1127</v>
      </c>
      <c r="C468" s="361">
        <f t="shared" si="42"/>
        <v>0</v>
      </c>
      <c r="D468" s="361">
        <f t="shared" si="43"/>
        <v>0</v>
      </c>
      <c r="E468" s="361">
        <f t="shared" si="44"/>
        <v>335920</v>
      </c>
      <c r="F468" s="361">
        <f t="shared" si="45"/>
        <v>0</v>
      </c>
      <c r="G468" s="361">
        <f t="shared" si="46"/>
        <v>0</v>
      </c>
      <c r="H468" s="392">
        <v>0</v>
      </c>
      <c r="I468" s="392">
        <v>0</v>
      </c>
      <c r="J468" s="392">
        <v>0</v>
      </c>
      <c r="K468" s="392">
        <v>0</v>
      </c>
      <c r="L468" s="392">
        <v>0</v>
      </c>
      <c r="M468" s="392">
        <v>0</v>
      </c>
      <c r="N468" s="392">
        <v>0</v>
      </c>
      <c r="O468" s="392">
        <v>0</v>
      </c>
      <c r="P468" s="392">
        <v>0</v>
      </c>
      <c r="Q468" s="392">
        <v>83980</v>
      </c>
      <c r="R468" s="392">
        <v>167960</v>
      </c>
      <c r="S468" s="392">
        <v>83980</v>
      </c>
      <c r="T468" s="392">
        <v>0</v>
      </c>
      <c r="U468" s="392">
        <v>0</v>
      </c>
      <c r="V468" s="392">
        <v>0</v>
      </c>
      <c r="W468" s="392">
        <v>0</v>
      </c>
      <c r="X468" s="392">
        <v>0</v>
      </c>
      <c r="Y468" s="392">
        <v>0</v>
      </c>
      <c r="Z468" s="392">
        <v>0</v>
      </c>
      <c r="AA468" s="392">
        <v>0</v>
      </c>
      <c r="AB468" s="392">
        <v>0</v>
      </c>
      <c r="AC468" s="369">
        <v>335920</v>
      </c>
      <c r="AD468" s="369">
        <v>335920</v>
      </c>
      <c r="AE468" s="444">
        <v>0</v>
      </c>
    </row>
    <row r="469" spans="1:31">
      <c r="A469" s="393" t="s">
        <v>1128</v>
      </c>
      <c r="B469" s="482" t="s">
        <v>1129</v>
      </c>
      <c r="C469" s="361">
        <f t="shared" si="42"/>
        <v>0</v>
      </c>
      <c r="D469" s="361">
        <f t="shared" si="43"/>
        <v>0</v>
      </c>
      <c r="E469" s="361">
        <f t="shared" si="44"/>
        <v>0</v>
      </c>
      <c r="F469" s="361">
        <f t="shared" si="45"/>
        <v>0</v>
      </c>
      <c r="G469" s="361">
        <f t="shared" si="46"/>
        <v>2620404.62</v>
      </c>
      <c r="H469" s="392">
        <v>0</v>
      </c>
      <c r="I469" s="392">
        <v>0</v>
      </c>
      <c r="J469" s="392">
        <v>0</v>
      </c>
      <c r="K469" s="392">
        <v>0</v>
      </c>
      <c r="L469" s="392">
        <v>0</v>
      </c>
      <c r="M469" s="392">
        <v>0</v>
      </c>
      <c r="N469" s="392">
        <v>0</v>
      </c>
      <c r="O469" s="392">
        <v>0</v>
      </c>
      <c r="P469" s="392">
        <v>0</v>
      </c>
      <c r="Q469" s="392">
        <v>0</v>
      </c>
      <c r="R469" s="392">
        <v>0</v>
      </c>
      <c r="S469" s="392">
        <v>0</v>
      </c>
      <c r="T469" s="392">
        <v>0</v>
      </c>
      <c r="U469" s="392">
        <v>0</v>
      </c>
      <c r="V469" s="392">
        <v>0</v>
      </c>
      <c r="W469" s="392">
        <v>0</v>
      </c>
      <c r="X469" s="392">
        <v>0</v>
      </c>
      <c r="Y469" s="392">
        <v>0</v>
      </c>
      <c r="Z469" s="485">
        <v>0</v>
      </c>
      <c r="AA469" s="392">
        <v>2620404.62</v>
      </c>
      <c r="AB469" s="392">
        <v>0.32000000029802322</v>
      </c>
      <c r="AC469" s="369">
        <v>2620404.62</v>
      </c>
      <c r="AD469" s="369">
        <v>2010000</v>
      </c>
      <c r="AE469" s="444">
        <v>-610404.62</v>
      </c>
    </row>
    <row r="470" spans="1:31">
      <c r="A470" s="434" t="s">
        <v>1130</v>
      </c>
      <c r="B470" s="486" t="s">
        <v>1131</v>
      </c>
      <c r="C470" s="361">
        <f t="shared" si="42"/>
        <v>0</v>
      </c>
      <c r="D470" s="361">
        <f t="shared" si="43"/>
        <v>0</v>
      </c>
      <c r="E470" s="361">
        <f t="shared" si="44"/>
        <v>222061.99000000002</v>
      </c>
      <c r="F470" s="361">
        <f t="shared" si="45"/>
        <v>309338</v>
      </c>
      <c r="G470" s="361">
        <f t="shared" si="46"/>
        <v>0</v>
      </c>
      <c r="H470" s="364">
        <v>0</v>
      </c>
      <c r="I470" s="364">
        <v>0</v>
      </c>
      <c r="J470" s="364">
        <v>0</v>
      </c>
      <c r="K470" s="364">
        <v>0</v>
      </c>
      <c r="L470" s="364">
        <v>0</v>
      </c>
      <c r="M470" s="364">
        <v>0</v>
      </c>
      <c r="N470" s="364">
        <v>0</v>
      </c>
      <c r="O470" s="364">
        <v>0</v>
      </c>
      <c r="P470" s="364">
        <v>222259.1</v>
      </c>
      <c r="Q470" s="364">
        <v>-197.11</v>
      </c>
      <c r="R470" s="364">
        <v>0</v>
      </c>
      <c r="S470" s="364">
        <v>0</v>
      </c>
      <c r="T470" s="364">
        <v>0</v>
      </c>
      <c r="U470" s="364">
        <v>87080</v>
      </c>
      <c r="V470" s="364">
        <v>222258</v>
      </c>
      <c r="W470" s="364">
        <v>0</v>
      </c>
      <c r="X470" s="364">
        <v>0</v>
      </c>
      <c r="Y470" s="364">
        <v>0</v>
      </c>
      <c r="Z470" s="364">
        <v>0</v>
      </c>
      <c r="AA470" s="362">
        <v>0</v>
      </c>
      <c r="AB470" s="364">
        <v>0</v>
      </c>
      <c r="AC470" s="364">
        <v>531399.99</v>
      </c>
      <c r="AD470" s="364">
        <v>531399.99</v>
      </c>
      <c r="AE470" s="364">
        <v>0</v>
      </c>
    </row>
    <row r="471" spans="1:31">
      <c r="A471" s="434" t="s">
        <v>1132</v>
      </c>
      <c r="B471" s="427" t="s">
        <v>1133</v>
      </c>
      <c r="C471" s="361">
        <f t="shared" si="42"/>
        <v>0</v>
      </c>
      <c r="D471" s="361">
        <f t="shared" si="43"/>
        <v>229165.55999999997</v>
      </c>
      <c r="E471" s="361">
        <f t="shared" si="44"/>
        <v>990602.22000000009</v>
      </c>
      <c r="F471" s="361">
        <f t="shared" si="45"/>
        <v>141900.64000000001</v>
      </c>
      <c r="G471" s="361">
        <f t="shared" si="46"/>
        <v>0</v>
      </c>
      <c r="H471" s="388">
        <v>0</v>
      </c>
      <c r="I471" s="388">
        <v>0</v>
      </c>
      <c r="J471" s="388">
        <v>0</v>
      </c>
      <c r="K471" s="388">
        <v>0</v>
      </c>
      <c r="L471" s="388">
        <v>0</v>
      </c>
      <c r="M471" s="388">
        <v>0</v>
      </c>
      <c r="N471" s="388">
        <v>56648.77</v>
      </c>
      <c r="O471" s="388">
        <v>172516.78999999998</v>
      </c>
      <c r="P471" s="388">
        <v>465782.30000000005</v>
      </c>
      <c r="Q471" s="389">
        <v>10187.42</v>
      </c>
      <c r="R471" s="388">
        <v>440666.66000000003</v>
      </c>
      <c r="S471" s="388">
        <v>73965.84</v>
      </c>
      <c r="T471" s="388">
        <v>0</v>
      </c>
      <c r="U471" s="388">
        <v>141900.64000000001</v>
      </c>
      <c r="V471" s="388">
        <v>0</v>
      </c>
      <c r="W471" s="388">
        <v>0</v>
      </c>
      <c r="X471" s="388">
        <v>0</v>
      </c>
      <c r="Y471" s="388">
        <v>0</v>
      </c>
      <c r="Z471" s="388">
        <v>0</v>
      </c>
      <c r="AA471" s="362">
        <v>0</v>
      </c>
      <c r="AB471" s="388">
        <v>0</v>
      </c>
      <c r="AC471" s="364">
        <v>1361668.42</v>
      </c>
      <c r="AD471" s="388">
        <v>1361668.42</v>
      </c>
      <c r="AE471" s="364">
        <v>0</v>
      </c>
    </row>
    <row r="472" spans="1:31">
      <c r="A472" s="390" t="s">
        <v>1134</v>
      </c>
      <c r="B472" s="482" t="s">
        <v>1135</v>
      </c>
      <c r="C472" s="361">
        <f t="shared" si="42"/>
        <v>0</v>
      </c>
      <c r="D472" s="361">
        <f t="shared" si="43"/>
        <v>143450.66</v>
      </c>
      <c r="E472" s="361">
        <f t="shared" si="44"/>
        <v>939434.09</v>
      </c>
      <c r="F472" s="361">
        <f t="shared" si="45"/>
        <v>141900.64000000001</v>
      </c>
      <c r="G472" s="361">
        <f t="shared" si="46"/>
        <v>0</v>
      </c>
      <c r="H472" s="392">
        <v>0</v>
      </c>
      <c r="I472" s="392">
        <v>0</v>
      </c>
      <c r="J472" s="392">
        <v>0</v>
      </c>
      <c r="K472" s="392">
        <v>0</v>
      </c>
      <c r="L472" s="392">
        <v>0</v>
      </c>
      <c r="M472" s="392">
        <v>0</v>
      </c>
      <c r="N472" s="392">
        <v>56648.77</v>
      </c>
      <c r="O472" s="392">
        <v>86801.89</v>
      </c>
      <c r="P472" s="392">
        <v>424801.59</v>
      </c>
      <c r="Q472" s="392">
        <v>0</v>
      </c>
      <c r="R472" s="392">
        <v>440666.66000000003</v>
      </c>
      <c r="S472" s="392">
        <v>73965.84</v>
      </c>
      <c r="T472" s="392">
        <v>0</v>
      </c>
      <c r="U472" s="392">
        <v>141900.64000000001</v>
      </c>
      <c r="V472" s="392">
        <v>0</v>
      </c>
      <c r="W472" s="392">
        <v>0</v>
      </c>
      <c r="X472" s="392">
        <v>0</v>
      </c>
      <c r="Y472" s="392">
        <v>0</v>
      </c>
      <c r="Z472" s="392">
        <v>0</v>
      </c>
      <c r="AA472" s="392">
        <v>0</v>
      </c>
      <c r="AB472" s="392">
        <v>0</v>
      </c>
      <c r="AC472" s="369">
        <v>1224785.3899999999</v>
      </c>
      <c r="AD472" s="369">
        <v>1224785.3899999999</v>
      </c>
      <c r="AE472" s="444">
        <v>0</v>
      </c>
    </row>
    <row r="473" spans="1:31">
      <c r="A473" s="415" t="s">
        <v>1136</v>
      </c>
      <c r="B473" s="366" t="s">
        <v>1137</v>
      </c>
      <c r="C473" s="361">
        <f t="shared" si="42"/>
        <v>0</v>
      </c>
      <c r="D473" s="361">
        <f t="shared" si="43"/>
        <v>0</v>
      </c>
      <c r="E473" s="361">
        <f t="shared" si="44"/>
        <v>400344.25</v>
      </c>
      <c r="F473" s="361">
        <f t="shared" si="45"/>
        <v>141900.64000000001</v>
      </c>
      <c r="G473" s="361">
        <f t="shared" si="46"/>
        <v>0</v>
      </c>
      <c r="H473" s="367"/>
      <c r="I473" s="367"/>
      <c r="J473" s="367"/>
      <c r="K473" s="367"/>
      <c r="L473" s="367"/>
      <c r="M473" s="367"/>
      <c r="N473" s="367"/>
      <c r="O473" s="367"/>
      <c r="P473" s="367"/>
      <c r="Q473" s="367"/>
      <c r="R473" s="367">
        <v>400344.25</v>
      </c>
      <c r="S473" s="367">
        <v>0</v>
      </c>
      <c r="T473" s="367">
        <v>0</v>
      </c>
      <c r="U473" s="367">
        <v>141900.64000000001</v>
      </c>
      <c r="V473" s="367">
        <v>0</v>
      </c>
      <c r="W473" s="367">
        <v>0</v>
      </c>
      <c r="X473" s="367">
        <v>0</v>
      </c>
      <c r="Y473" s="367">
        <v>0</v>
      </c>
      <c r="Z473" s="367">
        <v>0</v>
      </c>
      <c r="AA473" s="367">
        <v>0</v>
      </c>
      <c r="AB473" s="367">
        <v>0</v>
      </c>
      <c r="AC473" s="369">
        <v>542244.89</v>
      </c>
      <c r="AD473" s="369">
        <v>542244.89</v>
      </c>
      <c r="AE473" s="444">
        <v>0</v>
      </c>
    </row>
    <row r="474" spans="1:31">
      <c r="A474" s="415" t="s">
        <v>1138</v>
      </c>
      <c r="B474" s="366" t="s">
        <v>1139</v>
      </c>
      <c r="C474" s="361">
        <f t="shared" si="42"/>
        <v>0</v>
      </c>
      <c r="D474" s="361">
        <f t="shared" si="43"/>
        <v>0</v>
      </c>
      <c r="E474" s="361">
        <f t="shared" si="44"/>
        <v>300089</v>
      </c>
      <c r="F474" s="361">
        <f t="shared" si="45"/>
        <v>0</v>
      </c>
      <c r="G474" s="361">
        <f t="shared" si="46"/>
        <v>0</v>
      </c>
      <c r="H474" s="367"/>
      <c r="I474" s="367"/>
      <c r="J474" s="367"/>
      <c r="K474" s="367"/>
      <c r="L474" s="367"/>
      <c r="M474" s="367"/>
      <c r="N474" s="367"/>
      <c r="O474" s="367"/>
      <c r="P474" s="367"/>
      <c r="Q474" s="367"/>
      <c r="R474" s="367">
        <v>300089</v>
      </c>
      <c r="S474" s="367">
        <v>0</v>
      </c>
      <c r="T474" s="367">
        <v>0</v>
      </c>
      <c r="U474" s="367">
        <v>0</v>
      </c>
      <c r="V474" s="367">
        <v>0</v>
      </c>
      <c r="W474" s="367">
        <v>0</v>
      </c>
      <c r="X474" s="367">
        <v>0</v>
      </c>
      <c r="Y474" s="367">
        <v>0</v>
      </c>
      <c r="Z474" s="367">
        <v>0</v>
      </c>
      <c r="AA474" s="367">
        <v>0</v>
      </c>
      <c r="AB474" s="367">
        <v>0</v>
      </c>
      <c r="AC474" s="369">
        <v>300089</v>
      </c>
      <c r="AD474" s="369">
        <v>300089</v>
      </c>
      <c r="AE474" s="444">
        <v>0</v>
      </c>
    </row>
    <row r="475" spans="1:31">
      <c r="A475" s="415" t="s">
        <v>1140</v>
      </c>
      <c r="B475" s="366" t="s">
        <v>1141</v>
      </c>
      <c r="C475" s="361">
        <f t="shared" si="42"/>
        <v>0</v>
      </c>
      <c r="D475" s="361">
        <f t="shared" si="43"/>
        <v>0</v>
      </c>
      <c r="E475" s="361">
        <f t="shared" si="44"/>
        <v>289321.83999999997</v>
      </c>
      <c r="F475" s="361">
        <f t="shared" si="45"/>
        <v>0</v>
      </c>
      <c r="G475" s="361">
        <f t="shared" si="46"/>
        <v>0</v>
      </c>
      <c r="H475" s="367"/>
      <c r="I475" s="367"/>
      <c r="J475" s="367"/>
      <c r="K475" s="367"/>
      <c r="L475" s="367"/>
      <c r="M475" s="367"/>
      <c r="N475" s="367"/>
      <c r="O475" s="367"/>
      <c r="P475" s="367"/>
      <c r="Q475" s="367"/>
      <c r="R475" s="367">
        <v>289321.83999999997</v>
      </c>
      <c r="S475" s="367">
        <v>0</v>
      </c>
      <c r="T475" s="367">
        <v>0</v>
      </c>
      <c r="U475" s="367">
        <v>0</v>
      </c>
      <c r="V475" s="367">
        <v>0</v>
      </c>
      <c r="W475" s="367">
        <v>0</v>
      </c>
      <c r="X475" s="367">
        <v>0</v>
      </c>
      <c r="Y475" s="367">
        <v>0</v>
      </c>
      <c r="Z475" s="367">
        <v>0</v>
      </c>
      <c r="AA475" s="367">
        <v>0</v>
      </c>
      <c r="AB475" s="367">
        <v>0</v>
      </c>
      <c r="AC475" s="369">
        <v>289321.84000000003</v>
      </c>
      <c r="AD475" s="369">
        <v>289321.84000000003</v>
      </c>
      <c r="AE475" s="444">
        <v>0</v>
      </c>
    </row>
    <row r="476" spans="1:31">
      <c r="A476" s="415" t="s">
        <v>1142</v>
      </c>
      <c r="B476" s="366" t="s">
        <v>1143</v>
      </c>
      <c r="C476" s="361">
        <f t="shared" si="42"/>
        <v>0</v>
      </c>
      <c r="D476" s="361">
        <f t="shared" si="43"/>
        <v>0</v>
      </c>
      <c r="E476" s="361">
        <f t="shared" si="44"/>
        <v>93129.66</v>
      </c>
      <c r="F476" s="361">
        <f t="shared" si="45"/>
        <v>0</v>
      </c>
      <c r="G476" s="361">
        <f t="shared" si="46"/>
        <v>0</v>
      </c>
      <c r="H476" s="367"/>
      <c r="I476" s="367"/>
      <c r="J476" s="367"/>
      <c r="K476" s="367"/>
      <c r="L476" s="367"/>
      <c r="M476" s="367"/>
      <c r="N476" s="367"/>
      <c r="O476" s="367"/>
      <c r="P476" s="367"/>
      <c r="Q476" s="367"/>
      <c r="R476" s="367">
        <v>19163.82</v>
      </c>
      <c r="S476" s="367">
        <v>73965.84</v>
      </c>
      <c r="T476" s="367">
        <v>0</v>
      </c>
      <c r="U476" s="367">
        <v>0</v>
      </c>
      <c r="V476" s="367">
        <v>0</v>
      </c>
      <c r="W476" s="367">
        <v>0</v>
      </c>
      <c r="X476" s="367">
        <v>0</v>
      </c>
      <c r="Y476" s="367">
        <v>0</v>
      </c>
      <c r="Z476" s="367">
        <v>0</v>
      </c>
      <c r="AA476" s="367">
        <v>0</v>
      </c>
      <c r="AB476" s="367">
        <v>0</v>
      </c>
      <c r="AC476" s="369">
        <v>93129.66</v>
      </c>
      <c r="AD476" s="369">
        <v>93129.66</v>
      </c>
      <c r="AE476" s="444">
        <v>0</v>
      </c>
    </row>
    <row r="477" spans="1:31">
      <c r="A477" s="415" t="s">
        <v>1144</v>
      </c>
      <c r="B477" s="366" t="s">
        <v>1145</v>
      </c>
      <c r="C477" s="361">
        <f t="shared" si="42"/>
        <v>0</v>
      </c>
      <c r="D477" s="361">
        <f t="shared" si="43"/>
        <v>0</v>
      </c>
      <c r="E477" s="361">
        <f t="shared" si="44"/>
        <v>0</v>
      </c>
      <c r="F477" s="361">
        <f t="shared" si="45"/>
        <v>0</v>
      </c>
      <c r="G477" s="361">
        <f t="shared" si="46"/>
        <v>0</v>
      </c>
      <c r="H477" s="367"/>
      <c r="I477" s="367"/>
      <c r="J477" s="367"/>
      <c r="K477" s="367"/>
      <c r="L477" s="367"/>
      <c r="M477" s="367"/>
      <c r="N477" s="367"/>
      <c r="O477" s="367"/>
      <c r="P477" s="367"/>
      <c r="Q477" s="367"/>
      <c r="R477" s="367">
        <v>0</v>
      </c>
      <c r="S477" s="367">
        <v>0</v>
      </c>
      <c r="T477" s="367">
        <v>0</v>
      </c>
      <c r="U477" s="367">
        <v>0</v>
      </c>
      <c r="V477" s="367">
        <v>0</v>
      </c>
      <c r="W477" s="367">
        <v>0</v>
      </c>
      <c r="X477" s="367">
        <v>0</v>
      </c>
      <c r="Y477" s="367">
        <v>0</v>
      </c>
      <c r="Z477" s="367">
        <v>0</v>
      </c>
      <c r="AA477" s="367">
        <v>0</v>
      </c>
      <c r="AB477" s="367">
        <v>0</v>
      </c>
      <c r="AC477" s="369">
        <v>0</v>
      </c>
      <c r="AD477" s="369">
        <v>0</v>
      </c>
      <c r="AE477" s="444">
        <v>0</v>
      </c>
    </row>
    <row r="478" spans="1:31">
      <c r="A478" s="390" t="s">
        <v>1146</v>
      </c>
      <c r="B478" s="482" t="s">
        <v>1147</v>
      </c>
      <c r="C478" s="361">
        <f t="shared" si="42"/>
        <v>0</v>
      </c>
      <c r="D478" s="361">
        <f t="shared" si="43"/>
        <v>85714.9</v>
      </c>
      <c r="E478" s="361">
        <f t="shared" si="44"/>
        <v>51168.13</v>
      </c>
      <c r="F478" s="361">
        <f t="shared" si="45"/>
        <v>0</v>
      </c>
      <c r="G478" s="361">
        <f t="shared" si="46"/>
        <v>0</v>
      </c>
      <c r="H478" s="392">
        <v>0</v>
      </c>
      <c r="I478" s="392">
        <v>0</v>
      </c>
      <c r="J478" s="392">
        <v>0</v>
      </c>
      <c r="K478" s="392">
        <v>0</v>
      </c>
      <c r="L478" s="392">
        <v>0</v>
      </c>
      <c r="M478" s="392">
        <v>0</v>
      </c>
      <c r="N478" s="392">
        <v>0</v>
      </c>
      <c r="O478" s="392">
        <v>85714.9</v>
      </c>
      <c r="P478" s="392">
        <v>40980.71</v>
      </c>
      <c r="Q478" s="392">
        <v>10187.42</v>
      </c>
      <c r="R478" s="392">
        <v>0</v>
      </c>
      <c r="S478" s="392">
        <v>0</v>
      </c>
      <c r="T478" s="392">
        <v>0</v>
      </c>
      <c r="U478" s="392">
        <v>0</v>
      </c>
      <c r="V478" s="392">
        <v>0</v>
      </c>
      <c r="W478" s="392">
        <v>0</v>
      </c>
      <c r="X478" s="392">
        <v>0</v>
      </c>
      <c r="Y478" s="392">
        <v>0</v>
      </c>
      <c r="Z478" s="392">
        <v>0</v>
      </c>
      <c r="AA478" s="392">
        <v>0</v>
      </c>
      <c r="AB478" s="392">
        <v>0</v>
      </c>
      <c r="AC478" s="369">
        <v>136883.03</v>
      </c>
      <c r="AD478" s="369">
        <v>136883.03</v>
      </c>
      <c r="AE478" s="444">
        <v>0</v>
      </c>
    </row>
    <row r="479" spans="1:31">
      <c r="A479" s="415" t="s">
        <v>1148</v>
      </c>
      <c r="B479" s="366" t="s">
        <v>1149</v>
      </c>
      <c r="C479" s="361">
        <f t="shared" si="42"/>
        <v>0</v>
      </c>
      <c r="D479" s="361">
        <f t="shared" si="43"/>
        <v>85714.9</v>
      </c>
      <c r="E479" s="361">
        <f t="shared" si="44"/>
        <v>51168.13</v>
      </c>
      <c r="F479" s="361">
        <f t="shared" si="45"/>
        <v>0</v>
      </c>
      <c r="G479" s="361">
        <f t="shared" si="46"/>
        <v>0</v>
      </c>
      <c r="H479" s="367">
        <v>0</v>
      </c>
      <c r="I479" s="367">
        <v>0</v>
      </c>
      <c r="J479" s="367">
        <v>0</v>
      </c>
      <c r="K479" s="367">
        <v>0</v>
      </c>
      <c r="L479" s="367">
        <v>0</v>
      </c>
      <c r="M479" s="367">
        <v>0</v>
      </c>
      <c r="N479" s="367">
        <v>0</v>
      </c>
      <c r="O479" s="367">
        <v>85714.9</v>
      </c>
      <c r="P479" s="367">
        <v>40980.71</v>
      </c>
      <c r="Q479" s="367">
        <v>10187.42</v>
      </c>
      <c r="R479" s="367">
        <v>0</v>
      </c>
      <c r="S479" s="367">
        <v>0</v>
      </c>
      <c r="T479" s="367">
        <v>0</v>
      </c>
      <c r="U479" s="367">
        <v>0</v>
      </c>
      <c r="V479" s="367">
        <v>0</v>
      </c>
      <c r="W479" s="367">
        <v>0</v>
      </c>
      <c r="X479" s="367">
        <v>0</v>
      </c>
      <c r="Y479" s="367">
        <v>0</v>
      </c>
      <c r="Z479" s="367">
        <v>0</v>
      </c>
      <c r="AA479" s="367">
        <v>0</v>
      </c>
      <c r="AB479" s="367">
        <v>0</v>
      </c>
      <c r="AC479" s="369">
        <v>136883.03</v>
      </c>
      <c r="AD479" s="369">
        <v>136883.03</v>
      </c>
      <c r="AE479" s="444">
        <v>0</v>
      </c>
    </row>
    <row r="480" spans="1:31">
      <c r="A480" s="402" t="s">
        <v>1150</v>
      </c>
      <c r="B480" s="487" t="s">
        <v>1151</v>
      </c>
      <c r="C480" s="361">
        <f t="shared" si="42"/>
        <v>0</v>
      </c>
      <c r="D480" s="361">
        <f t="shared" si="43"/>
        <v>721305.46</v>
      </c>
      <c r="E480" s="361">
        <f t="shared" si="44"/>
        <v>1595572.5299999998</v>
      </c>
      <c r="F480" s="361">
        <f t="shared" si="45"/>
        <v>2968046.96</v>
      </c>
      <c r="G480" s="361">
        <f t="shared" si="46"/>
        <v>1973213.58</v>
      </c>
      <c r="H480" s="388">
        <v>0</v>
      </c>
      <c r="I480" s="388">
        <v>0</v>
      </c>
      <c r="J480" s="388">
        <v>0</v>
      </c>
      <c r="K480" s="388">
        <v>0</v>
      </c>
      <c r="L480" s="388">
        <v>127614.29000000001</v>
      </c>
      <c r="M480" s="388">
        <v>301235.03999999998</v>
      </c>
      <c r="N480" s="388">
        <v>155725.13</v>
      </c>
      <c r="O480" s="388">
        <v>136731</v>
      </c>
      <c r="P480" s="388">
        <v>549719.06999999995</v>
      </c>
      <c r="Q480" s="389">
        <v>407665.11999999994</v>
      </c>
      <c r="R480" s="388">
        <v>152343.04000000001</v>
      </c>
      <c r="S480" s="388">
        <v>485845.29999999993</v>
      </c>
      <c r="T480" s="388">
        <v>1194384.8399999999</v>
      </c>
      <c r="U480" s="388">
        <v>619644.53</v>
      </c>
      <c r="V480" s="388">
        <v>661081.69000000006</v>
      </c>
      <c r="W480" s="388">
        <v>492935.89999999997</v>
      </c>
      <c r="X480" s="388">
        <v>188483.34</v>
      </c>
      <c r="Y480" s="388">
        <v>270241.5</v>
      </c>
      <c r="Z480" s="388">
        <v>96072.75</v>
      </c>
      <c r="AA480" s="362">
        <v>1418415.99</v>
      </c>
      <c r="AB480" s="388">
        <v>-0.26999999998952262</v>
      </c>
      <c r="AC480" s="388">
        <v>7258138.5300000003</v>
      </c>
      <c r="AD480" s="388">
        <v>7234877.0999999996</v>
      </c>
      <c r="AE480" s="364">
        <v>-23261.43</v>
      </c>
    </row>
    <row r="481" spans="1:31">
      <c r="A481" s="390" t="s">
        <v>1152</v>
      </c>
      <c r="B481" s="482" t="s">
        <v>1153</v>
      </c>
      <c r="C481" s="361">
        <f t="shared" si="42"/>
        <v>0</v>
      </c>
      <c r="D481" s="361">
        <f t="shared" si="43"/>
        <v>0</v>
      </c>
      <c r="E481" s="361">
        <f t="shared" si="44"/>
        <v>740846.91999999993</v>
      </c>
      <c r="F481" s="361">
        <f t="shared" si="45"/>
        <v>308308.75999999995</v>
      </c>
      <c r="G481" s="361">
        <f t="shared" si="46"/>
        <v>0</v>
      </c>
      <c r="H481" s="392">
        <v>0</v>
      </c>
      <c r="I481" s="392">
        <v>0</v>
      </c>
      <c r="J481" s="392">
        <v>0</v>
      </c>
      <c r="K481" s="392">
        <v>0</v>
      </c>
      <c r="L481" s="392">
        <v>0</v>
      </c>
      <c r="M481" s="392">
        <v>0</v>
      </c>
      <c r="N481" s="392">
        <v>0</v>
      </c>
      <c r="O481" s="392">
        <v>0</v>
      </c>
      <c r="P481" s="392">
        <v>191480.11</v>
      </c>
      <c r="Q481" s="392">
        <v>204.59</v>
      </c>
      <c r="R481" s="392">
        <v>152343.04000000001</v>
      </c>
      <c r="S481" s="392">
        <v>396819.18</v>
      </c>
      <c r="T481" s="392">
        <v>9.9999999999909051E-2</v>
      </c>
      <c r="U481" s="392">
        <v>265403.17</v>
      </c>
      <c r="V481" s="392">
        <v>0</v>
      </c>
      <c r="W481" s="392">
        <v>42905.49</v>
      </c>
      <c r="X481" s="392">
        <v>0</v>
      </c>
      <c r="Y481" s="392">
        <v>0</v>
      </c>
      <c r="Z481" s="392">
        <v>0</v>
      </c>
      <c r="AA481" s="392">
        <v>0</v>
      </c>
      <c r="AB481" s="392">
        <v>-0.27000000001862645</v>
      </c>
      <c r="AC481" s="369">
        <v>1049155.68</v>
      </c>
      <c r="AD481" s="369">
        <v>1049155.23</v>
      </c>
      <c r="AE481" s="444">
        <v>-0.45</v>
      </c>
    </row>
    <row r="482" spans="1:31">
      <c r="A482" s="488" t="s">
        <v>1154</v>
      </c>
      <c r="B482" s="489" t="s">
        <v>1155</v>
      </c>
      <c r="C482" s="361">
        <f t="shared" si="42"/>
        <v>0</v>
      </c>
      <c r="D482" s="361">
        <f t="shared" si="43"/>
        <v>0</v>
      </c>
      <c r="E482" s="361">
        <f t="shared" si="44"/>
        <v>54614.879999999997</v>
      </c>
      <c r="F482" s="361">
        <f t="shared" si="45"/>
        <v>221271.46</v>
      </c>
      <c r="G482" s="361">
        <f t="shared" si="46"/>
        <v>0</v>
      </c>
      <c r="H482" s="374"/>
      <c r="I482" s="374"/>
      <c r="J482" s="374"/>
      <c r="K482" s="374"/>
      <c r="L482" s="374"/>
      <c r="M482" s="374"/>
      <c r="N482" s="374"/>
      <c r="O482" s="374"/>
      <c r="P482" s="374"/>
      <c r="Q482" s="374"/>
      <c r="R482" s="374">
        <v>54614.879999999997</v>
      </c>
      <c r="S482" s="374">
        <v>0</v>
      </c>
      <c r="T482" s="374">
        <v>0</v>
      </c>
      <c r="U482" s="374">
        <v>221271.46</v>
      </c>
      <c r="V482" s="374">
        <v>0</v>
      </c>
      <c r="W482" s="374">
        <v>0</v>
      </c>
      <c r="X482" s="374">
        <v>0</v>
      </c>
      <c r="Y482" s="374">
        <v>0</v>
      </c>
      <c r="Z482" s="374">
        <v>0</v>
      </c>
      <c r="AA482" s="367">
        <v>0</v>
      </c>
      <c r="AB482" s="374">
        <v>0</v>
      </c>
      <c r="AC482" s="369">
        <v>275886.34000000003</v>
      </c>
      <c r="AD482" s="369">
        <v>275886.34000000003</v>
      </c>
      <c r="AE482" s="444">
        <v>0</v>
      </c>
    </row>
    <row r="483" spans="1:31">
      <c r="A483" s="488" t="s">
        <v>1156</v>
      </c>
      <c r="B483" s="489" t="s">
        <v>1157</v>
      </c>
      <c r="C483" s="361">
        <f t="shared" si="42"/>
        <v>0</v>
      </c>
      <c r="D483" s="361">
        <f t="shared" si="43"/>
        <v>0</v>
      </c>
      <c r="E483" s="361">
        <f t="shared" si="44"/>
        <v>409161.45</v>
      </c>
      <c r="F483" s="361">
        <f t="shared" si="45"/>
        <v>0</v>
      </c>
      <c r="G483" s="361">
        <f t="shared" si="46"/>
        <v>0</v>
      </c>
      <c r="H483" s="374"/>
      <c r="I483" s="374"/>
      <c r="J483" s="374"/>
      <c r="K483" s="374"/>
      <c r="L483" s="374"/>
      <c r="M483" s="374"/>
      <c r="N483" s="374"/>
      <c r="O483" s="374"/>
      <c r="P483" s="374"/>
      <c r="Q483" s="374"/>
      <c r="R483" s="374">
        <v>234977</v>
      </c>
      <c r="S483" s="374">
        <v>174184.45</v>
      </c>
      <c r="T483" s="374">
        <v>0</v>
      </c>
      <c r="U483" s="374">
        <v>0</v>
      </c>
      <c r="V483" s="374">
        <v>0</v>
      </c>
      <c r="W483" s="374">
        <v>0</v>
      </c>
      <c r="X483" s="374">
        <v>0</v>
      </c>
      <c r="Y483" s="374">
        <v>0</v>
      </c>
      <c r="Z483" s="374">
        <v>0</v>
      </c>
      <c r="AA483" s="367">
        <v>0</v>
      </c>
      <c r="AB483" s="374">
        <v>-0.16999999998370185</v>
      </c>
      <c r="AC483" s="369">
        <v>409161.45</v>
      </c>
      <c r="AD483" s="369">
        <v>409161.28</v>
      </c>
      <c r="AE483" s="444">
        <v>-0.17</v>
      </c>
    </row>
    <row r="484" spans="1:31">
      <c r="A484" s="488" t="s">
        <v>1158</v>
      </c>
      <c r="B484" s="489" t="s">
        <v>1159</v>
      </c>
      <c r="C484" s="361">
        <f t="shared" si="42"/>
        <v>0</v>
      </c>
      <c r="D484" s="361">
        <f t="shared" si="43"/>
        <v>0</v>
      </c>
      <c r="E484" s="361">
        <f t="shared" si="44"/>
        <v>277070.40999999997</v>
      </c>
      <c r="F484" s="361">
        <f t="shared" si="45"/>
        <v>9.9999999999909051E-2</v>
      </c>
      <c r="G484" s="361">
        <f t="shared" si="46"/>
        <v>0</v>
      </c>
      <c r="H484" s="374"/>
      <c r="I484" s="374"/>
      <c r="J484" s="374"/>
      <c r="K484" s="374"/>
      <c r="L484" s="374"/>
      <c r="M484" s="374"/>
      <c r="N484" s="374"/>
      <c r="O484" s="374"/>
      <c r="P484" s="374"/>
      <c r="Q484" s="374"/>
      <c r="R484" s="374">
        <v>54435.68</v>
      </c>
      <c r="S484" s="374">
        <v>222634.72999999998</v>
      </c>
      <c r="T484" s="374">
        <v>9.9999999999909051E-2</v>
      </c>
      <c r="U484" s="374">
        <v>0</v>
      </c>
      <c r="V484" s="374">
        <v>0</v>
      </c>
      <c r="W484" s="374">
        <v>0</v>
      </c>
      <c r="X484" s="374">
        <v>0</v>
      </c>
      <c r="Y484" s="374">
        <v>0</v>
      </c>
      <c r="Z484" s="374">
        <v>0</v>
      </c>
      <c r="AA484" s="367">
        <v>0</v>
      </c>
      <c r="AB484" s="374">
        <v>-0.1000000000349246</v>
      </c>
      <c r="AC484" s="369">
        <v>277070.51</v>
      </c>
      <c r="AD484" s="369">
        <v>277070.40999999997</v>
      </c>
      <c r="AE484" s="444">
        <v>-0.1</v>
      </c>
    </row>
    <row r="485" spans="1:31">
      <c r="A485" s="488" t="s">
        <v>1160</v>
      </c>
      <c r="B485" s="489" t="s">
        <v>1161</v>
      </c>
      <c r="C485" s="361">
        <f t="shared" si="42"/>
        <v>0</v>
      </c>
      <c r="D485" s="361">
        <f t="shared" si="43"/>
        <v>0</v>
      </c>
      <c r="E485" s="361">
        <f t="shared" si="44"/>
        <v>0</v>
      </c>
      <c r="F485" s="361">
        <f t="shared" si="45"/>
        <v>87037.2</v>
      </c>
      <c r="G485" s="361">
        <f t="shared" si="46"/>
        <v>0</v>
      </c>
      <c r="H485" s="374"/>
      <c r="I485" s="374"/>
      <c r="J485" s="374"/>
      <c r="K485" s="374"/>
      <c r="L485" s="374"/>
      <c r="M485" s="374"/>
      <c r="N485" s="374"/>
      <c r="O485" s="374"/>
      <c r="P485" s="374"/>
      <c r="Q485" s="374"/>
      <c r="R485" s="374"/>
      <c r="S485" s="374">
        <v>0</v>
      </c>
      <c r="T485" s="374">
        <v>0</v>
      </c>
      <c r="U485" s="374">
        <v>44131.71</v>
      </c>
      <c r="V485" s="374">
        <v>0</v>
      </c>
      <c r="W485" s="374">
        <v>42905.49</v>
      </c>
      <c r="X485" s="374">
        <v>0</v>
      </c>
      <c r="Y485" s="374">
        <v>0</v>
      </c>
      <c r="Z485" s="374">
        <v>0</v>
      </c>
      <c r="AA485" s="367">
        <v>0</v>
      </c>
      <c r="AB485" s="374">
        <v>0</v>
      </c>
      <c r="AC485" s="369">
        <v>87037.2</v>
      </c>
      <c r="AD485" s="369">
        <v>87037.2</v>
      </c>
      <c r="AE485" s="444">
        <v>0</v>
      </c>
    </row>
    <row r="486" spans="1:31">
      <c r="A486" s="390" t="s">
        <v>1162</v>
      </c>
      <c r="B486" s="482" t="s">
        <v>1163</v>
      </c>
      <c r="C486" s="361">
        <f t="shared" si="42"/>
        <v>0</v>
      </c>
      <c r="D486" s="361">
        <f t="shared" si="43"/>
        <v>721305.46</v>
      </c>
      <c r="E486" s="361">
        <f t="shared" si="44"/>
        <v>854725.61</v>
      </c>
      <c r="F486" s="361">
        <f t="shared" si="45"/>
        <v>2659738.2000000002</v>
      </c>
      <c r="G486" s="361">
        <f t="shared" si="46"/>
        <v>1967994.6400000001</v>
      </c>
      <c r="H486" s="392">
        <v>0</v>
      </c>
      <c r="I486" s="392">
        <v>0</v>
      </c>
      <c r="J486" s="392">
        <v>0</v>
      </c>
      <c r="K486" s="392">
        <v>0</v>
      </c>
      <c r="L486" s="392">
        <v>127614.29000000001</v>
      </c>
      <c r="M486" s="392">
        <v>301235.03999999998</v>
      </c>
      <c r="N486" s="392">
        <v>155725.13</v>
      </c>
      <c r="O486" s="392">
        <v>136731</v>
      </c>
      <c r="P486" s="392">
        <v>358238.96</v>
      </c>
      <c r="Q486" s="407">
        <v>407460.52999999997</v>
      </c>
      <c r="R486" s="392">
        <v>0</v>
      </c>
      <c r="S486" s="392">
        <v>89026.12</v>
      </c>
      <c r="T486" s="392">
        <v>1194384.74</v>
      </c>
      <c r="U486" s="392">
        <v>354241.36</v>
      </c>
      <c r="V486" s="392">
        <v>661081.69000000006</v>
      </c>
      <c r="W486" s="392">
        <v>450030.41</v>
      </c>
      <c r="X486" s="392">
        <v>188483.34</v>
      </c>
      <c r="Y486" s="392">
        <v>270241.5</v>
      </c>
      <c r="Z486" s="392">
        <v>96072.75</v>
      </c>
      <c r="AA486" s="392">
        <v>1413197.05</v>
      </c>
      <c r="AB486" s="392">
        <v>2.9103830456733704E-11</v>
      </c>
      <c r="AC486" s="369">
        <v>6203763.9100000001</v>
      </c>
      <c r="AD486" s="369">
        <v>6185721.8700000001</v>
      </c>
      <c r="AE486" s="444">
        <v>-18042.04</v>
      </c>
    </row>
    <row r="487" spans="1:31">
      <c r="A487" s="488" t="s">
        <v>1164</v>
      </c>
      <c r="B487" s="489" t="s">
        <v>1165</v>
      </c>
      <c r="C487" s="361">
        <f t="shared" si="42"/>
        <v>0</v>
      </c>
      <c r="D487" s="361">
        <f t="shared" si="43"/>
        <v>136731</v>
      </c>
      <c r="E487" s="361">
        <f t="shared" si="44"/>
        <v>614472.74</v>
      </c>
      <c r="F487" s="361">
        <f t="shared" si="45"/>
        <v>1754391.39</v>
      </c>
      <c r="G487" s="361">
        <f t="shared" si="46"/>
        <v>1268157.3700000001</v>
      </c>
      <c r="H487" s="374">
        <v>0</v>
      </c>
      <c r="I487" s="374">
        <v>0</v>
      </c>
      <c r="J487" s="374">
        <v>0</v>
      </c>
      <c r="K487" s="374">
        <v>0</v>
      </c>
      <c r="L487" s="374">
        <v>0</v>
      </c>
      <c r="M487" s="374">
        <v>0</v>
      </c>
      <c r="N487" s="374">
        <v>0</v>
      </c>
      <c r="O487" s="374">
        <v>136731</v>
      </c>
      <c r="P487" s="374">
        <v>307294.06</v>
      </c>
      <c r="Q487" s="374">
        <v>307178.68</v>
      </c>
      <c r="R487" s="374">
        <v>0</v>
      </c>
      <c r="S487" s="374">
        <v>0</v>
      </c>
      <c r="T487" s="374">
        <v>1027031.94</v>
      </c>
      <c r="U487" s="374">
        <v>354241.36</v>
      </c>
      <c r="V487" s="374">
        <v>0</v>
      </c>
      <c r="W487" s="374">
        <v>373118.09</v>
      </c>
      <c r="X487" s="374">
        <v>165668.31</v>
      </c>
      <c r="Y487" s="374">
        <v>270241.5</v>
      </c>
      <c r="Z487" s="374">
        <v>27981.1</v>
      </c>
      <c r="AA487" s="367">
        <v>804266.46000000008</v>
      </c>
      <c r="AB487" s="374">
        <v>0</v>
      </c>
      <c r="AC487" s="369">
        <v>3773752.5</v>
      </c>
      <c r="AD487" s="369">
        <v>3773752.5</v>
      </c>
      <c r="AE487" s="444">
        <v>0</v>
      </c>
    </row>
    <row r="488" spans="1:31">
      <c r="A488" s="488" t="s">
        <v>1166</v>
      </c>
      <c r="B488" s="489" t="s">
        <v>1167</v>
      </c>
      <c r="C488" s="361">
        <f t="shared" si="42"/>
        <v>0</v>
      </c>
      <c r="D488" s="361">
        <f t="shared" si="43"/>
        <v>0</v>
      </c>
      <c r="E488" s="361">
        <f t="shared" si="44"/>
        <v>0</v>
      </c>
      <c r="F488" s="361">
        <f t="shared" si="45"/>
        <v>90955.47</v>
      </c>
      <c r="G488" s="361">
        <f t="shared" si="46"/>
        <v>154606.88</v>
      </c>
      <c r="H488" s="374">
        <v>0</v>
      </c>
      <c r="I488" s="374">
        <v>0</v>
      </c>
      <c r="J488" s="374">
        <v>0</v>
      </c>
      <c r="K488" s="374">
        <v>0</v>
      </c>
      <c r="L488" s="374">
        <v>0</v>
      </c>
      <c r="M488" s="374">
        <v>0</v>
      </c>
      <c r="N488" s="374">
        <v>0</v>
      </c>
      <c r="O488" s="374">
        <v>0</v>
      </c>
      <c r="P488" s="374">
        <v>0</v>
      </c>
      <c r="Q488" s="374">
        <v>0</v>
      </c>
      <c r="R488" s="374">
        <v>0</v>
      </c>
      <c r="S488" s="374">
        <v>0</v>
      </c>
      <c r="T488" s="374">
        <v>0</v>
      </c>
      <c r="U488" s="374">
        <v>0</v>
      </c>
      <c r="V488" s="374">
        <v>45447.27</v>
      </c>
      <c r="W488" s="374">
        <v>45508.2</v>
      </c>
      <c r="X488" s="374">
        <v>22815.03</v>
      </c>
      <c r="Y488" s="374">
        <v>0</v>
      </c>
      <c r="Z488" s="383">
        <v>68091.649999999994</v>
      </c>
      <c r="AA488" s="367">
        <v>63700.2</v>
      </c>
      <c r="AB488" s="374">
        <v>2.9103830456733704E-11</v>
      </c>
      <c r="AC488" s="369">
        <v>245562.34999999998</v>
      </c>
      <c r="AD488" s="369">
        <v>227541</v>
      </c>
      <c r="AE488" s="444">
        <v>-18021.349999999999</v>
      </c>
    </row>
    <row r="489" spans="1:31">
      <c r="A489" s="488" t="s">
        <v>1168</v>
      </c>
      <c r="B489" s="490" t="s">
        <v>1169</v>
      </c>
      <c r="C489" s="361">
        <f t="shared" si="42"/>
        <v>0</v>
      </c>
      <c r="D489" s="361">
        <f t="shared" si="43"/>
        <v>584574.46</v>
      </c>
      <c r="E489" s="361">
        <f t="shared" si="44"/>
        <v>240252.87</v>
      </c>
      <c r="F489" s="361">
        <f t="shared" si="45"/>
        <v>768681.60000000009</v>
      </c>
      <c r="G489" s="361">
        <f t="shared" si="46"/>
        <v>536080.07000000007</v>
      </c>
      <c r="H489" s="374">
        <v>0</v>
      </c>
      <c r="I489" s="374">
        <v>0</v>
      </c>
      <c r="J489" s="374">
        <v>0</v>
      </c>
      <c r="K489" s="374">
        <v>0</v>
      </c>
      <c r="L489" s="374">
        <v>127614.29000000001</v>
      </c>
      <c r="M489" s="374">
        <v>301235.03999999998</v>
      </c>
      <c r="N489" s="374">
        <v>155725.13</v>
      </c>
      <c r="O489" s="374">
        <v>0</v>
      </c>
      <c r="P489" s="374">
        <v>50944.9</v>
      </c>
      <c r="Q489" s="374">
        <v>100281.84999999999</v>
      </c>
      <c r="R489" s="374">
        <v>0</v>
      </c>
      <c r="S489" s="374">
        <v>89026.12</v>
      </c>
      <c r="T489" s="374">
        <v>167352.79999999999</v>
      </c>
      <c r="U489" s="374">
        <v>0</v>
      </c>
      <c r="V489" s="374">
        <v>601328.80000000005</v>
      </c>
      <c r="W489" s="374">
        <v>0</v>
      </c>
      <c r="X489" s="374">
        <v>0</v>
      </c>
      <c r="Y489" s="374">
        <v>0</v>
      </c>
      <c r="Z489" s="383">
        <v>0</v>
      </c>
      <c r="AA489" s="367">
        <v>536080.07000000007</v>
      </c>
      <c r="AB489" s="374">
        <v>0</v>
      </c>
      <c r="AC489" s="369">
        <v>2129589</v>
      </c>
      <c r="AD489" s="369">
        <v>2129589</v>
      </c>
      <c r="AE489" s="444">
        <v>0</v>
      </c>
    </row>
    <row r="490" spans="1:31">
      <c r="A490" s="488" t="s">
        <v>1170</v>
      </c>
      <c r="B490" s="490" t="s">
        <v>1171</v>
      </c>
      <c r="C490" s="361">
        <f t="shared" si="42"/>
        <v>0</v>
      </c>
      <c r="D490" s="361">
        <f t="shared" si="43"/>
        <v>0</v>
      </c>
      <c r="E490" s="361">
        <f t="shared" si="44"/>
        <v>0</v>
      </c>
      <c r="F490" s="361">
        <f t="shared" si="45"/>
        <v>45709.74</v>
      </c>
      <c r="G490" s="361">
        <f t="shared" si="46"/>
        <v>0</v>
      </c>
      <c r="H490" s="374">
        <v>0</v>
      </c>
      <c r="I490" s="374">
        <v>0</v>
      </c>
      <c r="J490" s="374">
        <v>0</v>
      </c>
      <c r="K490" s="374">
        <v>0</v>
      </c>
      <c r="L490" s="374">
        <v>0</v>
      </c>
      <c r="M490" s="374">
        <v>0</v>
      </c>
      <c r="N490" s="374">
        <v>0</v>
      </c>
      <c r="O490" s="374">
        <v>0</v>
      </c>
      <c r="P490" s="374">
        <v>0</v>
      </c>
      <c r="Q490" s="374">
        <v>0</v>
      </c>
      <c r="R490" s="374">
        <v>0</v>
      </c>
      <c r="S490" s="374">
        <v>0</v>
      </c>
      <c r="T490" s="374">
        <v>0</v>
      </c>
      <c r="U490" s="374">
        <v>0</v>
      </c>
      <c r="V490" s="374">
        <v>14305.62</v>
      </c>
      <c r="W490" s="374">
        <v>31404.12</v>
      </c>
      <c r="X490" s="374">
        <v>0</v>
      </c>
      <c r="Y490" s="374">
        <v>0</v>
      </c>
      <c r="Z490" s="374">
        <v>0</v>
      </c>
      <c r="AA490" s="367">
        <v>0</v>
      </c>
      <c r="AB490" s="374">
        <v>0</v>
      </c>
      <c r="AC490" s="369">
        <v>45709.74</v>
      </c>
      <c r="AD490" s="369">
        <v>45709.74</v>
      </c>
      <c r="AE490" s="444">
        <v>0</v>
      </c>
    </row>
    <row r="491" spans="1:31">
      <c r="A491" s="488" t="s">
        <v>1172</v>
      </c>
      <c r="B491" s="490" t="s">
        <v>1173</v>
      </c>
      <c r="C491" s="361">
        <f t="shared" si="42"/>
        <v>0</v>
      </c>
      <c r="D491" s="361">
        <f t="shared" si="43"/>
        <v>0</v>
      </c>
      <c r="E491" s="361">
        <f t="shared" si="44"/>
        <v>0</v>
      </c>
      <c r="F491" s="361">
        <f t="shared" si="45"/>
        <v>0</v>
      </c>
      <c r="G491" s="361">
        <f t="shared" si="46"/>
        <v>9150.32</v>
      </c>
      <c r="H491" s="374">
        <v>0</v>
      </c>
      <c r="I491" s="374">
        <v>0</v>
      </c>
      <c r="J491" s="374">
        <v>0</v>
      </c>
      <c r="K491" s="374">
        <v>0</v>
      </c>
      <c r="L491" s="374">
        <v>0</v>
      </c>
      <c r="M491" s="374">
        <v>0</v>
      </c>
      <c r="N491" s="374">
        <v>0</v>
      </c>
      <c r="O491" s="374">
        <v>0</v>
      </c>
      <c r="P491" s="374">
        <v>0</v>
      </c>
      <c r="Q491" s="374">
        <v>0</v>
      </c>
      <c r="R491" s="374">
        <v>0</v>
      </c>
      <c r="S491" s="374">
        <v>0</v>
      </c>
      <c r="T491" s="374">
        <v>0</v>
      </c>
      <c r="U491" s="374">
        <v>0</v>
      </c>
      <c r="V491" s="374">
        <v>0</v>
      </c>
      <c r="W491" s="374">
        <v>0</v>
      </c>
      <c r="X491" s="374">
        <v>0</v>
      </c>
      <c r="Y491" s="374">
        <v>0</v>
      </c>
      <c r="Z491" s="374">
        <v>0</v>
      </c>
      <c r="AA491" s="367">
        <v>9150.32</v>
      </c>
      <c r="AB491" s="374">
        <v>0</v>
      </c>
      <c r="AC491" s="369">
        <v>9150.32</v>
      </c>
      <c r="AD491" s="369">
        <v>9129.6299999999992</v>
      </c>
      <c r="AE491" s="444">
        <v>-20.69</v>
      </c>
    </row>
    <row r="492" spans="1:31">
      <c r="A492" s="384" t="s">
        <v>535</v>
      </c>
      <c r="B492" s="385">
        <v>0</v>
      </c>
      <c r="C492" s="361">
        <f t="shared" si="42"/>
        <v>0</v>
      </c>
      <c r="D492" s="361">
        <f t="shared" si="43"/>
        <v>0</v>
      </c>
      <c r="E492" s="361">
        <f t="shared" si="44"/>
        <v>0</v>
      </c>
      <c r="F492" s="361">
        <f t="shared" si="45"/>
        <v>0</v>
      </c>
      <c r="G492" s="361">
        <f t="shared" si="46"/>
        <v>0</v>
      </c>
      <c r="H492" s="386">
        <v>0</v>
      </c>
      <c r="I492" s="386">
        <v>0</v>
      </c>
      <c r="J492" s="386">
        <v>0</v>
      </c>
      <c r="K492" s="386">
        <v>0</v>
      </c>
      <c r="L492" s="386">
        <v>0</v>
      </c>
      <c r="M492" s="386">
        <v>0</v>
      </c>
      <c r="N492" s="386">
        <v>0</v>
      </c>
      <c r="O492" s="386">
        <v>0</v>
      </c>
      <c r="P492" s="386">
        <v>0</v>
      </c>
      <c r="Q492" s="386">
        <v>0</v>
      </c>
      <c r="R492" s="386">
        <v>0</v>
      </c>
      <c r="S492" s="386">
        <v>0</v>
      </c>
      <c r="T492" s="386">
        <v>0</v>
      </c>
      <c r="U492" s="386">
        <v>0</v>
      </c>
      <c r="V492" s="386">
        <v>0</v>
      </c>
      <c r="W492" s="386">
        <v>0</v>
      </c>
      <c r="X492" s="386">
        <v>0</v>
      </c>
      <c r="Y492" s="386">
        <v>0</v>
      </c>
      <c r="Z492" s="386">
        <v>0</v>
      </c>
      <c r="AA492" s="387">
        <v>0</v>
      </c>
      <c r="AB492" s="386"/>
      <c r="AC492" s="373">
        <v>0</v>
      </c>
      <c r="AD492" s="373">
        <v>0</v>
      </c>
      <c r="AE492" s="369">
        <v>0</v>
      </c>
    </row>
    <row r="493" spans="1:31" ht="25.5">
      <c r="A493" s="384" t="s">
        <v>536</v>
      </c>
      <c r="B493" s="385">
        <v>0</v>
      </c>
      <c r="C493" s="361">
        <f t="shared" si="42"/>
        <v>0</v>
      </c>
      <c r="D493" s="361">
        <f t="shared" si="43"/>
        <v>0</v>
      </c>
      <c r="E493" s="361">
        <f t="shared" si="44"/>
        <v>0</v>
      </c>
      <c r="F493" s="361">
        <f t="shared" si="45"/>
        <v>0</v>
      </c>
      <c r="G493" s="361">
        <f t="shared" si="46"/>
        <v>0</v>
      </c>
      <c r="H493" s="386">
        <v>0</v>
      </c>
      <c r="I493" s="386">
        <v>0</v>
      </c>
      <c r="J493" s="386">
        <v>0</v>
      </c>
      <c r="K493" s="386">
        <v>0</v>
      </c>
      <c r="L493" s="386">
        <v>0</v>
      </c>
      <c r="M493" s="386">
        <v>0</v>
      </c>
      <c r="N493" s="386">
        <v>0</v>
      </c>
      <c r="O493" s="386">
        <v>0</v>
      </c>
      <c r="P493" s="386">
        <v>0</v>
      </c>
      <c r="Q493" s="386">
        <v>0</v>
      </c>
      <c r="R493" s="386">
        <v>0</v>
      </c>
      <c r="S493" s="386">
        <v>0</v>
      </c>
      <c r="T493" s="386">
        <v>0</v>
      </c>
      <c r="U493" s="386">
        <v>0</v>
      </c>
      <c r="V493" s="386">
        <v>0</v>
      </c>
      <c r="W493" s="386">
        <v>0</v>
      </c>
      <c r="X493" s="386">
        <v>0</v>
      </c>
      <c r="Y493" s="386">
        <v>0</v>
      </c>
      <c r="Z493" s="386">
        <v>0</v>
      </c>
      <c r="AA493" s="387">
        <v>0</v>
      </c>
      <c r="AB493" s="386">
        <v>0</v>
      </c>
      <c r="AC493" s="373">
        <v>0</v>
      </c>
      <c r="AD493" s="373">
        <v>0</v>
      </c>
      <c r="AE493" s="369">
        <v>0</v>
      </c>
    </row>
    <row r="494" spans="1:31">
      <c r="A494" s="384" t="s">
        <v>537</v>
      </c>
      <c r="B494" s="385"/>
      <c r="C494" s="361">
        <f t="shared" si="42"/>
        <v>0</v>
      </c>
      <c r="D494" s="361">
        <f t="shared" si="43"/>
        <v>0</v>
      </c>
      <c r="E494" s="361">
        <f t="shared" si="44"/>
        <v>0</v>
      </c>
      <c r="F494" s="361">
        <f t="shared" si="45"/>
        <v>0</v>
      </c>
      <c r="G494" s="361">
        <f t="shared" si="46"/>
        <v>5218.9399999999996</v>
      </c>
      <c r="H494" s="386">
        <v>0</v>
      </c>
      <c r="I494" s="386">
        <v>0</v>
      </c>
      <c r="J494" s="386">
        <v>0</v>
      </c>
      <c r="K494" s="386">
        <v>0</v>
      </c>
      <c r="L494" s="386">
        <v>0</v>
      </c>
      <c r="M494" s="386">
        <v>0</v>
      </c>
      <c r="N494" s="386">
        <v>0</v>
      </c>
      <c r="O494" s="386">
        <v>0</v>
      </c>
      <c r="P494" s="386">
        <v>0</v>
      </c>
      <c r="Q494" s="386">
        <v>0</v>
      </c>
      <c r="R494" s="386">
        <v>0</v>
      </c>
      <c r="S494" s="386">
        <v>0</v>
      </c>
      <c r="T494" s="386">
        <v>0</v>
      </c>
      <c r="U494" s="386">
        <v>0</v>
      </c>
      <c r="V494" s="386">
        <v>0</v>
      </c>
      <c r="W494" s="386">
        <v>0</v>
      </c>
      <c r="X494" s="386">
        <v>0</v>
      </c>
      <c r="Y494" s="386">
        <v>0</v>
      </c>
      <c r="Z494" s="386">
        <v>0</v>
      </c>
      <c r="AA494" s="387">
        <v>5218.9399999999996</v>
      </c>
      <c r="AB494" s="386"/>
      <c r="AC494" s="373">
        <v>5218.9399999999996</v>
      </c>
      <c r="AD494" s="373">
        <v>139071.87</v>
      </c>
      <c r="AE494" s="369">
        <v>133852.93</v>
      </c>
    </row>
    <row r="495" spans="1:31">
      <c r="A495" s="491" t="s">
        <v>1174</v>
      </c>
      <c r="B495" s="492">
        <v>0</v>
      </c>
      <c r="C495" s="361">
        <f t="shared" si="42"/>
        <v>52480.54</v>
      </c>
      <c r="D495" s="361">
        <f t="shared" si="43"/>
        <v>1414840.12</v>
      </c>
      <c r="E495" s="361">
        <f t="shared" si="44"/>
        <v>3977263.4499999997</v>
      </c>
      <c r="F495" s="361">
        <f t="shared" si="45"/>
        <v>4280333.4000000004</v>
      </c>
      <c r="G495" s="361">
        <f t="shared" si="46"/>
        <v>6530228.6890909094</v>
      </c>
      <c r="H495" s="423">
        <v>0</v>
      </c>
      <c r="I495" s="423">
        <v>0</v>
      </c>
      <c r="J495" s="423">
        <v>52480.54</v>
      </c>
      <c r="K495" s="423">
        <v>0</v>
      </c>
      <c r="L495" s="423">
        <v>127614.29000000001</v>
      </c>
      <c r="M495" s="423">
        <v>410493.69999999995</v>
      </c>
      <c r="N495" s="423">
        <v>306608.12</v>
      </c>
      <c r="O495" s="423">
        <v>570124.01</v>
      </c>
      <c r="P495" s="423">
        <v>1599773.56</v>
      </c>
      <c r="Q495" s="437">
        <v>588379.49</v>
      </c>
      <c r="R495" s="423">
        <v>1028495.55</v>
      </c>
      <c r="S495" s="423">
        <v>760614.85</v>
      </c>
      <c r="T495" s="423">
        <v>1565210.12</v>
      </c>
      <c r="U495" s="423">
        <v>979031.07</v>
      </c>
      <c r="V495" s="423">
        <v>1075415.58</v>
      </c>
      <c r="W495" s="423">
        <v>660676.63</v>
      </c>
      <c r="X495" s="423">
        <v>311664.8</v>
      </c>
      <c r="Y495" s="423">
        <v>408130.44</v>
      </c>
      <c r="Z495" s="423">
        <v>241563.58</v>
      </c>
      <c r="AA495" s="423">
        <v>5568869.8690909091</v>
      </c>
      <c r="AB495" s="423">
        <v>25197.230303030494</v>
      </c>
      <c r="AC495" s="423">
        <v>16255146.199090909</v>
      </c>
      <c r="AD495" s="423">
        <v>15564617.26</v>
      </c>
      <c r="AE495" s="423">
        <v>-690528.94</v>
      </c>
    </row>
    <row r="496" spans="1:31">
      <c r="A496" s="425" t="s">
        <v>1175</v>
      </c>
      <c r="B496" s="426"/>
      <c r="C496" s="361">
        <f t="shared" si="42"/>
        <v>0</v>
      </c>
      <c r="D496" s="361">
        <f t="shared" si="43"/>
        <v>0</v>
      </c>
      <c r="E496" s="361">
        <f t="shared" si="44"/>
        <v>0</v>
      </c>
      <c r="F496" s="361">
        <f t="shared" si="45"/>
        <v>0</v>
      </c>
      <c r="G496" s="361">
        <f t="shared" si="46"/>
        <v>0</v>
      </c>
      <c r="H496" s="480"/>
      <c r="I496" s="480"/>
      <c r="J496" s="480"/>
      <c r="K496" s="480"/>
      <c r="L496" s="480"/>
      <c r="M496" s="480"/>
      <c r="N496" s="480"/>
      <c r="O496" s="480"/>
      <c r="P496" s="480">
        <v>0</v>
      </c>
      <c r="Q496" s="481">
        <v>0</v>
      </c>
      <c r="R496" s="480">
        <v>0</v>
      </c>
      <c r="S496" s="480">
        <v>0</v>
      </c>
      <c r="T496" s="480">
        <v>0</v>
      </c>
      <c r="U496" s="480">
        <v>0</v>
      </c>
      <c r="V496" s="480">
        <v>0</v>
      </c>
      <c r="W496" s="480">
        <v>0</v>
      </c>
      <c r="X496" s="480">
        <v>0</v>
      </c>
      <c r="Y496" s="480">
        <v>0</v>
      </c>
      <c r="Z496" s="480">
        <v>0</v>
      </c>
      <c r="AA496" s="480">
        <v>0</v>
      </c>
      <c r="AB496" s="480"/>
      <c r="AC496" s="473"/>
      <c r="AD496" s="473">
        <v>0</v>
      </c>
      <c r="AE496" s="473">
        <v>0</v>
      </c>
    </row>
    <row r="497" spans="1:31">
      <c r="A497" s="493" t="s">
        <v>1176</v>
      </c>
      <c r="B497" s="494"/>
      <c r="C497" s="361">
        <f t="shared" si="42"/>
        <v>3677860.5199999996</v>
      </c>
      <c r="D497" s="361">
        <f t="shared" si="43"/>
        <v>7951998.0944189625</v>
      </c>
      <c r="E497" s="361">
        <f t="shared" si="44"/>
        <v>10555227.849999998</v>
      </c>
      <c r="F497" s="361">
        <f t="shared" si="45"/>
        <v>8149787.8200000003</v>
      </c>
      <c r="G497" s="361">
        <f t="shared" si="46"/>
        <v>12264306.243000001</v>
      </c>
      <c r="H497" s="495">
        <v>0</v>
      </c>
      <c r="I497" s="495">
        <v>451639.71</v>
      </c>
      <c r="J497" s="495">
        <v>1154350.7999999998</v>
      </c>
      <c r="K497" s="495">
        <v>2071870.01</v>
      </c>
      <c r="L497" s="495">
        <v>1923912.9300000002</v>
      </c>
      <c r="M497" s="495">
        <v>2003172.2644189626</v>
      </c>
      <c r="N497" s="495">
        <v>1917811.9499999997</v>
      </c>
      <c r="O497" s="495">
        <v>2107100.9500000002</v>
      </c>
      <c r="P497" s="495">
        <v>2270919.79</v>
      </c>
      <c r="Q497" s="496">
        <v>2763184</v>
      </c>
      <c r="R497" s="495">
        <v>3012832.0799999996</v>
      </c>
      <c r="S497" s="495">
        <v>2508291.9799999995</v>
      </c>
      <c r="T497" s="495">
        <v>2727918.8000000007</v>
      </c>
      <c r="U497" s="495">
        <v>2326885.17</v>
      </c>
      <c r="V497" s="495">
        <v>1509953.3600000006</v>
      </c>
      <c r="W497" s="495">
        <v>1585030.4899999998</v>
      </c>
      <c r="X497" s="495">
        <v>1546739.65</v>
      </c>
      <c r="Y497" s="495">
        <v>1585347.58</v>
      </c>
      <c r="Z497" s="495">
        <v>2260634.1399999997</v>
      </c>
      <c r="AA497" s="362">
        <v>6871584.8730000006</v>
      </c>
      <c r="AB497" s="495">
        <v>5163648.3054680126</v>
      </c>
      <c r="AC497" s="364">
        <v>42477193.913000003</v>
      </c>
      <c r="AD497" s="495">
        <v>47652627.539999999</v>
      </c>
      <c r="AE497" s="364">
        <v>5175433.63</v>
      </c>
    </row>
    <row r="498" spans="1:31">
      <c r="A498" s="497" t="s">
        <v>1177</v>
      </c>
      <c r="B498" s="498"/>
      <c r="C498" s="361">
        <f t="shared" si="42"/>
        <v>2678691.7000000002</v>
      </c>
      <c r="D498" s="361">
        <f t="shared" si="43"/>
        <v>5301232.929320924</v>
      </c>
      <c r="E498" s="361">
        <f t="shared" si="44"/>
        <v>6176362.8600000003</v>
      </c>
      <c r="F498" s="361">
        <f t="shared" si="45"/>
        <v>6375630.2000000011</v>
      </c>
      <c r="G498" s="361">
        <f t="shared" si="46"/>
        <v>11540620.053000001</v>
      </c>
      <c r="H498" s="499">
        <v>0</v>
      </c>
      <c r="I498" s="499">
        <v>433316.71</v>
      </c>
      <c r="J498" s="499">
        <v>856765.29999999993</v>
      </c>
      <c r="K498" s="499">
        <v>1388609.69</v>
      </c>
      <c r="L498" s="499">
        <v>1302778.8000000003</v>
      </c>
      <c r="M498" s="499">
        <v>1309410.4393209233</v>
      </c>
      <c r="N498" s="499">
        <v>1445599.88</v>
      </c>
      <c r="O498" s="499">
        <v>1243443.81</v>
      </c>
      <c r="P498" s="499">
        <v>1389950.42</v>
      </c>
      <c r="Q498" s="500">
        <v>1530751.03</v>
      </c>
      <c r="R498" s="499">
        <v>1861859.52</v>
      </c>
      <c r="S498" s="499">
        <v>1393801.8899999997</v>
      </c>
      <c r="T498" s="499">
        <v>1518294.4800000004</v>
      </c>
      <c r="U498" s="499">
        <v>1991511.2200000002</v>
      </c>
      <c r="V498" s="499">
        <v>1399073.8100000005</v>
      </c>
      <c r="W498" s="499">
        <v>1466750.69</v>
      </c>
      <c r="X498" s="499">
        <v>1488253.2999999998</v>
      </c>
      <c r="Y498" s="499">
        <v>1543662.1600000001</v>
      </c>
      <c r="Z498" s="499">
        <v>2220419.61</v>
      </c>
      <c r="AA498" s="392">
        <v>6288284.9830000009</v>
      </c>
      <c r="AB498" s="499">
        <v>1315.435468013002</v>
      </c>
      <c r="AC498" s="501">
        <v>31973658.152999997</v>
      </c>
      <c r="AD498" s="501">
        <v>34802445.719999999</v>
      </c>
      <c r="AE498" s="502">
        <v>2828787.57</v>
      </c>
    </row>
    <row r="499" spans="1:31">
      <c r="A499" s="503" t="s">
        <v>1178</v>
      </c>
      <c r="B499" s="504"/>
      <c r="C499" s="361">
        <f t="shared" si="42"/>
        <v>1569309.15</v>
      </c>
      <c r="D499" s="361">
        <f t="shared" si="43"/>
        <v>3417833.0509919026</v>
      </c>
      <c r="E499" s="361">
        <f t="shared" si="44"/>
        <v>4430363.8600000003</v>
      </c>
      <c r="F499" s="361">
        <f t="shared" si="45"/>
        <v>4904122.4100000011</v>
      </c>
      <c r="G499" s="361">
        <f t="shared" si="46"/>
        <v>8525912.3499999996</v>
      </c>
      <c r="H499" s="505">
        <v>0</v>
      </c>
      <c r="I499" s="505">
        <v>223155</v>
      </c>
      <c r="J499" s="505">
        <v>528427.40999999992</v>
      </c>
      <c r="K499" s="505">
        <v>817726.74</v>
      </c>
      <c r="L499" s="505">
        <v>755849.71</v>
      </c>
      <c r="M499" s="505">
        <v>852981.8109919026</v>
      </c>
      <c r="N499" s="505">
        <v>992878.1399999999</v>
      </c>
      <c r="O499" s="505">
        <v>816123.39</v>
      </c>
      <c r="P499" s="505">
        <v>1002554</v>
      </c>
      <c r="Q499" s="506">
        <v>1115263.1800000002</v>
      </c>
      <c r="R499" s="505">
        <v>1276044.05</v>
      </c>
      <c r="S499" s="505">
        <v>1036502.6299999997</v>
      </c>
      <c r="T499" s="505">
        <v>1166554.6200000006</v>
      </c>
      <c r="U499" s="505">
        <v>1578773.01</v>
      </c>
      <c r="V499" s="505">
        <v>1067348.6800000002</v>
      </c>
      <c r="W499" s="505">
        <v>1091446.1000000001</v>
      </c>
      <c r="X499" s="505">
        <v>1122569.2</v>
      </c>
      <c r="Y499" s="505">
        <v>1161041.56</v>
      </c>
      <c r="Z499" s="505">
        <v>1702645.44</v>
      </c>
      <c r="AA499" s="505">
        <v>4539656.1500000004</v>
      </c>
      <c r="AB499" s="505">
        <v>-8.7311491370201111E-10</v>
      </c>
      <c r="AC499" s="369">
        <v>22847540.82</v>
      </c>
      <c r="AD499" s="369">
        <v>23574337.199999999</v>
      </c>
      <c r="AE499" s="444">
        <v>726796.38</v>
      </c>
    </row>
    <row r="500" spans="1:31">
      <c r="A500" s="447" t="s">
        <v>1179</v>
      </c>
      <c r="B500" s="446">
        <v>0.52067183012027018</v>
      </c>
      <c r="C500" s="361">
        <f t="shared" si="42"/>
        <v>838528.01</v>
      </c>
      <c r="D500" s="361">
        <f t="shared" si="43"/>
        <v>1343911.9300000002</v>
      </c>
      <c r="E500" s="361">
        <f t="shared" si="44"/>
        <v>1684709.97</v>
      </c>
      <c r="F500" s="361">
        <f t="shared" si="45"/>
        <v>1708031.7400000002</v>
      </c>
      <c r="G500" s="361">
        <f t="shared" si="46"/>
        <v>3142901.0799999996</v>
      </c>
      <c r="H500" s="371">
        <v>0</v>
      </c>
      <c r="I500" s="371">
        <v>150218</v>
      </c>
      <c r="J500" s="371">
        <v>317707.52000000002</v>
      </c>
      <c r="K500" s="371">
        <v>370602.49</v>
      </c>
      <c r="L500" s="371">
        <v>371788</v>
      </c>
      <c r="M500" s="371">
        <v>297630.13</v>
      </c>
      <c r="N500" s="371">
        <v>337470.03</v>
      </c>
      <c r="O500" s="371">
        <v>337023.77</v>
      </c>
      <c r="P500" s="371">
        <v>486054</v>
      </c>
      <c r="Q500" s="371">
        <v>357654.92999999993</v>
      </c>
      <c r="R500" s="371">
        <v>427559.61</v>
      </c>
      <c r="S500" s="371">
        <v>413441.42999999988</v>
      </c>
      <c r="T500" s="371">
        <v>464548.21000000049</v>
      </c>
      <c r="U500" s="371">
        <v>382256.34999999969</v>
      </c>
      <c r="V500" s="371">
        <v>427262.86000000016</v>
      </c>
      <c r="W500" s="371">
        <v>433964.31999999995</v>
      </c>
      <c r="X500" s="371">
        <v>456142.30999999994</v>
      </c>
      <c r="Y500" s="371">
        <v>466036.24999999988</v>
      </c>
      <c r="Z500" s="372">
        <v>654253.30999999982</v>
      </c>
      <c r="AA500" s="367">
        <v>1566469.21</v>
      </c>
      <c r="AB500" s="371">
        <v>-9.3132257461547852E-10</v>
      </c>
      <c r="AC500" s="369">
        <v>8718082.7300000004</v>
      </c>
      <c r="AD500" s="369">
        <v>8319215.2999999998</v>
      </c>
      <c r="AE500" s="444">
        <v>-398867.43</v>
      </c>
    </row>
    <row r="501" spans="1:31">
      <c r="A501" s="447" t="s">
        <v>1180</v>
      </c>
      <c r="B501" s="446">
        <v>0.44385550086947823</v>
      </c>
      <c r="C501" s="361">
        <f t="shared" si="42"/>
        <v>410803.78</v>
      </c>
      <c r="D501" s="361">
        <f t="shared" si="43"/>
        <v>1109008.8489999906</v>
      </c>
      <c r="E501" s="361">
        <f t="shared" si="44"/>
        <v>1466821.5099999998</v>
      </c>
      <c r="F501" s="361">
        <f t="shared" si="45"/>
        <v>1679467.5800000005</v>
      </c>
      <c r="G501" s="361">
        <f t="shared" si="46"/>
        <v>2910755.96</v>
      </c>
      <c r="H501" s="371">
        <v>0</v>
      </c>
      <c r="I501" s="371">
        <v>57224</v>
      </c>
      <c r="J501" s="371">
        <v>126162.77</v>
      </c>
      <c r="K501" s="371">
        <v>227417.01</v>
      </c>
      <c r="L501" s="371">
        <v>256662</v>
      </c>
      <c r="M501" s="371">
        <v>235804.0789999906</v>
      </c>
      <c r="N501" s="371">
        <v>286960.34000000003</v>
      </c>
      <c r="O501" s="371">
        <v>329582.43</v>
      </c>
      <c r="P501" s="371">
        <v>336994</v>
      </c>
      <c r="Q501" s="371">
        <v>327656.79000000004</v>
      </c>
      <c r="R501" s="371">
        <v>397487.97000000003</v>
      </c>
      <c r="S501" s="371">
        <v>404682.74999999988</v>
      </c>
      <c r="T501" s="371">
        <v>468312.17000000016</v>
      </c>
      <c r="U501" s="371">
        <v>385479.99000000017</v>
      </c>
      <c r="V501" s="371">
        <v>416357.25000000023</v>
      </c>
      <c r="W501" s="371">
        <v>409318.17</v>
      </c>
      <c r="X501" s="371">
        <v>424578.42</v>
      </c>
      <c r="Y501" s="371">
        <v>441984.25</v>
      </c>
      <c r="Z501" s="372">
        <v>684097.16000000015</v>
      </c>
      <c r="AA501" s="367">
        <v>1360096.13</v>
      </c>
      <c r="AB501" s="371">
        <v>0</v>
      </c>
      <c r="AC501" s="369">
        <v>7576857.6799999997</v>
      </c>
      <c r="AD501" s="369">
        <v>6962937.29</v>
      </c>
      <c r="AE501" s="444">
        <v>-613920.39</v>
      </c>
    </row>
    <row r="502" spans="1:31">
      <c r="A502" s="447" t="s">
        <v>1181</v>
      </c>
      <c r="B502" s="446">
        <v>3.547266901025159E-2</v>
      </c>
      <c r="C502" s="361">
        <f t="shared" si="42"/>
        <v>25371.75</v>
      </c>
      <c r="D502" s="361">
        <f t="shared" si="43"/>
        <v>111100.19699999999</v>
      </c>
      <c r="E502" s="361">
        <f t="shared" si="44"/>
        <v>110785.70999999999</v>
      </c>
      <c r="F502" s="361">
        <f t="shared" si="45"/>
        <v>137129.71999999991</v>
      </c>
      <c r="G502" s="361">
        <f t="shared" si="46"/>
        <v>224031.03999999992</v>
      </c>
      <c r="H502" s="371">
        <v>0</v>
      </c>
      <c r="I502" s="371">
        <v>3180</v>
      </c>
      <c r="J502" s="371">
        <v>7940.1399999999994</v>
      </c>
      <c r="K502" s="371">
        <v>14251.61</v>
      </c>
      <c r="L502" s="371">
        <v>28545</v>
      </c>
      <c r="M502" s="371">
        <v>31413.116999999998</v>
      </c>
      <c r="N502" s="371">
        <v>27269.68</v>
      </c>
      <c r="O502" s="371">
        <v>23872.400000000001</v>
      </c>
      <c r="P502" s="371">
        <v>25655</v>
      </c>
      <c r="Q502" s="371">
        <v>27488.48</v>
      </c>
      <c r="R502" s="371">
        <v>29514.7</v>
      </c>
      <c r="S502" s="371">
        <v>28127.53</v>
      </c>
      <c r="T502" s="371">
        <v>39989.279999999999</v>
      </c>
      <c r="U502" s="371">
        <v>31228.79999999993</v>
      </c>
      <c r="V502" s="371">
        <v>32426.079999999973</v>
      </c>
      <c r="W502" s="371">
        <v>33485.56</v>
      </c>
      <c r="X502" s="371">
        <v>28916.309999999998</v>
      </c>
      <c r="Y502" s="371">
        <v>30573.87999999999</v>
      </c>
      <c r="Z502" s="372">
        <v>53925.279999999955</v>
      </c>
      <c r="AA502" s="367">
        <v>110615.56999999999</v>
      </c>
      <c r="AB502" s="371">
        <v>-5.8207660913467407E-11</v>
      </c>
      <c r="AC502" s="369">
        <v>608418.41999999993</v>
      </c>
      <c r="AD502" s="369">
        <v>565351.64</v>
      </c>
      <c r="AE502" s="444">
        <v>-43066.78</v>
      </c>
    </row>
    <row r="503" spans="1:31">
      <c r="A503" s="447" t="s">
        <v>1182</v>
      </c>
      <c r="B503" s="446"/>
      <c r="C503" s="361">
        <f t="shared" si="42"/>
        <v>294605.61</v>
      </c>
      <c r="D503" s="361">
        <f t="shared" si="43"/>
        <v>608450.06298066897</v>
      </c>
      <c r="E503" s="361">
        <f t="shared" si="44"/>
        <v>755284.17999999993</v>
      </c>
      <c r="F503" s="361">
        <f t="shared" si="45"/>
        <v>874495.37000000011</v>
      </c>
      <c r="G503" s="361">
        <f t="shared" si="46"/>
        <v>1595681.42</v>
      </c>
      <c r="H503" s="371">
        <v>0</v>
      </c>
      <c r="I503" s="371">
        <v>12533</v>
      </c>
      <c r="J503" s="371">
        <v>76616.98</v>
      </c>
      <c r="K503" s="371">
        <v>205455.62999999998</v>
      </c>
      <c r="L503" s="371">
        <v>98854.71</v>
      </c>
      <c r="M503" s="371">
        <v>137392.44298066897</v>
      </c>
      <c r="N503" s="371">
        <v>246558.12</v>
      </c>
      <c r="O503" s="371">
        <v>125644.79000000001</v>
      </c>
      <c r="P503" s="371">
        <v>153851</v>
      </c>
      <c r="Q503" s="371">
        <v>169960.99</v>
      </c>
      <c r="R503" s="371">
        <v>241221.27000000002</v>
      </c>
      <c r="S503" s="371">
        <v>190250.9199999999</v>
      </c>
      <c r="T503" s="371">
        <v>193704.95999999993</v>
      </c>
      <c r="U503" s="371">
        <v>274809.87000000011</v>
      </c>
      <c r="V503" s="371">
        <v>191302.48999999993</v>
      </c>
      <c r="W503" s="371">
        <v>214678.05</v>
      </c>
      <c r="X503" s="371">
        <v>212932.16</v>
      </c>
      <c r="Y503" s="371">
        <v>222447.18</v>
      </c>
      <c r="Z503" s="372">
        <v>310369.68999999994</v>
      </c>
      <c r="AA503" s="367">
        <v>849932.39000000013</v>
      </c>
      <c r="AB503" s="371">
        <v>0</v>
      </c>
      <c r="AC503" s="369">
        <v>4128516.64</v>
      </c>
      <c r="AD503" s="369">
        <v>4296719.8600000003</v>
      </c>
      <c r="AE503" s="444">
        <v>168203.22</v>
      </c>
    </row>
    <row r="504" spans="1:31">
      <c r="A504" s="447" t="s">
        <v>1183</v>
      </c>
      <c r="B504" s="446"/>
      <c r="C504" s="361">
        <f t="shared" si="42"/>
        <v>0</v>
      </c>
      <c r="D504" s="361">
        <f t="shared" si="43"/>
        <v>245362.012011243</v>
      </c>
      <c r="E504" s="361">
        <f t="shared" si="44"/>
        <v>412762.49</v>
      </c>
      <c r="F504" s="361">
        <f t="shared" si="45"/>
        <v>504998</v>
      </c>
      <c r="G504" s="361">
        <f t="shared" si="46"/>
        <v>652542.85</v>
      </c>
      <c r="H504" s="371">
        <v>0</v>
      </c>
      <c r="I504" s="371">
        <v>0</v>
      </c>
      <c r="J504" s="371">
        <v>0</v>
      </c>
      <c r="K504" s="371">
        <v>0</v>
      </c>
      <c r="L504" s="371">
        <v>0</v>
      </c>
      <c r="M504" s="371">
        <v>150742.042011243</v>
      </c>
      <c r="N504" s="371">
        <v>94619.97</v>
      </c>
      <c r="O504" s="371">
        <v>0</v>
      </c>
      <c r="P504" s="371">
        <v>0</v>
      </c>
      <c r="Q504" s="371">
        <v>232501.99000000002</v>
      </c>
      <c r="R504" s="371">
        <v>180260.5</v>
      </c>
      <c r="S504" s="371">
        <v>0</v>
      </c>
      <c r="T504" s="371">
        <v>0</v>
      </c>
      <c r="U504" s="371">
        <v>504998</v>
      </c>
      <c r="V504" s="371">
        <v>0</v>
      </c>
      <c r="W504" s="371">
        <v>0</v>
      </c>
      <c r="X504" s="371">
        <v>0</v>
      </c>
      <c r="Y504" s="371">
        <v>0</v>
      </c>
      <c r="Z504" s="372">
        <v>0</v>
      </c>
      <c r="AA504" s="367">
        <v>652542.85</v>
      </c>
      <c r="AB504" s="371">
        <v>1.1641532182693481E-10</v>
      </c>
      <c r="AC504" s="369">
        <v>1815665.35</v>
      </c>
      <c r="AD504" s="369">
        <v>3430113.11</v>
      </c>
      <c r="AE504" s="444">
        <v>1614447.76</v>
      </c>
    </row>
    <row r="505" spans="1:31">
      <c r="A505" s="507" t="s">
        <v>1184</v>
      </c>
      <c r="B505" s="504"/>
      <c r="C505" s="361">
        <f t="shared" si="42"/>
        <v>587731.76</v>
      </c>
      <c r="D505" s="361">
        <f t="shared" si="43"/>
        <v>1698553.4483290208</v>
      </c>
      <c r="E505" s="361">
        <f t="shared" si="44"/>
        <v>1569343.22</v>
      </c>
      <c r="F505" s="361">
        <f t="shared" si="45"/>
        <v>1461954.6600000001</v>
      </c>
      <c r="G505" s="361">
        <f t="shared" si="46"/>
        <v>2949490.8930000002</v>
      </c>
      <c r="H505" s="505">
        <v>0</v>
      </c>
      <c r="I505" s="505">
        <v>210161.71000000002</v>
      </c>
      <c r="J505" s="505">
        <v>230948.24</v>
      </c>
      <c r="K505" s="505">
        <v>146621.81</v>
      </c>
      <c r="L505" s="505">
        <v>476766.29000000004</v>
      </c>
      <c r="M505" s="505">
        <v>374817.27832902072</v>
      </c>
      <c r="N505" s="505">
        <v>432215.25999999989</v>
      </c>
      <c r="O505" s="505">
        <v>414754.62</v>
      </c>
      <c r="P505" s="505">
        <v>376496.42</v>
      </c>
      <c r="Q505" s="506">
        <v>386080.77</v>
      </c>
      <c r="R505" s="505">
        <v>454718.63</v>
      </c>
      <c r="S505" s="505">
        <v>352047.40000000008</v>
      </c>
      <c r="T505" s="505">
        <v>351739.85999999993</v>
      </c>
      <c r="U505" s="505">
        <v>410964.67000000004</v>
      </c>
      <c r="V505" s="505">
        <v>330340.43000000023</v>
      </c>
      <c r="W505" s="505">
        <v>368909.69999999995</v>
      </c>
      <c r="X505" s="505">
        <v>300467.28999999998</v>
      </c>
      <c r="Y505" s="505">
        <v>382620.6</v>
      </c>
      <c r="Z505" s="505">
        <v>517774.1700000001</v>
      </c>
      <c r="AA505" s="505">
        <v>1748628.8330000001</v>
      </c>
      <c r="AB505" s="505">
        <v>-4.5319861017816265E-3</v>
      </c>
      <c r="AC505" s="369">
        <v>8168194.3930000011</v>
      </c>
      <c r="AD505" s="369">
        <v>10234484.74</v>
      </c>
      <c r="AE505" s="444">
        <v>2066290.35</v>
      </c>
    </row>
    <row r="506" spans="1:31">
      <c r="A506" s="467" t="s">
        <v>1185</v>
      </c>
      <c r="B506" s="418"/>
      <c r="C506" s="361">
        <f t="shared" si="42"/>
        <v>263529.15000000002</v>
      </c>
      <c r="D506" s="361">
        <f t="shared" si="43"/>
        <v>547728.12999998836</v>
      </c>
      <c r="E506" s="361">
        <f t="shared" si="44"/>
        <v>490104.24000000011</v>
      </c>
      <c r="F506" s="361">
        <f t="shared" si="45"/>
        <v>459177.47000000003</v>
      </c>
      <c r="G506" s="361">
        <f t="shared" si="46"/>
        <v>639315.55000000005</v>
      </c>
      <c r="H506" s="375">
        <v>0</v>
      </c>
      <c r="I506" s="375">
        <v>100625</v>
      </c>
      <c r="J506" s="375">
        <v>120249.63</v>
      </c>
      <c r="K506" s="375">
        <v>42654.52</v>
      </c>
      <c r="L506" s="375">
        <v>246052.65000000002</v>
      </c>
      <c r="M506" s="375">
        <v>51321.38999998838</v>
      </c>
      <c r="N506" s="375">
        <v>68609.67</v>
      </c>
      <c r="O506" s="375">
        <v>181744.42</v>
      </c>
      <c r="P506" s="375">
        <v>178929.66</v>
      </c>
      <c r="Q506" s="375">
        <v>66898.97</v>
      </c>
      <c r="R506" s="371">
        <v>95001.75</v>
      </c>
      <c r="S506" s="371">
        <v>149273.8600000001</v>
      </c>
      <c r="T506" s="371">
        <v>56418.429999999935</v>
      </c>
      <c r="U506" s="371">
        <v>156069.5</v>
      </c>
      <c r="V506" s="371">
        <v>79954.380000000121</v>
      </c>
      <c r="W506" s="371">
        <v>166735.15999999997</v>
      </c>
      <c r="X506" s="371">
        <v>149389.21000000002</v>
      </c>
      <c r="Y506" s="371">
        <v>85179.4</v>
      </c>
      <c r="Z506" s="372">
        <v>166181.11000000004</v>
      </c>
      <c r="AA506" s="367">
        <v>238565.83000000002</v>
      </c>
      <c r="AB506" s="371">
        <v>-3.2014213502407074E-10</v>
      </c>
      <c r="AC506" s="369">
        <v>2321212.0500000003</v>
      </c>
      <c r="AD506" s="369">
        <v>2450719.7400000002</v>
      </c>
      <c r="AE506" s="444">
        <v>129507.69</v>
      </c>
    </row>
    <row r="507" spans="1:31">
      <c r="A507" s="467" t="s">
        <v>1186</v>
      </c>
      <c r="B507" s="418"/>
      <c r="C507" s="361">
        <f t="shared" si="42"/>
        <v>33915.5</v>
      </c>
      <c r="D507" s="361">
        <f t="shared" si="43"/>
        <v>53370.306352273998</v>
      </c>
      <c r="E507" s="361">
        <f t="shared" si="44"/>
        <v>38024.420000000035</v>
      </c>
      <c r="F507" s="361">
        <f t="shared" si="45"/>
        <v>42742.739999999925</v>
      </c>
      <c r="G507" s="361">
        <f t="shared" si="46"/>
        <v>92832.389999999956</v>
      </c>
      <c r="H507" s="375">
        <v>0</v>
      </c>
      <c r="I507" s="375">
        <v>3681</v>
      </c>
      <c r="J507" s="375">
        <v>6719.41</v>
      </c>
      <c r="K507" s="375">
        <v>23515.090000000004</v>
      </c>
      <c r="L507" s="375">
        <v>18787</v>
      </c>
      <c r="M507" s="375">
        <v>16296.926352274</v>
      </c>
      <c r="N507" s="375">
        <v>7727</v>
      </c>
      <c r="O507" s="375">
        <v>10559.380000000001</v>
      </c>
      <c r="P507" s="375">
        <v>6174.76</v>
      </c>
      <c r="Q507" s="375">
        <v>7569.3100000000013</v>
      </c>
      <c r="R507" s="371">
        <v>16600.809999999998</v>
      </c>
      <c r="S507" s="371">
        <v>7679.5400000000373</v>
      </c>
      <c r="T507" s="371">
        <v>8663.7399999999907</v>
      </c>
      <c r="U507" s="371">
        <v>6104.679999999993</v>
      </c>
      <c r="V507" s="371">
        <v>18759.939999999944</v>
      </c>
      <c r="W507" s="371">
        <v>9214.3799999999992</v>
      </c>
      <c r="X507" s="371">
        <v>7505.3600000000006</v>
      </c>
      <c r="Y507" s="371">
        <v>17379.349999999999</v>
      </c>
      <c r="Z507" s="372">
        <v>11297.399999999954</v>
      </c>
      <c r="AA507" s="367">
        <v>56650.28</v>
      </c>
      <c r="AB507" s="371">
        <v>0</v>
      </c>
      <c r="AC507" s="369">
        <v>255194.44999999995</v>
      </c>
      <c r="AD507" s="369">
        <v>262507.14</v>
      </c>
      <c r="AE507" s="444">
        <v>7312.69</v>
      </c>
    </row>
    <row r="508" spans="1:31">
      <c r="A508" s="467" t="s">
        <v>635</v>
      </c>
      <c r="B508" s="418"/>
      <c r="C508" s="361">
        <f t="shared" si="42"/>
        <v>40861.57</v>
      </c>
      <c r="D508" s="361">
        <f t="shared" si="43"/>
        <v>141034.15</v>
      </c>
      <c r="E508" s="361">
        <f t="shared" si="44"/>
        <v>226790.81999999995</v>
      </c>
      <c r="F508" s="361">
        <f t="shared" si="45"/>
        <v>215470.96999999991</v>
      </c>
      <c r="G508" s="361">
        <f t="shared" si="46"/>
        <v>235544.21000000008</v>
      </c>
      <c r="H508" s="375">
        <v>0</v>
      </c>
      <c r="I508" s="375">
        <v>4378</v>
      </c>
      <c r="J508" s="375">
        <v>21560.28</v>
      </c>
      <c r="K508" s="375">
        <v>14923.29</v>
      </c>
      <c r="L508" s="375">
        <v>41774</v>
      </c>
      <c r="M508" s="375">
        <v>28154.61</v>
      </c>
      <c r="N508" s="375">
        <v>47307.849999999991</v>
      </c>
      <c r="O508" s="375">
        <v>23797.69</v>
      </c>
      <c r="P508" s="375">
        <v>35944.01</v>
      </c>
      <c r="Q508" s="375">
        <v>61638.7</v>
      </c>
      <c r="R508" s="371">
        <v>79596.160000000003</v>
      </c>
      <c r="S508" s="371">
        <v>49611.949999999953</v>
      </c>
      <c r="T508" s="371">
        <v>56398.449999999953</v>
      </c>
      <c r="U508" s="371">
        <v>56970.119999999995</v>
      </c>
      <c r="V508" s="371">
        <v>66006.14999999998</v>
      </c>
      <c r="W508" s="371">
        <v>36096.25</v>
      </c>
      <c r="X508" s="371">
        <v>66386.150000000009</v>
      </c>
      <c r="Y508" s="371">
        <v>48016.78</v>
      </c>
      <c r="Z508" s="372">
        <v>67480.970000000074</v>
      </c>
      <c r="AA508" s="367">
        <v>53660.31</v>
      </c>
      <c r="AB508" s="371">
        <v>1.0004441719502211E-10</v>
      </c>
      <c r="AC508" s="369">
        <v>848221.27</v>
      </c>
      <c r="AD508" s="369">
        <v>976119.66999999981</v>
      </c>
      <c r="AE508" s="444">
        <v>127898.4</v>
      </c>
    </row>
    <row r="509" spans="1:31">
      <c r="A509" s="467" t="s">
        <v>1187</v>
      </c>
      <c r="B509" s="418"/>
      <c r="C509" s="361">
        <f t="shared" si="42"/>
        <v>19025.43</v>
      </c>
      <c r="D509" s="361">
        <f t="shared" si="43"/>
        <v>30820.920000000006</v>
      </c>
      <c r="E509" s="361">
        <f t="shared" si="44"/>
        <v>26900.960000000054</v>
      </c>
      <c r="F509" s="361">
        <f t="shared" si="45"/>
        <v>23712.370000000086</v>
      </c>
      <c r="G509" s="361">
        <f t="shared" si="46"/>
        <v>48392.37</v>
      </c>
      <c r="H509" s="375">
        <v>0</v>
      </c>
      <c r="I509" s="375">
        <v>10208</v>
      </c>
      <c r="J509" s="375">
        <v>8817.43</v>
      </c>
      <c r="K509" s="375">
        <v>0</v>
      </c>
      <c r="L509" s="375">
        <v>7002.1900000000005</v>
      </c>
      <c r="M509" s="375">
        <v>14475.830000000002</v>
      </c>
      <c r="N509" s="375">
        <v>3172.68</v>
      </c>
      <c r="O509" s="375">
        <v>6170.22</v>
      </c>
      <c r="P509" s="375">
        <v>13978.14</v>
      </c>
      <c r="Q509" s="375">
        <v>0</v>
      </c>
      <c r="R509" s="371">
        <v>11492.91</v>
      </c>
      <c r="S509" s="371">
        <v>1429.9100000000558</v>
      </c>
      <c r="T509" s="371">
        <v>14406.650000000081</v>
      </c>
      <c r="U509" s="371">
        <v>3900.359999999986</v>
      </c>
      <c r="V509" s="371">
        <v>4850.170000000021</v>
      </c>
      <c r="W509" s="371">
        <v>555.19000000000005</v>
      </c>
      <c r="X509" s="371">
        <v>17229.52</v>
      </c>
      <c r="Y509" s="371">
        <v>11744.88</v>
      </c>
      <c r="Z509" s="372">
        <v>2168.38</v>
      </c>
      <c r="AA509" s="367">
        <v>17249.59</v>
      </c>
      <c r="AB509" s="371">
        <v>-1.5688783605583012E-11</v>
      </c>
      <c r="AC509" s="369">
        <v>147265.83000000002</v>
      </c>
      <c r="AD509" s="369">
        <v>286700.76999999996</v>
      </c>
      <c r="AE509" s="444">
        <v>139434.94</v>
      </c>
    </row>
    <row r="510" spans="1:31">
      <c r="A510" s="467" t="s">
        <v>1188</v>
      </c>
      <c r="B510" s="418"/>
      <c r="C510" s="361">
        <f t="shared" si="42"/>
        <v>79976.450000000012</v>
      </c>
      <c r="D510" s="361">
        <f t="shared" si="43"/>
        <v>650329.44999999995</v>
      </c>
      <c r="E510" s="361">
        <f t="shared" si="44"/>
        <v>594050.7699999999</v>
      </c>
      <c r="F510" s="361">
        <f t="shared" si="45"/>
        <v>585957.00000000023</v>
      </c>
      <c r="G510" s="361">
        <f t="shared" si="46"/>
        <v>961346.46000000008</v>
      </c>
      <c r="H510" s="375">
        <v>0</v>
      </c>
      <c r="I510" s="375">
        <v>724.21</v>
      </c>
      <c r="J510" s="375">
        <v>35405.550000000003</v>
      </c>
      <c r="K510" s="375">
        <v>43846.69</v>
      </c>
      <c r="L510" s="375">
        <v>103245</v>
      </c>
      <c r="M510" s="375">
        <v>171416.43</v>
      </c>
      <c r="N510" s="375">
        <v>187018.22999999998</v>
      </c>
      <c r="O510" s="375">
        <v>188649.78999999998</v>
      </c>
      <c r="P510" s="375">
        <v>90548.9</v>
      </c>
      <c r="Q510" s="375">
        <v>181604.6</v>
      </c>
      <c r="R510" s="371">
        <v>227727.51</v>
      </c>
      <c r="S510" s="371">
        <v>94169.759999999893</v>
      </c>
      <c r="T510" s="371">
        <v>177261.66000000009</v>
      </c>
      <c r="U510" s="371">
        <v>168022.19000000006</v>
      </c>
      <c r="V510" s="371">
        <v>90512.050000000047</v>
      </c>
      <c r="W510" s="371">
        <v>150161.1</v>
      </c>
      <c r="X510" s="371">
        <v>98104.25</v>
      </c>
      <c r="Y510" s="371">
        <v>100048.1</v>
      </c>
      <c r="Z510" s="372">
        <v>133819.58000000002</v>
      </c>
      <c r="AA510" s="367">
        <v>629374.53</v>
      </c>
      <c r="AB510" s="371">
        <v>5.3550763823295711E-10</v>
      </c>
      <c r="AC510" s="369">
        <v>2871595.08</v>
      </c>
      <c r="AD510" s="369">
        <v>4111790.49</v>
      </c>
      <c r="AE510" s="444">
        <v>1240195.4099999999</v>
      </c>
    </row>
    <row r="511" spans="1:31">
      <c r="A511" s="467" t="s">
        <v>1189</v>
      </c>
      <c r="B511" s="418"/>
      <c r="C511" s="361">
        <f t="shared" si="42"/>
        <v>135544.84</v>
      </c>
      <c r="D511" s="361">
        <f t="shared" si="43"/>
        <v>272653.01197675831</v>
      </c>
      <c r="E511" s="361">
        <f t="shared" si="44"/>
        <v>150957.14999999997</v>
      </c>
      <c r="F511" s="361">
        <f t="shared" si="45"/>
        <v>120076.51999999984</v>
      </c>
      <c r="G511" s="361">
        <f t="shared" si="46"/>
        <v>466038.15300000005</v>
      </c>
      <c r="H511" s="375">
        <v>0</v>
      </c>
      <c r="I511" s="375">
        <v>88729</v>
      </c>
      <c r="J511" s="375">
        <v>26301.61</v>
      </c>
      <c r="K511" s="375">
        <v>20514.230000000003</v>
      </c>
      <c r="L511" s="375">
        <v>73750.45</v>
      </c>
      <c r="M511" s="375">
        <v>83115.091976758296</v>
      </c>
      <c r="N511" s="375">
        <v>109083.83</v>
      </c>
      <c r="O511" s="375">
        <v>6703.64</v>
      </c>
      <c r="P511" s="375">
        <v>27166.68</v>
      </c>
      <c r="Q511" s="375">
        <v>40533.14</v>
      </c>
      <c r="R511" s="371">
        <v>41958.29</v>
      </c>
      <c r="S511" s="371">
        <v>41299.03999999995</v>
      </c>
      <c r="T511" s="371">
        <v>33921.479999999807</v>
      </c>
      <c r="U511" s="371">
        <v>14859.02999999997</v>
      </c>
      <c r="V511" s="371">
        <v>54734.820000000065</v>
      </c>
      <c r="W511" s="371">
        <v>16561.190000000002</v>
      </c>
      <c r="X511" s="371">
        <v>49645.509999999995</v>
      </c>
      <c r="Y511" s="371">
        <v>63761.53</v>
      </c>
      <c r="Z511" s="372">
        <v>124665.58000000002</v>
      </c>
      <c r="AA511" s="367">
        <v>227965.53300000002</v>
      </c>
      <c r="AB511" s="371">
        <v>-4.531986634333407E-3</v>
      </c>
      <c r="AC511" s="369">
        <v>1144722.7030000002</v>
      </c>
      <c r="AD511" s="369">
        <v>1258306.31</v>
      </c>
      <c r="AE511" s="444">
        <v>113583.61</v>
      </c>
    </row>
    <row r="512" spans="1:31">
      <c r="A512" s="467" t="s">
        <v>1190</v>
      </c>
      <c r="B512" s="418"/>
      <c r="C512" s="361">
        <f t="shared" si="42"/>
        <v>14878.820000000002</v>
      </c>
      <c r="D512" s="361">
        <f t="shared" si="43"/>
        <v>2617.4799999999977</v>
      </c>
      <c r="E512" s="361">
        <f t="shared" si="44"/>
        <v>42514.860000000088</v>
      </c>
      <c r="F512" s="361">
        <f t="shared" si="45"/>
        <v>14817.590000000149</v>
      </c>
      <c r="G512" s="361">
        <f t="shared" si="46"/>
        <v>506021.76</v>
      </c>
      <c r="H512" s="375">
        <v>0</v>
      </c>
      <c r="I512" s="375">
        <v>1816.5</v>
      </c>
      <c r="J512" s="375">
        <v>11894.330000000002</v>
      </c>
      <c r="K512" s="375">
        <v>1167.9900000000002</v>
      </c>
      <c r="L512" s="375">
        <v>-13845.000000000002</v>
      </c>
      <c r="M512" s="375">
        <v>10037</v>
      </c>
      <c r="N512" s="375">
        <v>9296</v>
      </c>
      <c r="O512" s="375">
        <v>-2870.5200000000004</v>
      </c>
      <c r="P512" s="375">
        <v>23754.27</v>
      </c>
      <c r="Q512" s="375">
        <v>27836.050000000003</v>
      </c>
      <c r="R512" s="371">
        <v>-17658.8</v>
      </c>
      <c r="S512" s="371">
        <v>8583.3400000000838</v>
      </c>
      <c r="T512" s="371">
        <v>4669.4500000000698</v>
      </c>
      <c r="U512" s="371">
        <v>5038.7900000000373</v>
      </c>
      <c r="V512" s="371">
        <v>15522.920000000042</v>
      </c>
      <c r="W512" s="371">
        <v>-10413.57</v>
      </c>
      <c r="X512" s="371">
        <v>-87792.71</v>
      </c>
      <c r="Y512" s="371">
        <v>56490.559999999998</v>
      </c>
      <c r="Z512" s="372">
        <v>12161.150000000009</v>
      </c>
      <c r="AA512" s="367">
        <v>525162.76</v>
      </c>
      <c r="AB512" s="371">
        <v>2.3283064365386963E-10</v>
      </c>
      <c r="AC512" s="369">
        <v>579983.01</v>
      </c>
      <c r="AD512" s="369">
        <v>888340.62</v>
      </c>
      <c r="AE512" s="444">
        <v>308357.61</v>
      </c>
    </row>
    <row r="513" spans="1:31">
      <c r="A513" s="507" t="s">
        <v>1191</v>
      </c>
      <c r="B513" s="504"/>
      <c r="C513" s="361">
        <f t="shared" si="42"/>
        <v>521650.79000000004</v>
      </c>
      <c r="D513" s="361">
        <f t="shared" si="43"/>
        <v>184846.43000000002</v>
      </c>
      <c r="E513" s="361">
        <f t="shared" si="44"/>
        <v>176655.78000000009</v>
      </c>
      <c r="F513" s="361">
        <f t="shared" si="45"/>
        <v>9553.129999999961</v>
      </c>
      <c r="G513" s="361">
        <f t="shared" si="46"/>
        <v>65216.810000000005</v>
      </c>
      <c r="H513" s="505">
        <v>0</v>
      </c>
      <c r="I513" s="505">
        <v>0</v>
      </c>
      <c r="J513" s="505">
        <v>97389.65</v>
      </c>
      <c r="K513" s="505">
        <v>424261.14</v>
      </c>
      <c r="L513" s="505">
        <v>70162.8</v>
      </c>
      <c r="M513" s="505">
        <v>81611.350000000006</v>
      </c>
      <c r="N513" s="505">
        <v>20506.48</v>
      </c>
      <c r="O513" s="505">
        <v>12565.8</v>
      </c>
      <c r="P513" s="505">
        <v>10900</v>
      </c>
      <c r="Q513" s="506">
        <v>29407.079999999998</v>
      </c>
      <c r="R513" s="505">
        <v>131096.84</v>
      </c>
      <c r="S513" s="505">
        <v>5251.8600000001024</v>
      </c>
      <c r="T513" s="505">
        <v>0</v>
      </c>
      <c r="U513" s="505">
        <v>1773.5400000000081</v>
      </c>
      <c r="V513" s="505">
        <v>1384.6999999999534</v>
      </c>
      <c r="W513" s="505">
        <v>6394.8899999999994</v>
      </c>
      <c r="X513" s="505">
        <v>65216.810000000005</v>
      </c>
      <c r="Y513" s="505">
        <v>0</v>
      </c>
      <c r="Z513" s="505">
        <v>0</v>
      </c>
      <c r="AA513" s="505">
        <v>0</v>
      </c>
      <c r="AB513" s="505">
        <v>1315.4399999999769</v>
      </c>
      <c r="AC513" s="369">
        <v>957922.94</v>
      </c>
      <c r="AD513" s="369">
        <v>993623.78</v>
      </c>
      <c r="AE513" s="444">
        <v>35700.839999999997</v>
      </c>
    </row>
    <row r="514" spans="1:31">
      <c r="A514" s="508" t="s">
        <v>1192</v>
      </c>
      <c r="B514" s="509"/>
      <c r="C514" s="361">
        <f t="shared" si="42"/>
        <v>180787.94</v>
      </c>
      <c r="D514" s="361">
        <f t="shared" si="43"/>
        <v>27017.48</v>
      </c>
      <c r="E514" s="361">
        <f t="shared" si="44"/>
        <v>27184.360000000088</v>
      </c>
      <c r="F514" s="361">
        <f t="shared" si="45"/>
        <v>1054.7000000000116</v>
      </c>
      <c r="G514" s="361">
        <f t="shared" si="46"/>
        <v>4976.49</v>
      </c>
      <c r="H514" s="403">
        <v>0</v>
      </c>
      <c r="I514" s="403">
        <v>0</v>
      </c>
      <c r="J514" s="403">
        <v>35368.54</v>
      </c>
      <c r="K514" s="403">
        <v>145419.4</v>
      </c>
      <c r="L514" s="403">
        <v>6592</v>
      </c>
      <c r="M514" s="403">
        <v>19035</v>
      </c>
      <c r="N514" s="403">
        <v>0</v>
      </c>
      <c r="O514" s="403">
        <v>1390.48</v>
      </c>
      <c r="P514" s="403">
        <v>3001</v>
      </c>
      <c r="Q514" s="403">
        <v>20397.39</v>
      </c>
      <c r="R514" s="371">
        <v>0</v>
      </c>
      <c r="S514" s="371">
        <v>3785.9700000000885</v>
      </c>
      <c r="T514" s="371">
        <v>0</v>
      </c>
      <c r="U514" s="371">
        <v>1054.7000000000116</v>
      </c>
      <c r="V514" s="371">
        <v>0</v>
      </c>
      <c r="W514" s="371">
        <v>0</v>
      </c>
      <c r="X514" s="371">
        <v>4976.49</v>
      </c>
      <c r="Y514" s="371">
        <v>0</v>
      </c>
      <c r="Z514" s="372">
        <v>0</v>
      </c>
      <c r="AA514" s="367">
        <v>0</v>
      </c>
      <c r="AB514" s="371">
        <v>0.45999999999185093</v>
      </c>
      <c r="AC514" s="369">
        <v>241020.97</v>
      </c>
      <c r="AD514" s="369">
        <v>249521.43</v>
      </c>
      <c r="AE514" s="444">
        <v>8500.4599999999991</v>
      </c>
    </row>
    <row r="515" spans="1:31">
      <c r="A515" s="508" t="s">
        <v>1193</v>
      </c>
      <c r="B515" s="509"/>
      <c r="C515" s="361">
        <f t="shared" si="42"/>
        <v>43438.3</v>
      </c>
      <c r="D515" s="361">
        <f t="shared" si="43"/>
        <v>27067.19</v>
      </c>
      <c r="E515" s="361">
        <f t="shared" si="44"/>
        <v>8768.6200000000135</v>
      </c>
      <c r="F515" s="361">
        <f t="shared" si="45"/>
        <v>4076.3799999999533</v>
      </c>
      <c r="G515" s="361">
        <f t="shared" si="46"/>
        <v>689.02</v>
      </c>
      <c r="H515" s="403">
        <v>0</v>
      </c>
      <c r="I515" s="403">
        <v>0</v>
      </c>
      <c r="J515" s="403">
        <v>0</v>
      </c>
      <c r="K515" s="403">
        <v>43438.3</v>
      </c>
      <c r="L515" s="403">
        <v>10896</v>
      </c>
      <c r="M515" s="403">
        <v>0</v>
      </c>
      <c r="N515" s="403">
        <v>4995.87</v>
      </c>
      <c r="O515" s="403">
        <v>11175.32</v>
      </c>
      <c r="P515" s="403">
        <v>3222</v>
      </c>
      <c r="Q515" s="403">
        <v>3320.73</v>
      </c>
      <c r="R515" s="371">
        <v>760</v>
      </c>
      <c r="S515" s="371">
        <v>1465.890000000014</v>
      </c>
      <c r="T515" s="371">
        <v>0</v>
      </c>
      <c r="U515" s="371">
        <v>0</v>
      </c>
      <c r="V515" s="371">
        <v>1384.6999999999534</v>
      </c>
      <c r="W515" s="371">
        <v>2691.68</v>
      </c>
      <c r="X515" s="371">
        <v>689.02</v>
      </c>
      <c r="Y515" s="371">
        <v>0</v>
      </c>
      <c r="Z515" s="372">
        <v>0</v>
      </c>
      <c r="AA515" s="367">
        <v>0</v>
      </c>
      <c r="AB515" s="371">
        <v>0.15000000000873115</v>
      </c>
      <c r="AC515" s="369">
        <v>84039.51</v>
      </c>
      <c r="AD515" s="369">
        <v>93039.66</v>
      </c>
      <c r="AE515" s="444">
        <v>9000.15</v>
      </c>
    </row>
    <row r="516" spans="1:31">
      <c r="A516" s="508" t="s">
        <v>1194</v>
      </c>
      <c r="B516" s="509"/>
      <c r="C516" s="361">
        <f t="shared" si="42"/>
        <v>0</v>
      </c>
      <c r="D516" s="361">
        <f t="shared" si="43"/>
        <v>15500.800000000001</v>
      </c>
      <c r="E516" s="361">
        <f t="shared" si="44"/>
        <v>6714</v>
      </c>
      <c r="F516" s="361">
        <f t="shared" si="45"/>
        <v>0</v>
      </c>
      <c r="G516" s="361">
        <f t="shared" si="46"/>
        <v>0</v>
      </c>
      <c r="H516" s="403">
        <v>0</v>
      </c>
      <c r="I516" s="403">
        <v>0</v>
      </c>
      <c r="J516" s="403">
        <v>0</v>
      </c>
      <c r="K516" s="403">
        <v>0</v>
      </c>
      <c r="L516" s="403">
        <v>15871.29</v>
      </c>
      <c r="M516" s="403">
        <v>-370.49</v>
      </c>
      <c r="N516" s="403">
        <v>0</v>
      </c>
      <c r="O516" s="403">
        <v>0</v>
      </c>
      <c r="P516" s="403">
        <v>599</v>
      </c>
      <c r="Q516" s="403">
        <v>0</v>
      </c>
      <c r="R516" s="371">
        <v>6115</v>
      </c>
      <c r="S516" s="371">
        <v>0</v>
      </c>
      <c r="T516" s="371">
        <v>0</v>
      </c>
      <c r="U516" s="371">
        <v>0</v>
      </c>
      <c r="V516" s="371">
        <v>0</v>
      </c>
      <c r="W516" s="371">
        <v>0</v>
      </c>
      <c r="X516" s="371">
        <v>0</v>
      </c>
      <c r="Y516" s="371">
        <v>0</v>
      </c>
      <c r="Z516" s="372">
        <v>0</v>
      </c>
      <c r="AA516" s="367">
        <v>0</v>
      </c>
      <c r="AB516" s="371">
        <v>0.22999999999956344</v>
      </c>
      <c r="AC516" s="369">
        <v>22214.799999999999</v>
      </c>
      <c r="AD516" s="369">
        <v>32215.03</v>
      </c>
      <c r="AE516" s="444">
        <v>10000.23</v>
      </c>
    </row>
    <row r="517" spans="1:31">
      <c r="A517" s="508" t="s">
        <v>1195</v>
      </c>
      <c r="B517" s="509"/>
      <c r="C517" s="361">
        <f t="shared" si="42"/>
        <v>268390.24</v>
      </c>
      <c r="D517" s="361">
        <f t="shared" si="43"/>
        <v>12383.75</v>
      </c>
      <c r="E517" s="361">
        <f t="shared" si="44"/>
        <v>9766.9599999999991</v>
      </c>
      <c r="F517" s="361">
        <f t="shared" si="45"/>
        <v>4422.0499999999965</v>
      </c>
      <c r="G517" s="361">
        <f t="shared" si="46"/>
        <v>0</v>
      </c>
      <c r="H517" s="403">
        <v>0</v>
      </c>
      <c r="I517" s="403">
        <v>0</v>
      </c>
      <c r="J517" s="403">
        <v>62021.11</v>
      </c>
      <c r="K517" s="403">
        <v>206369.13</v>
      </c>
      <c r="L517" s="403">
        <v>0</v>
      </c>
      <c r="M517" s="403">
        <v>12383.75</v>
      </c>
      <c r="N517" s="403">
        <v>0</v>
      </c>
      <c r="O517" s="403">
        <v>0</v>
      </c>
      <c r="P517" s="403">
        <v>4078</v>
      </c>
      <c r="Q517" s="403">
        <v>5688.96</v>
      </c>
      <c r="R517" s="371">
        <v>0</v>
      </c>
      <c r="S517" s="371">
        <v>0</v>
      </c>
      <c r="T517" s="371">
        <v>0</v>
      </c>
      <c r="U517" s="371">
        <v>718.83999999999651</v>
      </c>
      <c r="V517" s="371">
        <v>0</v>
      </c>
      <c r="W517" s="371">
        <v>3703.21</v>
      </c>
      <c r="X517" s="371">
        <v>0</v>
      </c>
      <c r="Y517" s="371">
        <v>0</v>
      </c>
      <c r="Z517" s="372">
        <v>0</v>
      </c>
      <c r="AA517" s="367">
        <v>0</v>
      </c>
      <c r="AB517" s="371">
        <v>1314.5999999999767</v>
      </c>
      <c r="AC517" s="369">
        <v>294963</v>
      </c>
      <c r="AD517" s="369">
        <v>303163</v>
      </c>
      <c r="AE517" s="444">
        <v>8200</v>
      </c>
    </row>
    <row r="518" spans="1:31">
      <c r="A518" s="508" t="s">
        <v>1196</v>
      </c>
      <c r="B518" s="509"/>
      <c r="C518" s="361">
        <f t="shared" ref="C518:C552" si="47">SUM(H518:K518)</f>
        <v>29034.31</v>
      </c>
      <c r="D518" s="361">
        <f t="shared" ref="D518:D552" si="48">SUM(L518:O518)</f>
        <v>102877.21</v>
      </c>
      <c r="E518" s="361">
        <f t="shared" ref="E518:E552" si="49">SUM(P518:S518)</f>
        <v>124221.84</v>
      </c>
      <c r="F518" s="361">
        <f t="shared" ref="F518:F552" si="50">SUM(T518:W518)</f>
        <v>0</v>
      </c>
      <c r="G518" s="361">
        <f t="shared" ref="G518:G552" si="51">SUM(X518:AA518)</f>
        <v>59551.3</v>
      </c>
      <c r="H518" s="403">
        <v>0</v>
      </c>
      <c r="I518" s="403">
        <v>0</v>
      </c>
      <c r="J518" s="403">
        <v>0</v>
      </c>
      <c r="K518" s="403">
        <v>29034.31</v>
      </c>
      <c r="L518" s="403">
        <v>36803.51</v>
      </c>
      <c r="M518" s="403">
        <v>50563.09</v>
      </c>
      <c r="N518" s="403">
        <v>15510.61</v>
      </c>
      <c r="O518" s="403">
        <v>0</v>
      </c>
      <c r="P518" s="403">
        <v>0</v>
      </c>
      <c r="Q518" s="403">
        <v>0</v>
      </c>
      <c r="R518" s="371">
        <v>124221.84</v>
      </c>
      <c r="S518" s="371">
        <v>0</v>
      </c>
      <c r="T518" s="371">
        <v>0</v>
      </c>
      <c r="U518" s="371">
        <v>0</v>
      </c>
      <c r="V518" s="371">
        <v>0</v>
      </c>
      <c r="W518" s="371">
        <v>0</v>
      </c>
      <c r="X518" s="371">
        <v>59551.3</v>
      </c>
      <c r="Y518" s="371">
        <v>0</v>
      </c>
      <c r="Z518" s="372">
        <v>0</v>
      </c>
      <c r="AA518" s="367">
        <v>0</v>
      </c>
      <c r="AB518" s="371">
        <v>0</v>
      </c>
      <c r="AC518" s="369">
        <v>315684.65999999997</v>
      </c>
      <c r="AD518" s="369">
        <v>315684.65999999997</v>
      </c>
      <c r="AE518" s="444">
        <v>0</v>
      </c>
    </row>
    <row r="519" spans="1:31">
      <c r="A519" s="497" t="s">
        <v>1197</v>
      </c>
      <c r="B519" s="498"/>
      <c r="C519" s="361">
        <f t="shared" si="47"/>
        <v>999168.82000000007</v>
      </c>
      <c r="D519" s="361">
        <f t="shared" si="48"/>
        <v>2650765.1650980394</v>
      </c>
      <c r="E519" s="361">
        <f t="shared" si="49"/>
        <v>4378864.99</v>
      </c>
      <c r="F519" s="361">
        <f t="shared" si="50"/>
        <v>1774157.62</v>
      </c>
      <c r="G519" s="361">
        <f t="shared" si="51"/>
        <v>220754.43000000002</v>
      </c>
      <c r="H519" s="510">
        <v>0</v>
      </c>
      <c r="I519" s="510">
        <v>18323</v>
      </c>
      <c r="J519" s="510">
        <v>297585.5</v>
      </c>
      <c r="K519" s="510">
        <v>683260.32000000007</v>
      </c>
      <c r="L519" s="510">
        <v>621134.13</v>
      </c>
      <c r="M519" s="510">
        <v>693761.82509803912</v>
      </c>
      <c r="N519" s="510">
        <v>472212.07000000007</v>
      </c>
      <c r="O519" s="510">
        <v>863657.14000000013</v>
      </c>
      <c r="P519" s="510">
        <v>880969.37</v>
      </c>
      <c r="Q519" s="511">
        <v>1232432.97</v>
      </c>
      <c r="R519" s="510">
        <v>1150972.56</v>
      </c>
      <c r="S519" s="510">
        <v>1114490.0899999999</v>
      </c>
      <c r="T519" s="510">
        <v>1209624.32</v>
      </c>
      <c r="U519" s="510">
        <v>335373.94999999995</v>
      </c>
      <c r="V519" s="510">
        <v>110879.55000000002</v>
      </c>
      <c r="W519" s="510">
        <v>118279.80000000002</v>
      </c>
      <c r="X519" s="510">
        <v>58486.35</v>
      </c>
      <c r="Y519" s="510">
        <v>41685.42</v>
      </c>
      <c r="Z519" s="510">
        <v>40214.530000000057</v>
      </c>
      <c r="AA519" s="392">
        <v>80368.129999999976</v>
      </c>
      <c r="AB519" s="510">
        <v>1.5200000000991167</v>
      </c>
      <c r="AC519" s="501">
        <v>10000604.01</v>
      </c>
      <c r="AD519" s="501">
        <v>10162429.369999999</v>
      </c>
      <c r="AE519" s="502">
        <v>161825.35999999999</v>
      </c>
    </row>
    <row r="520" spans="1:31">
      <c r="A520" s="512" t="s">
        <v>1198</v>
      </c>
      <c r="B520" s="513"/>
      <c r="C520" s="361">
        <f t="shared" si="47"/>
        <v>291383.38</v>
      </c>
      <c r="D520" s="361">
        <f t="shared" si="48"/>
        <v>908078.81</v>
      </c>
      <c r="E520" s="361">
        <f t="shared" si="49"/>
        <v>897563.19000000006</v>
      </c>
      <c r="F520" s="361">
        <f t="shared" si="50"/>
        <v>511988.5299999998</v>
      </c>
      <c r="G520" s="361">
        <f t="shared" si="51"/>
        <v>58307.35</v>
      </c>
      <c r="H520" s="514">
        <v>0</v>
      </c>
      <c r="I520" s="514">
        <v>14638</v>
      </c>
      <c r="J520" s="514">
        <v>78655.73000000001</v>
      </c>
      <c r="K520" s="514">
        <v>198089.65000000002</v>
      </c>
      <c r="L520" s="514">
        <v>244800.09000000003</v>
      </c>
      <c r="M520" s="514">
        <v>254139.77</v>
      </c>
      <c r="N520" s="514">
        <v>172863.68</v>
      </c>
      <c r="O520" s="514">
        <v>236275.27000000002</v>
      </c>
      <c r="P520" s="514">
        <v>202025.21999999997</v>
      </c>
      <c r="Q520" s="515">
        <v>159317.74</v>
      </c>
      <c r="R520" s="514">
        <v>254846.88999999998</v>
      </c>
      <c r="S520" s="514">
        <v>281373.34000000008</v>
      </c>
      <c r="T520" s="514">
        <v>364615.06999999983</v>
      </c>
      <c r="U520" s="514">
        <v>106059.37999999998</v>
      </c>
      <c r="V520" s="514">
        <v>26424.019999999982</v>
      </c>
      <c r="W520" s="514">
        <v>14890.060000000001</v>
      </c>
      <c r="X520" s="514">
        <v>17929.77</v>
      </c>
      <c r="Y520" s="514">
        <v>20262.189999999999</v>
      </c>
      <c r="Z520" s="514">
        <v>20115.39</v>
      </c>
      <c r="AA520" s="514">
        <v>0</v>
      </c>
      <c r="AB520" s="514">
        <v>1.5399999999544889</v>
      </c>
      <c r="AC520" s="516">
        <v>2660129.2800000003</v>
      </c>
      <c r="AD520" s="516">
        <v>2682027.84</v>
      </c>
      <c r="AE520" s="517">
        <v>21898.560000000001</v>
      </c>
    </row>
    <row r="521" spans="1:31">
      <c r="A521" s="417" t="s">
        <v>639</v>
      </c>
      <c r="B521" s="418"/>
      <c r="C521" s="361">
        <f t="shared" si="47"/>
        <v>181126.09</v>
      </c>
      <c r="D521" s="361">
        <f t="shared" si="48"/>
        <v>503060.22000000003</v>
      </c>
      <c r="E521" s="361">
        <f t="shared" si="49"/>
        <v>485391.57999999996</v>
      </c>
      <c r="F521" s="361">
        <f t="shared" si="50"/>
        <v>160695.29</v>
      </c>
      <c r="G521" s="361">
        <f t="shared" si="51"/>
        <v>0</v>
      </c>
      <c r="H521" s="367">
        <v>0</v>
      </c>
      <c r="I521" s="367">
        <v>0</v>
      </c>
      <c r="J521" s="367">
        <v>68873.070000000007</v>
      </c>
      <c r="K521" s="367">
        <v>112253.01999999999</v>
      </c>
      <c r="L521" s="367">
        <v>115022.56999999999</v>
      </c>
      <c r="M521" s="367">
        <v>171040.74</v>
      </c>
      <c r="N521" s="367">
        <v>107759.64</v>
      </c>
      <c r="O521" s="367">
        <v>109237.27</v>
      </c>
      <c r="P521" s="367">
        <v>101215.38</v>
      </c>
      <c r="Q521" s="367">
        <v>100976.2</v>
      </c>
      <c r="R521" s="371">
        <v>150436</v>
      </c>
      <c r="S521" s="371">
        <v>132763.99999999997</v>
      </c>
      <c r="T521" s="371">
        <v>160695.29</v>
      </c>
      <c r="U521" s="371">
        <v>0</v>
      </c>
      <c r="V521" s="371">
        <v>0</v>
      </c>
      <c r="W521" s="371">
        <v>0</v>
      </c>
      <c r="X521" s="371">
        <v>0</v>
      </c>
      <c r="Y521" s="371">
        <v>0</v>
      </c>
      <c r="Z521" s="372">
        <v>0</v>
      </c>
      <c r="AA521" s="367">
        <v>0</v>
      </c>
      <c r="AB521" s="371">
        <v>0</v>
      </c>
      <c r="AC521" s="369">
        <v>1330273.18</v>
      </c>
      <c r="AD521" s="369">
        <v>1330273.18</v>
      </c>
      <c r="AE521" s="369">
        <v>0</v>
      </c>
    </row>
    <row r="522" spans="1:31">
      <c r="A522" s="417" t="s">
        <v>640</v>
      </c>
      <c r="B522" s="418"/>
      <c r="C522" s="361">
        <f t="shared" si="47"/>
        <v>110257.29000000001</v>
      </c>
      <c r="D522" s="361">
        <f t="shared" si="48"/>
        <v>405018.58999999997</v>
      </c>
      <c r="E522" s="361">
        <f t="shared" si="49"/>
        <v>412171.6100000001</v>
      </c>
      <c r="F522" s="361">
        <f t="shared" si="50"/>
        <v>351293.23999999976</v>
      </c>
      <c r="G522" s="361">
        <f t="shared" si="51"/>
        <v>58307.35</v>
      </c>
      <c r="H522" s="367">
        <v>0</v>
      </c>
      <c r="I522" s="367">
        <v>14638</v>
      </c>
      <c r="J522" s="367">
        <v>9782.66</v>
      </c>
      <c r="K522" s="367">
        <v>85836.63</v>
      </c>
      <c r="L522" s="367">
        <v>129777.52</v>
      </c>
      <c r="M522" s="367">
        <v>83099.03</v>
      </c>
      <c r="N522" s="367">
        <v>65104.04</v>
      </c>
      <c r="O522" s="367">
        <v>127038</v>
      </c>
      <c r="P522" s="367">
        <v>100809.84</v>
      </c>
      <c r="Q522" s="367">
        <v>58341.540000000008</v>
      </c>
      <c r="R522" s="371">
        <v>104410.89</v>
      </c>
      <c r="S522" s="371">
        <v>148609.34000000008</v>
      </c>
      <c r="T522" s="371">
        <v>203919.77999999985</v>
      </c>
      <c r="U522" s="371">
        <v>106059.37999999998</v>
      </c>
      <c r="V522" s="371">
        <v>26424.019999999982</v>
      </c>
      <c r="W522" s="371">
        <v>14890.060000000001</v>
      </c>
      <c r="X522" s="371">
        <v>17929.77</v>
      </c>
      <c r="Y522" s="371">
        <v>20262.189999999999</v>
      </c>
      <c r="Z522" s="372">
        <v>20115.39</v>
      </c>
      <c r="AA522" s="367">
        <v>0</v>
      </c>
      <c r="AB522" s="371">
        <v>1.5399999999544889</v>
      </c>
      <c r="AC522" s="369">
        <v>1329856.0999999999</v>
      </c>
      <c r="AD522" s="369">
        <v>1351754.66</v>
      </c>
      <c r="AE522" s="369">
        <v>21898.560000000001</v>
      </c>
    </row>
    <row r="523" spans="1:31">
      <c r="A523" s="417" t="s">
        <v>537</v>
      </c>
      <c r="B523" s="418"/>
      <c r="C523" s="361">
        <f t="shared" si="47"/>
        <v>0</v>
      </c>
      <c r="D523" s="361">
        <f t="shared" si="48"/>
        <v>0</v>
      </c>
      <c r="E523" s="361">
        <f t="shared" si="49"/>
        <v>0</v>
      </c>
      <c r="F523" s="361">
        <f t="shared" si="50"/>
        <v>0</v>
      </c>
      <c r="G523" s="361">
        <f t="shared" si="51"/>
        <v>0</v>
      </c>
      <c r="H523" s="367"/>
      <c r="I523" s="367"/>
      <c r="J523" s="367"/>
      <c r="K523" s="367"/>
      <c r="L523" s="367"/>
      <c r="M523" s="367"/>
      <c r="N523" s="367"/>
      <c r="O523" s="367">
        <v>0</v>
      </c>
      <c r="P523" s="367">
        <v>0</v>
      </c>
      <c r="Q523" s="367">
        <v>0</v>
      </c>
      <c r="R523" s="367">
        <v>0</v>
      </c>
      <c r="S523" s="367">
        <v>0</v>
      </c>
      <c r="T523" s="367">
        <v>0</v>
      </c>
      <c r="U523" s="371">
        <v>0</v>
      </c>
      <c r="V523" s="371">
        <v>0</v>
      </c>
      <c r="W523" s="371">
        <v>0</v>
      </c>
      <c r="X523" s="371">
        <v>0</v>
      </c>
      <c r="Y523" s="371">
        <v>0</v>
      </c>
      <c r="Z523" s="371">
        <v>0</v>
      </c>
      <c r="AA523" s="367">
        <v>0</v>
      </c>
      <c r="AB523" s="371">
        <v>0</v>
      </c>
      <c r="AC523" s="369">
        <v>0</v>
      </c>
      <c r="AD523" s="369">
        <v>0</v>
      </c>
      <c r="AE523" s="369">
        <v>0</v>
      </c>
    </row>
    <row r="524" spans="1:31">
      <c r="A524" s="512" t="s">
        <v>1199</v>
      </c>
      <c r="B524" s="513"/>
      <c r="C524" s="361">
        <f t="shared" si="47"/>
        <v>285405.69</v>
      </c>
      <c r="D524" s="361">
        <f t="shared" si="48"/>
        <v>707211.96509803925</v>
      </c>
      <c r="E524" s="361">
        <f t="shared" si="49"/>
        <v>1474036.0199999998</v>
      </c>
      <c r="F524" s="361">
        <f t="shared" si="50"/>
        <v>748344.55</v>
      </c>
      <c r="G524" s="361">
        <f t="shared" si="51"/>
        <v>136248.32000000007</v>
      </c>
      <c r="H524" s="514">
        <v>0</v>
      </c>
      <c r="I524" s="514">
        <v>1267</v>
      </c>
      <c r="J524" s="514">
        <v>48800.639999999999</v>
      </c>
      <c r="K524" s="514">
        <v>235338.05000000002</v>
      </c>
      <c r="L524" s="514">
        <v>178453.57</v>
      </c>
      <c r="M524" s="514">
        <v>174597.5350980392</v>
      </c>
      <c r="N524" s="514">
        <v>172324.19</v>
      </c>
      <c r="O524" s="514">
        <v>181836.66999999998</v>
      </c>
      <c r="P524" s="514">
        <v>208025.99</v>
      </c>
      <c r="Q524" s="515">
        <v>489070.95</v>
      </c>
      <c r="R524" s="514">
        <v>454292.38999999996</v>
      </c>
      <c r="S524" s="514">
        <v>322646.68999999994</v>
      </c>
      <c r="T524" s="514">
        <v>403124.67000000004</v>
      </c>
      <c r="U524" s="514">
        <v>164370.60999999999</v>
      </c>
      <c r="V524" s="514">
        <v>77459.530000000028</v>
      </c>
      <c r="W524" s="514">
        <v>103389.74</v>
      </c>
      <c r="X524" s="514">
        <v>36828.380000000005</v>
      </c>
      <c r="Y524" s="514">
        <v>21423.15</v>
      </c>
      <c r="Z524" s="514">
        <v>20099.140000000058</v>
      </c>
      <c r="AA524" s="514">
        <v>57897.65</v>
      </c>
      <c r="AB524" s="514">
        <v>1.5734258340671659E-10</v>
      </c>
      <c r="AC524" s="516">
        <v>3345294.5</v>
      </c>
      <c r="AD524" s="516">
        <v>3485221.4</v>
      </c>
      <c r="AE524" s="517">
        <v>139926.9</v>
      </c>
    </row>
    <row r="525" spans="1:31">
      <c r="A525" s="417" t="s">
        <v>639</v>
      </c>
      <c r="B525" s="418"/>
      <c r="C525" s="361">
        <f t="shared" si="47"/>
        <v>159365.75000000003</v>
      </c>
      <c r="D525" s="361">
        <f t="shared" si="48"/>
        <v>430713.05</v>
      </c>
      <c r="E525" s="361">
        <f t="shared" si="49"/>
        <v>889605.99999999988</v>
      </c>
      <c r="F525" s="361">
        <f t="shared" si="50"/>
        <v>-34094.079999999929</v>
      </c>
      <c r="G525" s="361">
        <f t="shared" si="51"/>
        <v>0</v>
      </c>
      <c r="H525" s="367">
        <v>0</v>
      </c>
      <c r="I525" s="367">
        <v>0</v>
      </c>
      <c r="J525" s="367">
        <v>21221.48</v>
      </c>
      <c r="K525" s="367">
        <v>138144.27000000002</v>
      </c>
      <c r="L525" s="367">
        <v>88908.24</v>
      </c>
      <c r="M525" s="367">
        <v>140655.78</v>
      </c>
      <c r="N525" s="367">
        <v>90602.360000000015</v>
      </c>
      <c r="O525" s="367">
        <v>110546.67</v>
      </c>
      <c r="P525" s="367">
        <v>138447.53</v>
      </c>
      <c r="Q525" s="367">
        <v>401187.95</v>
      </c>
      <c r="R525" s="371">
        <v>186267.18</v>
      </c>
      <c r="S525" s="371">
        <v>163703.33999999997</v>
      </c>
      <c r="T525" s="371">
        <v>-34094.079999999929</v>
      </c>
      <c r="U525" s="371">
        <v>0</v>
      </c>
      <c r="V525" s="371">
        <v>0</v>
      </c>
      <c r="W525" s="371">
        <v>0</v>
      </c>
      <c r="X525" s="371">
        <v>0</v>
      </c>
      <c r="Y525" s="371">
        <v>0</v>
      </c>
      <c r="Z525" s="372">
        <v>0</v>
      </c>
      <c r="AA525" s="367">
        <v>0</v>
      </c>
      <c r="AB525" s="371">
        <v>0</v>
      </c>
      <c r="AC525" s="369">
        <v>1445590.72</v>
      </c>
      <c r="AD525" s="369">
        <v>1445590.72</v>
      </c>
      <c r="AE525" s="369">
        <v>0</v>
      </c>
    </row>
    <row r="526" spans="1:31">
      <c r="A526" s="417" t="s">
        <v>640</v>
      </c>
      <c r="B526" s="418"/>
      <c r="C526" s="361">
        <f t="shared" si="47"/>
        <v>126039.94</v>
      </c>
      <c r="D526" s="361">
        <f t="shared" si="48"/>
        <v>276498.9150980392</v>
      </c>
      <c r="E526" s="361">
        <f t="shared" si="49"/>
        <v>584430.02</v>
      </c>
      <c r="F526" s="361">
        <f t="shared" si="50"/>
        <v>782438.63</v>
      </c>
      <c r="G526" s="361">
        <f t="shared" si="51"/>
        <v>136248.32000000007</v>
      </c>
      <c r="H526" s="367">
        <v>0</v>
      </c>
      <c r="I526" s="367">
        <v>1267</v>
      </c>
      <c r="J526" s="367">
        <v>27579.16</v>
      </c>
      <c r="K526" s="367">
        <v>97193.78</v>
      </c>
      <c r="L526" s="367">
        <v>89545.33</v>
      </c>
      <c r="M526" s="367">
        <v>33941.755098039197</v>
      </c>
      <c r="N526" s="367">
        <v>81721.83</v>
      </c>
      <c r="O526" s="367">
        <v>71290</v>
      </c>
      <c r="P526" s="367">
        <v>69578.459999999992</v>
      </c>
      <c r="Q526" s="367">
        <v>87883</v>
      </c>
      <c r="R526" s="371">
        <v>268025.21000000002</v>
      </c>
      <c r="S526" s="371">
        <v>158943.34999999998</v>
      </c>
      <c r="T526" s="371">
        <v>437218.75</v>
      </c>
      <c r="U526" s="371">
        <v>164370.60999999999</v>
      </c>
      <c r="V526" s="371">
        <v>77459.530000000028</v>
      </c>
      <c r="W526" s="371">
        <v>103389.74</v>
      </c>
      <c r="X526" s="371">
        <v>36828.380000000005</v>
      </c>
      <c r="Y526" s="371">
        <v>21423.15</v>
      </c>
      <c r="Z526" s="372">
        <v>20099.140000000058</v>
      </c>
      <c r="AA526" s="367">
        <v>57897.65</v>
      </c>
      <c r="AB526" s="371">
        <v>1.5734258340671659E-10</v>
      </c>
      <c r="AC526" s="369">
        <v>1899703.78</v>
      </c>
      <c r="AD526" s="369">
        <v>2039630.68</v>
      </c>
      <c r="AE526" s="369">
        <v>139926.9</v>
      </c>
    </row>
    <row r="527" spans="1:31">
      <c r="A527" s="417" t="s">
        <v>537</v>
      </c>
      <c r="B527" s="418"/>
      <c r="C527" s="361">
        <f t="shared" si="47"/>
        <v>0</v>
      </c>
      <c r="D527" s="361">
        <f t="shared" si="48"/>
        <v>0</v>
      </c>
      <c r="E527" s="361">
        <f t="shared" si="49"/>
        <v>0</v>
      </c>
      <c r="F527" s="361">
        <f t="shared" si="50"/>
        <v>0</v>
      </c>
      <c r="G527" s="361">
        <f t="shared" si="51"/>
        <v>0</v>
      </c>
      <c r="H527" s="367"/>
      <c r="I527" s="367"/>
      <c r="J527" s="367"/>
      <c r="K527" s="367"/>
      <c r="L527" s="367"/>
      <c r="M527" s="367"/>
      <c r="N527" s="367"/>
      <c r="O527" s="367">
        <v>0</v>
      </c>
      <c r="P527" s="367">
        <v>0</v>
      </c>
      <c r="Q527" s="367">
        <v>0</v>
      </c>
      <c r="R527" s="367">
        <v>0</v>
      </c>
      <c r="S527" s="367">
        <v>0</v>
      </c>
      <c r="T527" s="367">
        <v>0</v>
      </c>
      <c r="U527" s="371">
        <v>0</v>
      </c>
      <c r="V527" s="371">
        <v>0</v>
      </c>
      <c r="W527" s="371">
        <v>0</v>
      </c>
      <c r="X527" s="371">
        <v>0</v>
      </c>
      <c r="Y527" s="371">
        <v>0</v>
      </c>
      <c r="Z527" s="371">
        <v>0</v>
      </c>
      <c r="AA527" s="367">
        <v>0</v>
      </c>
      <c r="AB527" s="371">
        <v>0</v>
      </c>
      <c r="AC527" s="369">
        <v>0</v>
      </c>
      <c r="AD527" s="369">
        <v>0</v>
      </c>
      <c r="AE527" s="369">
        <v>0</v>
      </c>
    </row>
    <row r="528" spans="1:31">
      <c r="A528" s="512" t="s">
        <v>1200</v>
      </c>
      <c r="B528" s="513"/>
      <c r="C528" s="361">
        <f t="shared" si="47"/>
        <v>206036.93</v>
      </c>
      <c r="D528" s="361">
        <f t="shared" si="48"/>
        <v>395967.17000000004</v>
      </c>
      <c r="E528" s="361">
        <f t="shared" si="49"/>
        <v>410180.2</v>
      </c>
      <c r="F528" s="361">
        <f t="shared" si="50"/>
        <v>85168.600000000035</v>
      </c>
      <c r="G528" s="361">
        <f t="shared" si="51"/>
        <v>0.16</v>
      </c>
      <c r="H528" s="514">
        <v>0</v>
      </c>
      <c r="I528" s="514">
        <v>841</v>
      </c>
      <c r="J528" s="514">
        <v>80401.63</v>
      </c>
      <c r="K528" s="514">
        <v>124794.29999999999</v>
      </c>
      <c r="L528" s="514">
        <v>66156.459999999992</v>
      </c>
      <c r="M528" s="514">
        <v>113622.69</v>
      </c>
      <c r="N528" s="514">
        <v>75413.05</v>
      </c>
      <c r="O528" s="514">
        <v>140774.97</v>
      </c>
      <c r="P528" s="514">
        <v>78163.81</v>
      </c>
      <c r="Q528" s="515">
        <v>110271.70999999999</v>
      </c>
      <c r="R528" s="514">
        <v>104988.25</v>
      </c>
      <c r="S528" s="514">
        <v>116756.42999999998</v>
      </c>
      <c r="T528" s="514">
        <v>85168.520000000019</v>
      </c>
      <c r="U528" s="514">
        <v>8.0000000016298145E-2</v>
      </c>
      <c r="V528" s="514">
        <v>0</v>
      </c>
      <c r="W528" s="514">
        <v>0</v>
      </c>
      <c r="X528" s="514">
        <v>0.08</v>
      </c>
      <c r="Y528" s="514">
        <v>0.08</v>
      </c>
      <c r="Z528" s="514">
        <v>0</v>
      </c>
      <c r="AA528" s="514">
        <v>0</v>
      </c>
      <c r="AB528" s="514">
        <v>-5.0022208597511053E-12</v>
      </c>
      <c r="AC528" s="516">
        <v>1093803.4300000002</v>
      </c>
      <c r="AD528" s="516">
        <v>1093803.3499999999</v>
      </c>
      <c r="AE528" s="516">
        <v>-0.08</v>
      </c>
    </row>
    <row r="529" spans="1:31">
      <c r="A529" s="417" t="s">
        <v>639</v>
      </c>
      <c r="B529" s="418"/>
      <c r="C529" s="361">
        <f t="shared" si="47"/>
        <v>150691.66</v>
      </c>
      <c r="D529" s="361">
        <f t="shared" si="48"/>
        <v>304774.65000000002</v>
      </c>
      <c r="E529" s="361">
        <f t="shared" si="49"/>
        <v>362225.02000000008</v>
      </c>
      <c r="F529" s="361">
        <f t="shared" si="50"/>
        <v>76858.6700000001</v>
      </c>
      <c r="G529" s="361">
        <f t="shared" si="51"/>
        <v>0.16</v>
      </c>
      <c r="H529" s="367">
        <v>0</v>
      </c>
      <c r="I529" s="367">
        <v>0</v>
      </c>
      <c r="J529" s="367">
        <v>80259.5</v>
      </c>
      <c r="K529" s="367">
        <v>70432.160000000003</v>
      </c>
      <c r="L529" s="367">
        <v>56840.259999999995</v>
      </c>
      <c r="M529" s="367">
        <v>105135.69</v>
      </c>
      <c r="N529" s="367">
        <v>69661.73000000001</v>
      </c>
      <c r="O529" s="367">
        <v>73136.97</v>
      </c>
      <c r="P529" s="367">
        <v>70863.100000000006</v>
      </c>
      <c r="Q529" s="367">
        <v>86673.010000000009</v>
      </c>
      <c r="R529" s="371">
        <v>93217.67</v>
      </c>
      <c r="S529" s="371">
        <v>111471.24000000003</v>
      </c>
      <c r="T529" s="371">
        <v>76858.590000000084</v>
      </c>
      <c r="U529" s="371">
        <v>8.0000000016298145E-2</v>
      </c>
      <c r="V529" s="371">
        <v>0</v>
      </c>
      <c r="W529" s="371">
        <v>0</v>
      </c>
      <c r="X529" s="371">
        <v>0.08</v>
      </c>
      <c r="Y529" s="371">
        <v>0.08</v>
      </c>
      <c r="Z529" s="371">
        <v>0</v>
      </c>
      <c r="AA529" s="367">
        <v>0</v>
      </c>
      <c r="AB529" s="371">
        <v>0</v>
      </c>
      <c r="AC529" s="468">
        <v>894550.16</v>
      </c>
      <c r="AD529" s="468">
        <v>894550.08</v>
      </c>
      <c r="AE529" s="468">
        <v>-0.08</v>
      </c>
    </row>
    <row r="530" spans="1:31">
      <c r="A530" s="417" t="s">
        <v>640</v>
      </c>
      <c r="B530" s="418"/>
      <c r="C530" s="361">
        <f t="shared" si="47"/>
        <v>55345.27</v>
      </c>
      <c r="D530" s="361">
        <f t="shared" si="48"/>
        <v>91192.52</v>
      </c>
      <c r="E530" s="361">
        <f t="shared" si="49"/>
        <v>47955.179999999942</v>
      </c>
      <c r="F530" s="361">
        <f t="shared" si="50"/>
        <v>8309.9299999999348</v>
      </c>
      <c r="G530" s="361">
        <f t="shared" si="51"/>
        <v>0</v>
      </c>
      <c r="H530" s="367">
        <v>0</v>
      </c>
      <c r="I530" s="367">
        <v>841</v>
      </c>
      <c r="J530" s="367">
        <v>142.13</v>
      </c>
      <c r="K530" s="367">
        <v>54362.14</v>
      </c>
      <c r="L530" s="367">
        <v>9316.2000000000007</v>
      </c>
      <c r="M530" s="367">
        <v>8487</v>
      </c>
      <c r="N530" s="367">
        <v>5751.32</v>
      </c>
      <c r="O530" s="367">
        <v>67638</v>
      </c>
      <c r="P530" s="367">
        <v>7300.71</v>
      </c>
      <c r="Q530" s="367">
        <v>23598.699999999997</v>
      </c>
      <c r="R530" s="371">
        <v>11770.58</v>
      </c>
      <c r="S530" s="371">
        <v>5285.1899999999441</v>
      </c>
      <c r="T530" s="371">
        <v>8309.9299999999348</v>
      </c>
      <c r="U530" s="371">
        <v>0</v>
      </c>
      <c r="V530" s="371">
        <v>0</v>
      </c>
      <c r="W530" s="371">
        <v>0</v>
      </c>
      <c r="X530" s="371">
        <v>0</v>
      </c>
      <c r="Y530" s="371">
        <v>0</v>
      </c>
      <c r="Z530" s="371">
        <v>0</v>
      </c>
      <c r="AA530" s="367">
        <v>0</v>
      </c>
      <c r="AB530" s="371">
        <v>-5.0022208597511053E-12</v>
      </c>
      <c r="AC530" s="468">
        <v>199253.27</v>
      </c>
      <c r="AD530" s="468">
        <v>199253.27</v>
      </c>
      <c r="AE530" s="468">
        <v>0</v>
      </c>
    </row>
    <row r="531" spans="1:31">
      <c r="A531" s="417" t="s">
        <v>537</v>
      </c>
      <c r="B531" s="418"/>
      <c r="C531" s="361">
        <f t="shared" si="47"/>
        <v>0</v>
      </c>
      <c r="D531" s="361">
        <f t="shared" si="48"/>
        <v>0</v>
      </c>
      <c r="E531" s="361">
        <f t="shared" si="49"/>
        <v>0</v>
      </c>
      <c r="F531" s="361">
        <f t="shared" si="50"/>
        <v>0</v>
      </c>
      <c r="G531" s="361">
        <f t="shared" si="51"/>
        <v>0</v>
      </c>
      <c r="H531" s="367"/>
      <c r="I531" s="367"/>
      <c r="J531" s="367"/>
      <c r="K531" s="367"/>
      <c r="L531" s="367"/>
      <c r="M531" s="367"/>
      <c r="N531" s="367"/>
      <c r="O531" s="367">
        <v>0</v>
      </c>
      <c r="P531" s="367">
        <v>0</v>
      </c>
      <c r="Q531" s="367">
        <v>0</v>
      </c>
      <c r="R531" s="367">
        <v>0</v>
      </c>
      <c r="S531" s="367">
        <v>0</v>
      </c>
      <c r="T531" s="367">
        <v>0</v>
      </c>
      <c r="U531" s="371">
        <v>0</v>
      </c>
      <c r="V531" s="371">
        <v>0</v>
      </c>
      <c r="W531" s="371">
        <v>0</v>
      </c>
      <c r="X531" s="371">
        <v>0</v>
      </c>
      <c r="Y531" s="371">
        <v>0</v>
      </c>
      <c r="Z531" s="371">
        <v>0</v>
      </c>
      <c r="AA531" s="367">
        <v>0</v>
      </c>
      <c r="AB531" s="371">
        <v>0</v>
      </c>
      <c r="AC531" s="468">
        <v>0</v>
      </c>
      <c r="AD531" s="468">
        <v>0</v>
      </c>
      <c r="AE531" s="468">
        <v>0</v>
      </c>
    </row>
    <row r="532" spans="1:31">
      <c r="A532" s="512" t="s">
        <v>1201</v>
      </c>
      <c r="B532" s="513"/>
      <c r="C532" s="361">
        <f t="shared" si="47"/>
        <v>216342.82</v>
      </c>
      <c r="D532" s="361">
        <f t="shared" si="48"/>
        <v>639507.22</v>
      </c>
      <c r="E532" s="361">
        <f t="shared" si="49"/>
        <v>1597085.58</v>
      </c>
      <c r="F532" s="361">
        <f t="shared" si="50"/>
        <v>428655.94000000006</v>
      </c>
      <c r="G532" s="361">
        <f t="shared" si="51"/>
        <v>26198.599999999984</v>
      </c>
      <c r="H532" s="518">
        <v>0</v>
      </c>
      <c r="I532" s="518">
        <v>1577</v>
      </c>
      <c r="J532" s="518">
        <v>89727.5</v>
      </c>
      <c r="K532" s="518">
        <v>125038.32</v>
      </c>
      <c r="L532" s="518">
        <v>131724.01</v>
      </c>
      <c r="M532" s="518">
        <v>151401.83000000002</v>
      </c>
      <c r="N532" s="518">
        <v>51611.150000000009</v>
      </c>
      <c r="O532" s="518">
        <v>304770.23</v>
      </c>
      <c r="P532" s="518">
        <v>392754.35</v>
      </c>
      <c r="Q532" s="519">
        <v>473772.57</v>
      </c>
      <c r="R532" s="518">
        <v>336845.03</v>
      </c>
      <c r="S532" s="518">
        <v>393713.63</v>
      </c>
      <c r="T532" s="518">
        <v>356716.06000000006</v>
      </c>
      <c r="U532" s="518">
        <v>64943.880000000012</v>
      </c>
      <c r="V532" s="518">
        <v>6996</v>
      </c>
      <c r="W532" s="518">
        <v>0</v>
      </c>
      <c r="X532" s="518">
        <v>3728.12</v>
      </c>
      <c r="Y532" s="518">
        <v>0</v>
      </c>
      <c r="Z532" s="518">
        <v>0</v>
      </c>
      <c r="AA532" s="518">
        <v>22470.479999999985</v>
      </c>
      <c r="AB532" s="518">
        <v>-2.0000000007712515E-2</v>
      </c>
      <c r="AC532" s="516">
        <v>2901376.8000000003</v>
      </c>
      <c r="AD532" s="516">
        <v>2901376.78</v>
      </c>
      <c r="AE532" s="516">
        <v>-0.02</v>
      </c>
    </row>
    <row r="533" spans="1:31">
      <c r="A533" s="417" t="s">
        <v>639</v>
      </c>
      <c r="B533" s="418"/>
      <c r="C533" s="361">
        <f t="shared" si="47"/>
        <v>138663.65000000002</v>
      </c>
      <c r="D533" s="361">
        <f t="shared" si="48"/>
        <v>513155.15</v>
      </c>
      <c r="E533" s="361">
        <f t="shared" si="49"/>
        <v>1152348.92</v>
      </c>
      <c r="F533" s="361">
        <f t="shared" si="50"/>
        <v>284881.94</v>
      </c>
      <c r="G533" s="361">
        <f t="shared" si="51"/>
        <v>0</v>
      </c>
      <c r="H533" s="367">
        <v>0</v>
      </c>
      <c r="I533" s="367">
        <v>0</v>
      </c>
      <c r="J533" s="367">
        <v>89727.5</v>
      </c>
      <c r="K533" s="367">
        <v>48936.150000000009</v>
      </c>
      <c r="L533" s="367">
        <v>85632.390000000014</v>
      </c>
      <c r="M533" s="367">
        <v>122424.59</v>
      </c>
      <c r="N533" s="367">
        <v>50311.94</v>
      </c>
      <c r="O533" s="367">
        <v>254786.23</v>
      </c>
      <c r="P533" s="367">
        <v>287034.31</v>
      </c>
      <c r="Q533" s="367">
        <v>291801.63</v>
      </c>
      <c r="R533" s="371">
        <v>266662.63</v>
      </c>
      <c r="S533" s="371">
        <v>306850.34999999998</v>
      </c>
      <c r="T533" s="371">
        <v>284881.94</v>
      </c>
      <c r="U533" s="371">
        <v>0</v>
      </c>
      <c r="V533" s="371">
        <v>0</v>
      </c>
      <c r="W533" s="371">
        <v>0</v>
      </c>
      <c r="X533" s="371">
        <v>0</v>
      </c>
      <c r="Y533" s="371">
        <v>0</v>
      </c>
      <c r="Z533" s="371">
        <v>0</v>
      </c>
      <c r="AA533" s="367">
        <v>0</v>
      </c>
      <c r="AB533" s="371">
        <v>0</v>
      </c>
      <c r="AC533" s="468">
        <v>2089049.66</v>
      </c>
      <c r="AD533" s="468">
        <v>2089049.66</v>
      </c>
      <c r="AE533" s="468">
        <v>0</v>
      </c>
    </row>
    <row r="534" spans="1:31">
      <c r="A534" s="417" t="s">
        <v>640</v>
      </c>
      <c r="B534" s="418"/>
      <c r="C534" s="361">
        <f t="shared" si="47"/>
        <v>77679.17</v>
      </c>
      <c r="D534" s="361">
        <f t="shared" si="48"/>
        <v>126352.07</v>
      </c>
      <c r="E534" s="361">
        <f t="shared" si="49"/>
        <v>444736.66000000003</v>
      </c>
      <c r="F534" s="361">
        <f t="shared" si="50"/>
        <v>143774.00000000003</v>
      </c>
      <c r="G534" s="361">
        <f t="shared" si="51"/>
        <v>26198.599999999984</v>
      </c>
      <c r="H534" s="367">
        <v>0</v>
      </c>
      <c r="I534" s="367">
        <v>1577</v>
      </c>
      <c r="J534" s="367">
        <v>0</v>
      </c>
      <c r="K534" s="367">
        <v>76102.17</v>
      </c>
      <c r="L534" s="367">
        <v>46091.62</v>
      </c>
      <c r="M534" s="367">
        <v>28977.239999999998</v>
      </c>
      <c r="N534" s="367">
        <v>1299.2100000000009</v>
      </c>
      <c r="O534" s="367">
        <v>49984</v>
      </c>
      <c r="P534" s="367">
        <v>105720.04</v>
      </c>
      <c r="Q534" s="367">
        <v>181970.93999999997</v>
      </c>
      <c r="R534" s="371">
        <v>70182.399999999994</v>
      </c>
      <c r="S534" s="371">
        <v>86863.280000000028</v>
      </c>
      <c r="T534" s="371">
        <v>71834.120000000024</v>
      </c>
      <c r="U534" s="371">
        <v>64943.880000000012</v>
      </c>
      <c r="V534" s="371">
        <v>6996</v>
      </c>
      <c r="W534" s="371">
        <v>0</v>
      </c>
      <c r="X534" s="371">
        <v>3728.12</v>
      </c>
      <c r="Y534" s="371">
        <v>0</v>
      </c>
      <c r="Z534" s="372">
        <v>0</v>
      </c>
      <c r="AA534" s="367">
        <v>22470.479999999985</v>
      </c>
      <c r="AB534" s="371">
        <v>-2.0000000007712515E-2</v>
      </c>
      <c r="AC534" s="468">
        <v>812327.14</v>
      </c>
      <c r="AD534" s="468">
        <v>812327.12</v>
      </c>
      <c r="AE534" s="468">
        <v>-0.02</v>
      </c>
    </row>
    <row r="535" spans="1:31">
      <c r="A535" s="417" t="s">
        <v>537</v>
      </c>
      <c r="B535" s="418"/>
      <c r="C535" s="361">
        <f t="shared" si="47"/>
        <v>0</v>
      </c>
      <c r="D535" s="361">
        <f t="shared" si="48"/>
        <v>0</v>
      </c>
      <c r="E535" s="361">
        <f t="shared" si="49"/>
        <v>0</v>
      </c>
      <c r="F535" s="361">
        <f t="shared" si="50"/>
        <v>0</v>
      </c>
      <c r="G535" s="361">
        <f t="shared" si="51"/>
        <v>0</v>
      </c>
      <c r="H535" s="367"/>
      <c r="I535" s="367"/>
      <c r="J535" s="367"/>
      <c r="K535" s="367"/>
      <c r="L535" s="367"/>
      <c r="M535" s="367"/>
      <c r="N535" s="367"/>
      <c r="O535" s="367">
        <v>0</v>
      </c>
      <c r="P535" s="367">
        <v>0</v>
      </c>
      <c r="Q535" s="367">
        <v>0</v>
      </c>
      <c r="R535" s="367">
        <v>0</v>
      </c>
      <c r="S535" s="367">
        <v>0</v>
      </c>
      <c r="T535" s="367">
        <v>0</v>
      </c>
      <c r="U535" s="371">
        <v>0</v>
      </c>
      <c r="V535" s="371">
        <v>0</v>
      </c>
      <c r="W535" s="371">
        <v>0</v>
      </c>
      <c r="X535" s="371">
        <v>0</v>
      </c>
      <c r="Y535" s="371">
        <v>0</v>
      </c>
      <c r="Z535" s="371">
        <v>0</v>
      </c>
      <c r="AA535" s="367">
        <v>0</v>
      </c>
      <c r="AB535" s="371">
        <v>0</v>
      </c>
      <c r="AC535" s="468">
        <v>0</v>
      </c>
      <c r="AD535" s="468">
        <v>0</v>
      </c>
      <c r="AE535" s="468">
        <v>0</v>
      </c>
    </row>
    <row r="536" spans="1:31" ht="25.5">
      <c r="A536" s="384" t="s">
        <v>536</v>
      </c>
      <c r="B536" s="385"/>
      <c r="C536" s="361">
        <f t="shared" si="47"/>
        <v>0</v>
      </c>
      <c r="D536" s="361">
        <f t="shared" si="48"/>
        <v>0</v>
      </c>
      <c r="E536" s="361">
        <f t="shared" si="49"/>
        <v>0</v>
      </c>
      <c r="F536" s="361">
        <f t="shared" si="50"/>
        <v>0</v>
      </c>
      <c r="G536" s="361">
        <f t="shared" si="51"/>
        <v>0</v>
      </c>
      <c r="H536" s="386">
        <v>0</v>
      </c>
      <c r="I536" s="386">
        <v>0</v>
      </c>
      <c r="J536" s="386">
        <v>0</v>
      </c>
      <c r="K536" s="386">
        <v>0</v>
      </c>
      <c r="L536" s="386">
        <v>0</v>
      </c>
      <c r="M536" s="386">
        <v>0</v>
      </c>
      <c r="N536" s="386">
        <v>0</v>
      </c>
      <c r="O536" s="386">
        <v>0</v>
      </c>
      <c r="P536" s="386">
        <v>0</v>
      </c>
      <c r="Q536" s="386">
        <v>0</v>
      </c>
      <c r="R536" s="386">
        <v>0</v>
      </c>
      <c r="S536" s="386">
        <v>0</v>
      </c>
      <c r="T536" s="386">
        <v>0</v>
      </c>
      <c r="U536" s="386">
        <v>0</v>
      </c>
      <c r="V536" s="386">
        <v>0</v>
      </c>
      <c r="W536" s="386">
        <v>0</v>
      </c>
      <c r="X536" s="386">
        <v>0</v>
      </c>
      <c r="Y536" s="386">
        <v>0</v>
      </c>
      <c r="Z536" s="386">
        <v>0</v>
      </c>
      <c r="AA536" s="387">
        <v>0</v>
      </c>
      <c r="AB536" s="386">
        <v>5162331.3499999996</v>
      </c>
      <c r="AC536" s="444">
        <v>0</v>
      </c>
      <c r="AD536" s="444">
        <v>2317490.02</v>
      </c>
      <c r="AE536" s="369">
        <v>2317490.02</v>
      </c>
    </row>
    <row r="537" spans="1:31">
      <c r="A537" s="384" t="s">
        <v>537</v>
      </c>
      <c r="B537" s="385"/>
      <c r="C537" s="361">
        <f t="shared" si="47"/>
        <v>0</v>
      </c>
      <c r="D537" s="361">
        <f t="shared" si="48"/>
        <v>0</v>
      </c>
      <c r="E537" s="361">
        <f t="shared" si="49"/>
        <v>0</v>
      </c>
      <c r="F537" s="361">
        <f t="shared" si="50"/>
        <v>0</v>
      </c>
      <c r="G537" s="361">
        <f t="shared" si="51"/>
        <v>502931.76</v>
      </c>
      <c r="H537" s="386">
        <v>0</v>
      </c>
      <c r="I537" s="386">
        <v>0</v>
      </c>
      <c r="J537" s="386">
        <v>0</v>
      </c>
      <c r="K537" s="386">
        <v>0</v>
      </c>
      <c r="L537" s="386">
        <v>0</v>
      </c>
      <c r="M537" s="386">
        <v>0</v>
      </c>
      <c r="N537" s="386">
        <v>0</v>
      </c>
      <c r="O537" s="386">
        <v>0</v>
      </c>
      <c r="P537" s="386">
        <v>0</v>
      </c>
      <c r="Q537" s="386">
        <v>0</v>
      </c>
      <c r="R537" s="386">
        <v>0</v>
      </c>
      <c r="S537" s="386">
        <v>0</v>
      </c>
      <c r="T537" s="386">
        <v>0</v>
      </c>
      <c r="U537" s="386">
        <v>0</v>
      </c>
      <c r="V537" s="386">
        <v>0</v>
      </c>
      <c r="W537" s="386">
        <v>0</v>
      </c>
      <c r="X537" s="386">
        <v>0</v>
      </c>
      <c r="Y537" s="386">
        <v>0</v>
      </c>
      <c r="Z537" s="387">
        <v>0</v>
      </c>
      <c r="AA537" s="387">
        <v>502931.76</v>
      </c>
      <c r="AB537" s="386"/>
      <c r="AC537" s="444">
        <v>502931.76</v>
      </c>
      <c r="AD537" s="444">
        <v>370262.43</v>
      </c>
      <c r="AE537" s="369">
        <v>-132669.32999999999</v>
      </c>
    </row>
    <row r="538" spans="1:31">
      <c r="A538" s="520" t="s">
        <v>1202</v>
      </c>
      <c r="B538" s="521"/>
      <c r="C538" s="361">
        <f t="shared" si="47"/>
        <v>701405.8600000001</v>
      </c>
      <c r="D538" s="361">
        <f t="shared" si="48"/>
        <v>1745546.2250000001</v>
      </c>
      <c r="E538" s="361">
        <f t="shared" si="49"/>
        <v>1433959.01</v>
      </c>
      <c r="F538" s="361">
        <f t="shared" si="50"/>
        <v>1583474.87</v>
      </c>
      <c r="G538" s="361">
        <f t="shared" si="51"/>
        <v>2002126.6999999997</v>
      </c>
      <c r="H538" s="388">
        <v>0</v>
      </c>
      <c r="I538" s="388">
        <v>0</v>
      </c>
      <c r="J538" s="388">
        <v>350469.84</v>
      </c>
      <c r="K538" s="388">
        <v>350936.02</v>
      </c>
      <c r="L538" s="388">
        <v>492304.06</v>
      </c>
      <c r="M538" s="388">
        <v>626595.77499999991</v>
      </c>
      <c r="N538" s="388">
        <v>313541.39</v>
      </c>
      <c r="O538" s="388">
        <v>313105</v>
      </c>
      <c r="P538" s="388">
        <v>452635.69</v>
      </c>
      <c r="Q538" s="389">
        <v>326535.78000000003</v>
      </c>
      <c r="R538" s="388">
        <v>327393.77</v>
      </c>
      <c r="S538" s="388">
        <v>327393.77</v>
      </c>
      <c r="T538" s="388">
        <v>461234.39</v>
      </c>
      <c r="U538" s="388">
        <v>330277</v>
      </c>
      <c r="V538" s="388">
        <v>329575.86</v>
      </c>
      <c r="W538" s="388">
        <v>462387.62</v>
      </c>
      <c r="X538" s="388">
        <v>297768.07</v>
      </c>
      <c r="Y538" s="388">
        <v>330074.37</v>
      </c>
      <c r="Z538" s="388">
        <v>330074.36</v>
      </c>
      <c r="AA538" s="362">
        <v>1044209.8999999999</v>
      </c>
      <c r="AB538" s="388">
        <v>1.9199999998090789</v>
      </c>
      <c r="AC538" s="364">
        <v>7466512.6699999999</v>
      </c>
      <c r="AD538" s="388">
        <v>7466513.5300000003</v>
      </c>
      <c r="AE538" s="364">
        <v>0.86</v>
      </c>
    </row>
    <row r="539" spans="1:31">
      <c r="A539" s="465" t="s">
        <v>1203</v>
      </c>
      <c r="B539" s="418" t="s">
        <v>1204</v>
      </c>
      <c r="C539" s="361">
        <f t="shared" si="47"/>
        <v>701405.8600000001</v>
      </c>
      <c r="D539" s="361">
        <f t="shared" si="48"/>
        <v>1745546.2250000001</v>
      </c>
      <c r="E539" s="361">
        <f t="shared" si="49"/>
        <v>1433959.01</v>
      </c>
      <c r="F539" s="361">
        <f t="shared" si="50"/>
        <v>1583474.87</v>
      </c>
      <c r="G539" s="361">
        <f t="shared" si="51"/>
        <v>2002126.7</v>
      </c>
      <c r="H539" s="367">
        <v>0</v>
      </c>
      <c r="I539" s="367">
        <v>0</v>
      </c>
      <c r="J539" s="367">
        <v>350469.84</v>
      </c>
      <c r="K539" s="367">
        <v>350936.02</v>
      </c>
      <c r="L539" s="367">
        <v>492304.06</v>
      </c>
      <c r="M539" s="367">
        <v>626595.77499999991</v>
      </c>
      <c r="N539" s="367">
        <v>313541.39</v>
      </c>
      <c r="O539" s="367">
        <v>313105</v>
      </c>
      <c r="P539" s="367">
        <v>452635.69</v>
      </c>
      <c r="Q539" s="367">
        <v>326535.78000000003</v>
      </c>
      <c r="R539" s="367">
        <v>327393.77</v>
      </c>
      <c r="S539" s="367">
        <v>327393.77</v>
      </c>
      <c r="T539" s="367">
        <v>461234.39</v>
      </c>
      <c r="U539" s="371">
        <v>330277</v>
      </c>
      <c r="V539" s="367">
        <v>329575.86</v>
      </c>
      <c r="W539" s="367">
        <v>462387.62</v>
      </c>
      <c r="X539" s="367">
        <v>297768.07</v>
      </c>
      <c r="Y539" s="367">
        <v>330074.37</v>
      </c>
      <c r="Z539" s="368">
        <v>330074.36</v>
      </c>
      <c r="AA539" s="367">
        <v>1044209.9</v>
      </c>
      <c r="AB539" s="371">
        <v>1.9199999996926636</v>
      </c>
      <c r="AC539" s="373">
        <v>7466512.6700000009</v>
      </c>
      <c r="AD539" s="373">
        <v>7466513.5300000003</v>
      </c>
      <c r="AE539" s="444">
        <v>0.86</v>
      </c>
    </row>
    <row r="540" spans="1:31" ht="25.5">
      <c r="A540" s="384" t="s">
        <v>536</v>
      </c>
      <c r="B540" s="385"/>
      <c r="C540" s="361">
        <f t="shared" si="47"/>
        <v>0</v>
      </c>
      <c r="D540" s="361">
        <f t="shared" si="48"/>
        <v>0</v>
      </c>
      <c r="E540" s="361">
        <f t="shared" si="49"/>
        <v>0</v>
      </c>
      <c r="F540" s="361">
        <f t="shared" si="50"/>
        <v>0</v>
      </c>
      <c r="G540" s="361">
        <f t="shared" si="51"/>
        <v>-1.1641532182693481E-10</v>
      </c>
      <c r="H540" s="386">
        <v>0</v>
      </c>
      <c r="I540" s="386">
        <v>0</v>
      </c>
      <c r="J540" s="386">
        <v>0</v>
      </c>
      <c r="K540" s="386">
        <v>0</v>
      </c>
      <c r="L540" s="386">
        <v>0</v>
      </c>
      <c r="M540" s="386">
        <v>0</v>
      </c>
      <c r="N540" s="386">
        <v>0</v>
      </c>
      <c r="O540" s="386">
        <v>0</v>
      </c>
      <c r="P540" s="386">
        <v>0</v>
      </c>
      <c r="Q540" s="386">
        <v>0</v>
      </c>
      <c r="R540" s="386">
        <v>0</v>
      </c>
      <c r="S540" s="386">
        <v>0</v>
      </c>
      <c r="T540" s="386">
        <v>0</v>
      </c>
      <c r="U540" s="386">
        <v>0</v>
      </c>
      <c r="V540" s="386">
        <v>0</v>
      </c>
      <c r="W540" s="386">
        <v>0</v>
      </c>
      <c r="X540" s="386">
        <v>0</v>
      </c>
      <c r="Y540" s="386">
        <v>0</v>
      </c>
      <c r="Z540" s="386">
        <v>0</v>
      </c>
      <c r="AA540" s="387">
        <v>-1.1641532182693481E-10</v>
      </c>
      <c r="AB540" s="386">
        <v>1.1641532182693481E-10</v>
      </c>
      <c r="AC540" s="373">
        <v>0</v>
      </c>
      <c r="AD540" s="373">
        <v>0</v>
      </c>
      <c r="AE540" s="369">
        <v>0</v>
      </c>
    </row>
    <row r="541" spans="1:31">
      <c r="A541" s="384" t="s">
        <v>537</v>
      </c>
      <c r="B541" s="385"/>
      <c r="C541" s="361">
        <f t="shared" si="47"/>
        <v>0</v>
      </c>
      <c r="D541" s="361">
        <f t="shared" si="48"/>
        <v>0</v>
      </c>
      <c r="E541" s="361">
        <f t="shared" si="49"/>
        <v>0</v>
      </c>
      <c r="F541" s="361">
        <f t="shared" si="50"/>
        <v>0</v>
      </c>
      <c r="G541" s="361">
        <f t="shared" si="51"/>
        <v>0</v>
      </c>
      <c r="H541" s="386"/>
      <c r="I541" s="386"/>
      <c r="J541" s="386"/>
      <c r="K541" s="386"/>
      <c r="L541" s="386"/>
      <c r="M541" s="386"/>
      <c r="N541" s="386">
        <v>0</v>
      </c>
      <c r="O541" s="386">
        <v>0</v>
      </c>
      <c r="P541" s="386">
        <v>0</v>
      </c>
      <c r="Q541" s="386">
        <v>0</v>
      </c>
      <c r="R541" s="386">
        <v>0</v>
      </c>
      <c r="S541" s="386">
        <v>0</v>
      </c>
      <c r="T541" s="386">
        <v>0</v>
      </c>
      <c r="U541" s="386">
        <v>0</v>
      </c>
      <c r="V541" s="386">
        <v>0</v>
      </c>
      <c r="W541" s="386">
        <v>0</v>
      </c>
      <c r="X541" s="386">
        <v>0</v>
      </c>
      <c r="Y541" s="386">
        <v>0</v>
      </c>
      <c r="Z541" s="386">
        <v>0</v>
      </c>
      <c r="AA541" s="387">
        <v>0</v>
      </c>
      <c r="AB541" s="386"/>
      <c r="AC541" s="373">
        <v>0</v>
      </c>
      <c r="AD541" s="373">
        <v>0</v>
      </c>
      <c r="AE541" s="369">
        <v>0</v>
      </c>
    </row>
    <row r="542" spans="1:31">
      <c r="A542" s="520" t="s">
        <v>1205</v>
      </c>
      <c r="B542" s="494"/>
      <c r="C542" s="361">
        <f t="shared" si="47"/>
        <v>220474.58000000002</v>
      </c>
      <c r="D542" s="361">
        <f t="shared" si="48"/>
        <v>2071359.0499999998</v>
      </c>
      <c r="E542" s="361">
        <f t="shared" si="49"/>
        <v>1978592.8800000001</v>
      </c>
      <c r="F542" s="361">
        <f t="shared" si="50"/>
        <v>1548641.8699999999</v>
      </c>
      <c r="G542" s="361">
        <f t="shared" si="51"/>
        <v>1329252.23</v>
      </c>
      <c r="H542" s="388">
        <v>0</v>
      </c>
      <c r="I542" s="388">
        <v>0</v>
      </c>
      <c r="J542" s="388">
        <v>0</v>
      </c>
      <c r="K542" s="388">
        <v>220474.58000000002</v>
      </c>
      <c r="L542" s="388">
        <v>432748.81</v>
      </c>
      <c r="M542" s="388">
        <v>365807.43000000005</v>
      </c>
      <c r="N542" s="388">
        <v>1151116.6499999999</v>
      </c>
      <c r="O542" s="388">
        <v>121686.15999999999</v>
      </c>
      <c r="P542" s="388">
        <v>1345466.08</v>
      </c>
      <c r="Q542" s="389">
        <v>228080.72999999998</v>
      </c>
      <c r="R542" s="388">
        <v>13050.73</v>
      </c>
      <c r="S542" s="388">
        <v>391995.34</v>
      </c>
      <c r="T542" s="388">
        <v>126561.66</v>
      </c>
      <c r="U542" s="388">
        <v>0</v>
      </c>
      <c r="V542" s="388">
        <v>1281354.31</v>
      </c>
      <c r="W542" s="388">
        <v>140725.9</v>
      </c>
      <c r="X542" s="388">
        <v>211291.28999999998</v>
      </c>
      <c r="Y542" s="388">
        <v>204152.61</v>
      </c>
      <c r="Z542" s="388">
        <v>178105.55</v>
      </c>
      <c r="AA542" s="362">
        <v>735702.78</v>
      </c>
      <c r="AB542" s="388">
        <v>-0.25999999951454811</v>
      </c>
      <c r="AC542" s="364">
        <v>7148320.6100000003</v>
      </c>
      <c r="AD542" s="388">
        <v>7131321.8399999999</v>
      </c>
      <c r="AE542" s="364">
        <v>-16998.77</v>
      </c>
    </row>
    <row r="543" spans="1:31" ht="25.5">
      <c r="A543" s="465" t="s">
        <v>1206</v>
      </c>
      <c r="B543" s="418" t="s">
        <v>1207</v>
      </c>
      <c r="C543" s="361">
        <f t="shared" si="47"/>
        <v>57139.4</v>
      </c>
      <c r="D543" s="361">
        <f t="shared" si="48"/>
        <v>87043.55</v>
      </c>
      <c r="E543" s="361">
        <f t="shared" si="49"/>
        <v>0</v>
      </c>
      <c r="F543" s="361">
        <f t="shared" si="50"/>
        <v>0</v>
      </c>
      <c r="G543" s="361">
        <f t="shared" si="51"/>
        <v>0</v>
      </c>
      <c r="H543" s="367">
        <v>0</v>
      </c>
      <c r="I543" s="367">
        <v>0</v>
      </c>
      <c r="J543" s="367">
        <v>0</v>
      </c>
      <c r="K543" s="367">
        <v>57139.4</v>
      </c>
      <c r="L543" s="367">
        <v>87043.55</v>
      </c>
      <c r="M543" s="367">
        <v>0</v>
      </c>
      <c r="N543" s="367">
        <v>0</v>
      </c>
      <c r="O543" s="367">
        <v>0</v>
      </c>
      <c r="P543" s="367">
        <v>0</v>
      </c>
      <c r="Q543" s="367">
        <v>0</v>
      </c>
      <c r="R543" s="367">
        <v>0</v>
      </c>
      <c r="S543" s="367">
        <v>0</v>
      </c>
      <c r="T543" s="367">
        <v>0</v>
      </c>
      <c r="U543" s="371">
        <v>0</v>
      </c>
      <c r="V543" s="371">
        <v>0</v>
      </c>
      <c r="W543" s="371">
        <v>0</v>
      </c>
      <c r="X543" s="371">
        <v>0</v>
      </c>
      <c r="Y543" s="371">
        <v>0</v>
      </c>
      <c r="Z543" s="371">
        <v>0</v>
      </c>
      <c r="AA543" s="367">
        <v>0</v>
      </c>
      <c r="AB543" s="371">
        <v>0</v>
      </c>
      <c r="AC543" s="373">
        <v>144182.95000000001</v>
      </c>
      <c r="AD543" s="373">
        <v>144182.95000000001</v>
      </c>
      <c r="AE543" s="444">
        <v>0</v>
      </c>
    </row>
    <row r="544" spans="1:31">
      <c r="A544" s="465" t="s">
        <v>1208</v>
      </c>
      <c r="B544" s="418" t="s">
        <v>1209</v>
      </c>
      <c r="C544" s="361">
        <f t="shared" si="47"/>
        <v>163335.18</v>
      </c>
      <c r="D544" s="361">
        <f t="shared" si="48"/>
        <v>1984315.4999999998</v>
      </c>
      <c r="E544" s="361">
        <f t="shared" si="49"/>
        <v>1978592.8800000001</v>
      </c>
      <c r="F544" s="361">
        <f t="shared" si="50"/>
        <v>1548641.8699999999</v>
      </c>
      <c r="G544" s="361">
        <f t="shared" si="51"/>
        <v>1329252.23</v>
      </c>
      <c r="H544" s="367">
        <v>0</v>
      </c>
      <c r="I544" s="367">
        <v>0</v>
      </c>
      <c r="J544" s="367">
        <v>0</v>
      </c>
      <c r="K544" s="367">
        <v>163335.18</v>
      </c>
      <c r="L544" s="367">
        <v>345705.26</v>
      </c>
      <c r="M544" s="367">
        <v>365807.43000000005</v>
      </c>
      <c r="N544" s="367">
        <v>1151116.6499999999</v>
      </c>
      <c r="O544" s="367">
        <v>121686.15999999999</v>
      </c>
      <c r="P544" s="367">
        <v>1345466.08</v>
      </c>
      <c r="Q544" s="367">
        <v>228080.72999999998</v>
      </c>
      <c r="R544" s="367">
        <v>13050.73</v>
      </c>
      <c r="S544" s="367">
        <v>391995.34</v>
      </c>
      <c r="T544" s="367">
        <v>126561.66</v>
      </c>
      <c r="U544" s="371">
        <v>0</v>
      </c>
      <c r="V544" s="367">
        <v>1281354.31</v>
      </c>
      <c r="W544" s="367">
        <v>140725.9</v>
      </c>
      <c r="X544" s="367">
        <v>211291.28999999998</v>
      </c>
      <c r="Y544" s="367">
        <v>204152.61</v>
      </c>
      <c r="Z544" s="368">
        <v>178105.55</v>
      </c>
      <c r="AA544" s="367">
        <v>735702.78</v>
      </c>
      <c r="AB544" s="371">
        <v>-0.25999999954365194</v>
      </c>
      <c r="AC544" s="373">
        <v>7004137.6600000001</v>
      </c>
      <c r="AD544" s="373">
        <v>6987138.8899999997</v>
      </c>
      <c r="AE544" s="444">
        <v>-16998.77</v>
      </c>
    </row>
    <row r="545" spans="1:33" ht="25.5">
      <c r="A545" s="384" t="s">
        <v>536</v>
      </c>
      <c r="B545" s="385"/>
      <c r="C545" s="361">
        <f t="shared" si="47"/>
        <v>0</v>
      </c>
      <c r="D545" s="361">
        <f t="shared" si="48"/>
        <v>0</v>
      </c>
      <c r="E545" s="361">
        <f t="shared" si="49"/>
        <v>0</v>
      </c>
      <c r="F545" s="361">
        <f t="shared" si="50"/>
        <v>0</v>
      </c>
      <c r="G545" s="361">
        <f t="shared" si="51"/>
        <v>-2.9103830456733704E-11</v>
      </c>
      <c r="H545" s="386">
        <v>0</v>
      </c>
      <c r="I545" s="386">
        <v>0</v>
      </c>
      <c r="J545" s="386">
        <v>0</v>
      </c>
      <c r="K545" s="386">
        <v>0</v>
      </c>
      <c r="L545" s="386">
        <v>0</v>
      </c>
      <c r="M545" s="386">
        <v>0</v>
      </c>
      <c r="N545" s="386">
        <v>0</v>
      </c>
      <c r="O545" s="386">
        <v>0</v>
      </c>
      <c r="P545" s="386">
        <v>0</v>
      </c>
      <c r="Q545" s="386">
        <v>0</v>
      </c>
      <c r="R545" s="386">
        <v>0</v>
      </c>
      <c r="S545" s="386">
        <v>0</v>
      </c>
      <c r="T545" s="386">
        <v>0</v>
      </c>
      <c r="U545" s="386">
        <v>0</v>
      </c>
      <c r="V545" s="386">
        <v>0</v>
      </c>
      <c r="W545" s="386">
        <v>0</v>
      </c>
      <c r="X545" s="386">
        <v>0</v>
      </c>
      <c r="Y545" s="386">
        <v>0</v>
      </c>
      <c r="Z545" s="386">
        <v>0</v>
      </c>
      <c r="AA545" s="387">
        <v>-2.9103830456733704E-11</v>
      </c>
      <c r="AB545" s="386">
        <v>2.9103830456733704E-11</v>
      </c>
      <c r="AC545" s="373">
        <v>0</v>
      </c>
      <c r="AD545" s="373">
        <v>0</v>
      </c>
      <c r="AE545" s="369">
        <v>0</v>
      </c>
    </row>
    <row r="546" spans="1:33">
      <c r="A546" s="384" t="s">
        <v>537</v>
      </c>
      <c r="B546" s="385"/>
      <c r="C546" s="361">
        <f t="shared" si="47"/>
        <v>0</v>
      </c>
      <c r="D546" s="361">
        <f t="shared" si="48"/>
        <v>0</v>
      </c>
      <c r="E546" s="361">
        <f t="shared" si="49"/>
        <v>0</v>
      </c>
      <c r="F546" s="361">
        <f t="shared" si="50"/>
        <v>0</v>
      </c>
      <c r="G546" s="361">
        <f t="shared" si="51"/>
        <v>0</v>
      </c>
      <c r="H546" s="386">
        <v>0</v>
      </c>
      <c r="I546" s="386">
        <v>0</v>
      </c>
      <c r="J546" s="386">
        <v>0</v>
      </c>
      <c r="K546" s="386">
        <v>0</v>
      </c>
      <c r="L546" s="386">
        <v>0</v>
      </c>
      <c r="M546" s="386">
        <v>0</v>
      </c>
      <c r="N546" s="386">
        <v>0</v>
      </c>
      <c r="O546" s="386">
        <v>0</v>
      </c>
      <c r="P546" s="386">
        <v>0</v>
      </c>
      <c r="Q546" s="386">
        <v>0</v>
      </c>
      <c r="R546" s="386">
        <v>0</v>
      </c>
      <c r="S546" s="386">
        <v>0</v>
      </c>
      <c r="T546" s="386">
        <v>0</v>
      </c>
      <c r="U546" s="386">
        <v>0</v>
      </c>
      <c r="V546" s="386">
        <v>0</v>
      </c>
      <c r="W546" s="386">
        <v>0</v>
      </c>
      <c r="X546" s="386">
        <v>0</v>
      </c>
      <c r="Y546" s="386">
        <v>0</v>
      </c>
      <c r="Z546" s="386">
        <v>0</v>
      </c>
      <c r="AA546" s="387">
        <v>0</v>
      </c>
      <c r="AB546" s="386"/>
      <c r="AC546" s="373">
        <v>0</v>
      </c>
      <c r="AD546" s="373">
        <v>0</v>
      </c>
      <c r="AE546" s="369">
        <v>0</v>
      </c>
    </row>
    <row r="547" spans="1:33">
      <c r="A547" s="520" t="s">
        <v>1210</v>
      </c>
      <c r="B547" s="494"/>
      <c r="C547" s="361">
        <f t="shared" si="47"/>
        <v>0</v>
      </c>
      <c r="D547" s="361">
        <f t="shared" si="48"/>
        <v>23463.079999999998</v>
      </c>
      <c r="E547" s="361">
        <f t="shared" si="49"/>
        <v>88190.6</v>
      </c>
      <c r="F547" s="361">
        <f t="shared" si="50"/>
        <v>80641.37000000001</v>
      </c>
      <c r="G547" s="361">
        <f t="shared" si="51"/>
        <v>215254.2</v>
      </c>
      <c r="H547" s="388">
        <v>0</v>
      </c>
      <c r="I547" s="388">
        <v>0</v>
      </c>
      <c r="J547" s="388">
        <v>0</v>
      </c>
      <c r="K547" s="388">
        <v>0</v>
      </c>
      <c r="L547" s="388">
        <v>3078.11</v>
      </c>
      <c r="M547" s="388">
        <v>10446.17</v>
      </c>
      <c r="N547" s="388">
        <v>5328.93</v>
      </c>
      <c r="O547" s="388">
        <v>4609.87</v>
      </c>
      <c r="P547" s="388">
        <v>33087.96</v>
      </c>
      <c r="Q547" s="389">
        <v>18261.93</v>
      </c>
      <c r="R547" s="388">
        <v>30069.11</v>
      </c>
      <c r="S547" s="388">
        <v>6771.6</v>
      </c>
      <c r="T547" s="388">
        <v>14436</v>
      </c>
      <c r="U547" s="388">
        <v>20367.27</v>
      </c>
      <c r="V547" s="388">
        <v>35316.58</v>
      </c>
      <c r="W547" s="388">
        <v>10521.52</v>
      </c>
      <c r="X547" s="388">
        <v>12189.91</v>
      </c>
      <c r="Y547" s="388">
        <v>24247.35</v>
      </c>
      <c r="Z547" s="388">
        <v>19390.410000000007</v>
      </c>
      <c r="AA547" s="362">
        <v>159426.53</v>
      </c>
      <c r="AB547" s="388">
        <v>0</v>
      </c>
      <c r="AC547" s="364">
        <v>407549.25</v>
      </c>
      <c r="AD547" s="388">
        <v>412763.50000000006</v>
      </c>
      <c r="AE547" s="364">
        <v>5214.25</v>
      </c>
    </row>
    <row r="548" spans="1:33">
      <c r="A548" s="467" t="s">
        <v>1211</v>
      </c>
      <c r="B548" s="418" t="s">
        <v>1212</v>
      </c>
      <c r="C548" s="361">
        <f t="shared" si="47"/>
        <v>0</v>
      </c>
      <c r="D548" s="361">
        <f t="shared" si="48"/>
        <v>23463.079999999998</v>
      </c>
      <c r="E548" s="361">
        <f t="shared" si="49"/>
        <v>88190.6</v>
      </c>
      <c r="F548" s="361">
        <f t="shared" si="50"/>
        <v>80641.37000000001</v>
      </c>
      <c r="G548" s="361">
        <f t="shared" si="51"/>
        <v>213254.2</v>
      </c>
      <c r="H548" s="374">
        <v>0</v>
      </c>
      <c r="I548" s="374">
        <v>0</v>
      </c>
      <c r="J548" s="374">
        <v>0</v>
      </c>
      <c r="K548" s="374">
        <v>0</v>
      </c>
      <c r="L548" s="374">
        <v>3078.11</v>
      </c>
      <c r="M548" s="374">
        <v>10446.17</v>
      </c>
      <c r="N548" s="374">
        <v>5328.93</v>
      </c>
      <c r="O548" s="374">
        <v>4609.87</v>
      </c>
      <c r="P548" s="374">
        <v>33087.96</v>
      </c>
      <c r="Q548" s="374">
        <v>18261.93</v>
      </c>
      <c r="R548" s="374">
        <v>30069.11</v>
      </c>
      <c r="S548" s="374">
        <v>6771.6</v>
      </c>
      <c r="T548" s="374">
        <v>14436</v>
      </c>
      <c r="U548" s="371">
        <v>20367.27</v>
      </c>
      <c r="V548" s="374">
        <v>35316.58</v>
      </c>
      <c r="W548" s="374">
        <v>10521.52</v>
      </c>
      <c r="X548" s="374">
        <v>12189.91</v>
      </c>
      <c r="Y548" s="374">
        <v>24247.35</v>
      </c>
      <c r="Z548" s="383">
        <v>19390.410000000007</v>
      </c>
      <c r="AA548" s="367">
        <v>157426.53</v>
      </c>
      <c r="AB548" s="371"/>
      <c r="AC548" s="373">
        <v>405549.25</v>
      </c>
      <c r="AD548" s="373">
        <v>407053.04000000004</v>
      </c>
      <c r="AE548" s="444">
        <v>1503.79</v>
      </c>
    </row>
    <row r="549" spans="1:33" ht="25.5">
      <c r="A549" s="384" t="s">
        <v>536</v>
      </c>
      <c r="B549" s="385"/>
      <c r="C549" s="361">
        <f t="shared" si="47"/>
        <v>0</v>
      </c>
      <c r="D549" s="361">
        <f t="shared" si="48"/>
        <v>0</v>
      </c>
      <c r="E549" s="361">
        <f t="shared" si="49"/>
        <v>0</v>
      </c>
      <c r="F549" s="361">
        <f t="shared" si="50"/>
        <v>0</v>
      </c>
      <c r="G549" s="361">
        <f t="shared" si="51"/>
        <v>0</v>
      </c>
      <c r="H549" s="386">
        <v>0</v>
      </c>
      <c r="I549" s="386">
        <v>0</v>
      </c>
      <c r="J549" s="386">
        <v>0</v>
      </c>
      <c r="K549" s="386">
        <v>0</v>
      </c>
      <c r="L549" s="386">
        <v>0</v>
      </c>
      <c r="M549" s="386">
        <v>0</v>
      </c>
      <c r="N549" s="386">
        <v>0</v>
      </c>
      <c r="O549" s="386">
        <v>0</v>
      </c>
      <c r="P549" s="386">
        <v>0</v>
      </c>
      <c r="Q549" s="386">
        <v>0</v>
      </c>
      <c r="R549" s="386">
        <v>0</v>
      </c>
      <c r="S549" s="386">
        <v>0</v>
      </c>
      <c r="T549" s="386">
        <v>0</v>
      </c>
      <c r="U549" s="386">
        <v>0</v>
      </c>
      <c r="V549" s="386">
        <v>0</v>
      </c>
      <c r="W549" s="386">
        <v>0</v>
      </c>
      <c r="X549" s="386">
        <v>0</v>
      </c>
      <c r="Y549" s="386">
        <v>0</v>
      </c>
      <c r="Z549" s="386">
        <v>0</v>
      </c>
      <c r="AA549" s="387">
        <v>0</v>
      </c>
      <c r="AB549" s="386">
        <v>0</v>
      </c>
      <c r="AC549" s="373">
        <v>0</v>
      </c>
      <c r="AD549" s="373">
        <v>0</v>
      </c>
      <c r="AE549" s="369">
        <v>0</v>
      </c>
    </row>
    <row r="550" spans="1:33">
      <c r="A550" s="384" t="s">
        <v>537</v>
      </c>
      <c r="B550" s="385"/>
      <c r="C550" s="361">
        <f t="shared" si="47"/>
        <v>0</v>
      </c>
      <c r="D550" s="361">
        <f t="shared" si="48"/>
        <v>0</v>
      </c>
      <c r="E550" s="361">
        <f t="shared" si="49"/>
        <v>0</v>
      </c>
      <c r="F550" s="361">
        <f t="shared" si="50"/>
        <v>0</v>
      </c>
      <c r="G550" s="361">
        <f t="shared" si="51"/>
        <v>2000</v>
      </c>
      <c r="H550" s="386">
        <v>0</v>
      </c>
      <c r="I550" s="386">
        <v>0</v>
      </c>
      <c r="J550" s="386">
        <v>0</v>
      </c>
      <c r="K550" s="386">
        <v>0</v>
      </c>
      <c r="L550" s="386">
        <v>0</v>
      </c>
      <c r="M550" s="386">
        <v>0</v>
      </c>
      <c r="N550" s="386">
        <v>0</v>
      </c>
      <c r="O550" s="386">
        <v>0</v>
      </c>
      <c r="P550" s="386">
        <v>0</v>
      </c>
      <c r="Q550" s="386">
        <v>0</v>
      </c>
      <c r="R550" s="386">
        <v>0</v>
      </c>
      <c r="S550" s="386">
        <v>0</v>
      </c>
      <c r="T550" s="386">
        <v>0</v>
      </c>
      <c r="U550" s="386">
        <v>0</v>
      </c>
      <c r="V550" s="386">
        <v>0</v>
      </c>
      <c r="W550" s="386">
        <v>0</v>
      </c>
      <c r="X550" s="386">
        <v>0</v>
      </c>
      <c r="Y550" s="386">
        <v>0</v>
      </c>
      <c r="Z550" s="387">
        <v>0</v>
      </c>
      <c r="AA550" s="387">
        <v>2000</v>
      </c>
      <c r="AB550" s="386"/>
      <c r="AC550" s="373">
        <v>2000</v>
      </c>
      <c r="AD550" s="373">
        <v>5710.46</v>
      </c>
      <c r="AE550" s="369">
        <v>3710.46</v>
      </c>
    </row>
    <row r="551" spans="1:33">
      <c r="A551" s="522" t="s">
        <v>1213</v>
      </c>
      <c r="B551" s="523"/>
      <c r="C551" s="361">
        <f t="shared" si="47"/>
        <v>4599740.96</v>
      </c>
      <c r="D551" s="361">
        <f t="shared" si="48"/>
        <v>11792366.449418964</v>
      </c>
      <c r="E551" s="361">
        <f t="shared" si="49"/>
        <v>14055970.34</v>
      </c>
      <c r="F551" s="361">
        <f t="shared" si="50"/>
        <v>11362545.930000002</v>
      </c>
      <c r="G551" s="361">
        <f t="shared" si="51"/>
        <v>15810939.373</v>
      </c>
      <c r="H551" s="423">
        <v>0</v>
      </c>
      <c r="I551" s="423">
        <v>451639.71</v>
      </c>
      <c r="J551" s="423">
        <v>1504820.64</v>
      </c>
      <c r="K551" s="423">
        <v>2643280.6100000003</v>
      </c>
      <c r="L551" s="423">
        <v>2852043.91</v>
      </c>
      <c r="M551" s="423">
        <v>3006021.6394189629</v>
      </c>
      <c r="N551" s="423">
        <v>3387798.92</v>
      </c>
      <c r="O551" s="423">
        <v>2546501.98</v>
      </c>
      <c r="P551" s="423">
        <v>4102109.52</v>
      </c>
      <c r="Q551" s="437">
        <v>3336062.4400000004</v>
      </c>
      <c r="R551" s="423">
        <v>3383345.6899999995</v>
      </c>
      <c r="S551" s="423">
        <v>3234452.6899999995</v>
      </c>
      <c r="T551" s="423">
        <v>3330150.8500000006</v>
      </c>
      <c r="U551" s="423">
        <v>2677529.44</v>
      </c>
      <c r="V551" s="423">
        <v>3156200.1100000003</v>
      </c>
      <c r="W551" s="423">
        <v>2198665.5299999998</v>
      </c>
      <c r="X551" s="423">
        <v>2067988.9199999997</v>
      </c>
      <c r="Y551" s="423">
        <v>2143821.91</v>
      </c>
      <c r="Z551" s="423">
        <v>2788204.46</v>
      </c>
      <c r="AA551" s="423">
        <v>8810924.0830000006</v>
      </c>
      <c r="AB551" s="423">
        <v>5163649.9654680127</v>
      </c>
      <c r="AC551" s="423">
        <v>57499576.443000004</v>
      </c>
      <c r="AD551" s="423">
        <v>62663226.409999996</v>
      </c>
      <c r="AE551" s="423">
        <v>5163649.97</v>
      </c>
    </row>
    <row r="552" spans="1:33">
      <c r="A552" s="524" t="s">
        <v>1214</v>
      </c>
      <c r="B552" s="525"/>
      <c r="C552" s="361">
        <f t="shared" si="47"/>
        <v>17881610.879999999</v>
      </c>
      <c r="D552" s="361">
        <f t="shared" si="48"/>
        <v>61112672.766152292</v>
      </c>
      <c r="E552" s="361">
        <f t="shared" si="49"/>
        <v>124275538.59999999</v>
      </c>
      <c r="F552" s="361">
        <f t="shared" si="50"/>
        <v>167724636.59999999</v>
      </c>
      <c r="G552" s="361">
        <f t="shared" si="51"/>
        <v>151346271.05000001</v>
      </c>
      <c r="H552" s="526">
        <v>0</v>
      </c>
      <c r="I552" s="526">
        <v>524591.61</v>
      </c>
      <c r="J552" s="526">
        <v>10106946.960000001</v>
      </c>
      <c r="K552" s="526">
        <v>7250072.3099999996</v>
      </c>
      <c r="L552" s="526">
        <v>13167756.249999998</v>
      </c>
      <c r="M552" s="526">
        <v>13099539.226152295</v>
      </c>
      <c r="N552" s="526">
        <v>18567885.960000001</v>
      </c>
      <c r="O552" s="526">
        <v>16277491.33</v>
      </c>
      <c r="P552" s="526">
        <v>21129644.539999999</v>
      </c>
      <c r="Q552" s="527">
        <v>32852842.93</v>
      </c>
      <c r="R552" s="526">
        <v>41962553.619999997</v>
      </c>
      <c r="S552" s="526">
        <v>28330497.509999998</v>
      </c>
      <c r="T552" s="526">
        <v>38012270.280000001</v>
      </c>
      <c r="U552" s="526">
        <v>45438156.030000001</v>
      </c>
      <c r="V552" s="526">
        <v>49833828.239999995</v>
      </c>
      <c r="W552" s="526">
        <v>34440382.049999997</v>
      </c>
      <c r="X552" s="526">
        <v>32697326.140000001</v>
      </c>
      <c r="Y552" s="526">
        <v>61622807.609999999</v>
      </c>
      <c r="Z552" s="526">
        <v>57026137.299999997</v>
      </c>
      <c r="AA552" s="526"/>
      <c r="AB552" s="526">
        <v>40391461.248641893</v>
      </c>
      <c r="AC552" s="526"/>
      <c r="AD552" s="526">
        <v>693797180.82999992</v>
      </c>
      <c r="AE552" s="526"/>
    </row>
    <row r="554" spans="1:33">
      <c r="A554" s="344" t="s">
        <v>1215</v>
      </c>
      <c r="C554" s="528">
        <f>C551+C495</f>
        <v>4652221.5</v>
      </c>
      <c r="D554" s="528">
        <f t="shared" ref="D554:G554" si="52">D551+D495</f>
        <v>13207206.569418963</v>
      </c>
      <c r="E554" s="528">
        <f t="shared" si="52"/>
        <v>18033233.789999999</v>
      </c>
      <c r="F554" s="528">
        <f t="shared" si="52"/>
        <v>15642879.330000002</v>
      </c>
      <c r="G554" s="528">
        <f t="shared" si="52"/>
        <v>22341168.062090911</v>
      </c>
      <c r="AB554" s="344" t="s">
        <v>1216</v>
      </c>
      <c r="AC554" s="528">
        <f>SUM(AC551,AC495)</f>
        <v>73754722.642090917</v>
      </c>
    </row>
    <row r="555" spans="1:33">
      <c r="AB555" s="600" t="s">
        <v>1252</v>
      </c>
      <c r="AC555" s="601">
        <f>AD552-AG555</f>
        <v>39838370.829999924</v>
      </c>
      <c r="AD555" s="602"/>
      <c r="AE555" s="602"/>
      <c r="AF555" s="602"/>
      <c r="AG555" s="603">
        <v>653958810</v>
      </c>
    </row>
    <row r="556" spans="1:33">
      <c r="AB556" s="600" t="s">
        <v>1253</v>
      </c>
      <c r="AC556" s="604">
        <f>AD552-AC555-AC554</f>
        <v>580204087.35790908</v>
      </c>
      <c r="AD556" s="602"/>
      <c r="AE556" s="602"/>
      <c r="AF556" s="602"/>
      <c r="AG556" s="602"/>
    </row>
  </sheetData>
  <mergeCells count="2">
    <mergeCell ref="AD1:AD2"/>
    <mergeCell ref="AE1:AE2"/>
  </mergeCells>
  <dataValidations count="29">
    <dataValidation type="textLength" errorStyle="information" allowBlank="1" showInputMessage="1" showErrorMessage="1" error="XLBVal:6=26549.34_x000d__x000a_" sqref="J533">
      <formula1>0</formula1>
      <formula2>300</formula2>
    </dataValidation>
    <dataValidation type="textLength" errorStyle="information" allowBlank="1" showInputMessage="1" showErrorMessage="1" error="XLBVal:6=26496.5_x000d__x000a_" sqref="J534:J535">
      <formula1>0</formula1>
      <formula2>300</formula2>
    </dataValidation>
    <dataValidation type="textLength" errorStyle="information" allowBlank="1" showInputMessage="1" showErrorMessage="1" error="XLBVal:6=22010.7_x000d__x000a_" sqref="J529">
      <formula1>0</formula1>
      <formula2>300</formula2>
    </dataValidation>
    <dataValidation type="textLength" errorStyle="information" allowBlank="1" showInputMessage="1" showErrorMessage="1" error="XLBVal:6=153678.62_x000d__x000a_" sqref="J473:J477">
      <formula1>0</formula1>
      <formula2>300</formula2>
    </dataValidation>
    <dataValidation type="textLength" errorStyle="information" allowBlank="1" showInputMessage="1" showErrorMessage="1" error="XLBVal:6=178520_x000d__x000a_" sqref="I482:I485">
      <formula1>0</formula1>
      <formula2>300</formula2>
    </dataValidation>
    <dataValidation type="textLength" errorStyle="information" allowBlank="1" showInputMessage="1" showErrorMessage="1" error="XLBVal:6=665365_x000d__x000a_" sqref="I473:I477">
      <formula1>0</formula1>
      <formula2>300</formula2>
    </dataValidation>
    <dataValidation type="textLength" errorStyle="information" allowBlank="1" showInputMessage="1" showErrorMessage="1" error="XLBVal:5=8553.25_x000d__x000a_" sqref="H482:H485">
      <formula1>0</formula1>
      <formula2>300</formula2>
    </dataValidation>
    <dataValidation type="textLength" errorStyle="information" allowBlank="1" showInputMessage="1" showErrorMessage="1" error="XLBVal:5=161734.77_x000d__x000a_" sqref="H473:H477">
      <formula1>0</formula1>
      <formula2>300</formula2>
    </dataValidation>
    <dataValidation type="textLength" errorStyle="information" allowBlank="1" showInputMessage="1" showErrorMessage="1" error="XLBVal:6=2372103_x000d__x000a_" sqref="AB80">
      <formula1>0</formula1>
      <formula2>300</formula2>
    </dataValidation>
    <dataValidation type="textLength" errorStyle="information" allowBlank="1" showInputMessage="1" showErrorMessage="1" error="XLBVal:6=131463.11_x000d__x000a_" sqref="V185:Z185 AB185">
      <formula1>0</formula1>
      <formula2>300</formula2>
    </dataValidation>
    <dataValidation type="textLength" errorStyle="information" allowBlank="1" showInputMessage="1" showErrorMessage="1" error="XLBVal:6=448.19_x000d__x000a_" sqref="J309 J307">
      <formula1>0</formula1>
      <formula2>300</formula2>
    </dataValidation>
    <dataValidation type="textLength" errorStyle="information" allowBlank="1" showInputMessage="1" showErrorMessage="1" error="XLBVal:6=71224.01_x000d__x000a_" sqref="J305">
      <formula1>0</formula1>
      <formula2>300</formula2>
    </dataValidation>
    <dataValidation type="textLength" errorStyle="information" allowBlank="1" showInputMessage="1" showErrorMessage="1" error="XLBVal:6=70775.82_x000d__x000a_" sqref="J306">
      <formula1>0</formula1>
      <formula2>300</formula2>
    </dataValidation>
    <dataValidation type="textLength" errorStyle="information" allowBlank="1" showInputMessage="1" showErrorMessage="1" error="XLBVal:2=0_x000d__x000a_" sqref="I513:J513 I310:J312 I181 I505:J505 J530:J531 I455:I467 I108 I314:J314 I514:I518 I176 I106 J362:J365 J482:J485 N513:Z513 N362:Z362">
      <formula1>0</formula1>
      <formula2>300</formula2>
    </dataValidation>
    <dataValidation type="textLength" errorStyle="information" allowBlank="1" showInputMessage="1" showErrorMessage="1" error="XLBVal:6=13791_x000d__x000a_" sqref="I305">
      <formula1>0</formula1>
      <formula2>300</formula2>
    </dataValidation>
    <dataValidation type="textLength" errorStyle="information" allowBlank="1" showInputMessage="1" showErrorMessage="1" error="XLBVal:6=12239_x000d__x000a_" sqref="I306">
      <formula1>0</formula1>
      <formula2>300</formula2>
    </dataValidation>
    <dataValidation type="textLength" errorStyle="information" allowBlank="1" showInputMessage="1" showErrorMessage="1" error="XLBVal:6=1552_x000d__x000a_" sqref="I309 I307">
      <formula1>0</formula1>
      <formula2>300</formula2>
    </dataValidation>
    <dataValidation type="textLength" errorStyle="information" allowBlank="1" showInputMessage="1" showErrorMessage="1" error="XLBVal:6=117397_x000d__x000a_" sqref="I177 I185 I182:I183">
      <formula1>0</formula1>
      <formula2>300</formula2>
    </dataValidation>
    <dataValidation type="textLength" errorStyle="information" allowBlank="1" showInputMessage="1" showErrorMessage="1" error="XLBVal:6=257000_x000d__x000a_" sqref="I105">
      <formula1>0</formula1>
      <formula2>300</formula2>
    </dataValidation>
    <dataValidation type="textLength" errorStyle="information" allowBlank="1" showInputMessage="1" showErrorMessage="1" error="XLBVal:6=12083_x000d__x000a_" sqref="I104">
      <formula1>0</formula1>
      <formula2>300</formula2>
    </dataValidation>
    <dataValidation type="textLength" errorStyle="information" allowBlank="1" showInputMessage="1" showErrorMessage="1" error="XLBVal:5=0_x000d__x000a_" sqref="H209 H185 H314 H312 H181:H183 H306 H310 H176:H177 H455:H467">
      <formula1>0</formula1>
      <formula2>300</formula2>
    </dataValidation>
    <dataValidation type="textLength" errorStyle="information" allowBlank="1" showInputMessage="1" showErrorMessage="1" error="XLBVal:5=136983.19_x000d__x000a_" sqref="H307 H309">
      <formula1>0</formula1>
      <formula2>300</formula2>
    </dataValidation>
    <dataValidation type="textLength" errorStyle="information" allowBlank="1" showInputMessage="1" showErrorMessage="1" error="XLBVal:5=558068.85_x000d__x000a_" sqref="H305">
      <formula1>0</formula1>
      <formula2>300</formula2>
    </dataValidation>
    <dataValidation type="textLength" errorStyle="information" allowBlank="1" showInputMessage="1" showErrorMessage="1" error="XLBVal:5=1972.29_x000d__x000a_" sqref="H311">
      <formula1>0</formula1>
      <formula2>300</formula2>
    </dataValidation>
    <dataValidation type="textLength" errorStyle="information" allowBlank="1" showInputMessage="1" showErrorMessage="1" error="XLBVal:5=72952_x000d__x000a_" sqref="H247:H256">
      <formula1>0</formula1>
      <formula2>300</formula2>
    </dataValidation>
    <dataValidation type="textLength" errorStyle="information" allowBlank="1" showInputMessage="1" showErrorMessage="1" error="XLBVal:5=1869.7_x000d__x000a_" sqref="H178 H180">
      <formula1>0</formula1>
      <formula2>300</formula2>
    </dataValidation>
    <dataValidation type="textLength" errorStyle="information" allowBlank="1" showInputMessage="1" showErrorMessage="1" error="XLBVal:5=84459.97_x000d__x000a_" sqref="H105">
      <formula1>0</formula1>
      <formula2>300</formula2>
    </dataValidation>
    <dataValidation type="textLength" errorStyle="information" allowBlank="1" showInputMessage="1" showErrorMessage="1" error="XLBVal:5=16164.52_x000d__x000a_" sqref="H106 H108">
      <formula1>0</formula1>
      <formula2>300</formula2>
    </dataValidation>
    <dataValidation type="textLength" errorStyle="information" allowBlank="1" showInputMessage="1" showErrorMessage="1" error="XLBVal:5=13781.35_x000d__x000a_" sqref="H104">
      <formula1>0</formula1>
      <formula2>300</formula2>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90"/>
  <sheetViews>
    <sheetView zoomScaleNormal="100" workbookViewId="0">
      <pane ySplit="4" topLeftCell="A11" activePane="bottomLeft" state="frozen"/>
      <selection pane="bottomLeft" sqref="A1:O1"/>
    </sheetView>
  </sheetViews>
  <sheetFormatPr defaultColWidth="9.140625" defaultRowHeight="12.75"/>
  <cols>
    <col min="1" max="16384" width="9.140625" style="260"/>
  </cols>
  <sheetData>
    <row r="1" spans="1:15" ht="20.25">
      <c r="A1" s="651" t="s">
        <v>127</v>
      </c>
      <c r="B1" s="651"/>
      <c r="C1" s="651"/>
      <c r="D1" s="651"/>
      <c r="E1" s="651"/>
      <c r="F1" s="651"/>
      <c r="G1" s="651"/>
      <c r="H1" s="651"/>
      <c r="I1" s="651"/>
      <c r="J1" s="651"/>
      <c r="K1" s="651"/>
      <c r="L1" s="651"/>
      <c r="M1" s="651"/>
      <c r="N1" s="651"/>
      <c r="O1" s="651"/>
    </row>
    <row r="2" spans="1:15" ht="12.75" customHeight="1">
      <c r="A2" s="633">
        <f>IF('ERR &amp; Sensitivity Analysis'!$I$10="N","Note: Current calculations are based on user input and are not the original MCC estimates.",IF('ERR &amp; Sensitivity Analysis'!$I$11="N","Note: Current calculations are based on user input and are not the original MCC estimates.",0))</f>
        <v>0</v>
      </c>
      <c r="B2" s="633"/>
      <c r="C2" s="633"/>
      <c r="D2" s="633"/>
      <c r="E2" s="633"/>
      <c r="F2" s="633"/>
      <c r="G2" s="633"/>
      <c r="H2" s="633"/>
      <c r="I2" s="633"/>
      <c r="J2" s="633"/>
      <c r="K2" s="633"/>
      <c r="L2" s="633"/>
      <c r="M2" s="333"/>
    </row>
    <row r="3" spans="1:15" ht="18">
      <c r="A3" s="644" t="s">
        <v>222</v>
      </c>
      <c r="B3" s="645"/>
      <c r="C3" s="645"/>
      <c r="D3" s="645"/>
      <c r="E3" s="645"/>
      <c r="F3" s="645"/>
      <c r="G3" s="645"/>
      <c r="H3" s="261"/>
      <c r="I3" s="261"/>
      <c r="J3" s="654" t="s">
        <v>171</v>
      </c>
      <c r="K3" s="654"/>
      <c r="L3" s="654"/>
      <c r="M3" s="654"/>
      <c r="N3" s="654"/>
      <c r="O3" s="655"/>
    </row>
    <row r="4" spans="1:15" ht="18">
      <c r="A4" s="262"/>
      <c r="B4" s="263"/>
      <c r="C4" s="263"/>
      <c r="D4" s="263"/>
      <c r="E4" s="263"/>
      <c r="F4" s="263"/>
      <c r="G4" s="263"/>
      <c r="H4" s="646" t="s">
        <v>221</v>
      </c>
      <c r="I4" s="647"/>
      <c r="J4" s="648"/>
      <c r="K4" s="264"/>
      <c r="L4" s="264"/>
      <c r="M4" s="264"/>
      <c r="N4" s="264"/>
      <c r="O4" s="265"/>
    </row>
    <row r="5" spans="1:15" ht="18">
      <c r="A5" s="258" t="s">
        <v>119</v>
      </c>
      <c r="B5" s="266"/>
      <c r="C5" s="267"/>
      <c r="D5" s="267"/>
      <c r="E5" s="267"/>
      <c r="F5" s="267"/>
      <c r="G5" s="267"/>
      <c r="H5" s="267"/>
      <c r="I5" s="268"/>
      <c r="J5" s="269"/>
      <c r="K5" s="269"/>
      <c r="L5" s="269"/>
      <c r="M5" s="269"/>
      <c r="N5" s="269"/>
      <c r="O5" s="270"/>
    </row>
    <row r="6" spans="1:15" ht="18">
      <c r="A6" s="271"/>
      <c r="B6" s="272"/>
      <c r="C6" s="272"/>
      <c r="D6" s="272"/>
      <c r="E6" s="272"/>
      <c r="F6" s="272"/>
      <c r="G6" s="272"/>
      <c r="H6" s="272"/>
      <c r="I6" s="273"/>
      <c r="J6" s="272"/>
      <c r="K6" s="274"/>
      <c r="L6" s="274"/>
      <c r="M6" s="274"/>
      <c r="N6" s="274"/>
      <c r="O6" s="275"/>
    </row>
    <row r="7" spans="1:15" ht="18">
      <c r="A7" s="276" t="s">
        <v>219</v>
      </c>
      <c r="B7" s="277"/>
      <c r="C7" s="277"/>
      <c r="D7" s="277"/>
      <c r="E7" s="277"/>
      <c r="F7" s="277"/>
      <c r="G7" s="277"/>
      <c r="H7" s="277"/>
      <c r="I7" s="278"/>
      <c r="J7" s="264"/>
      <c r="K7" s="264"/>
      <c r="L7" s="264"/>
      <c r="M7" s="264"/>
      <c r="N7" s="264"/>
      <c r="O7" s="265"/>
    </row>
    <row r="8" spans="1:15">
      <c r="A8" s="262" t="s">
        <v>141</v>
      </c>
      <c r="B8" s="263"/>
      <c r="C8" s="263"/>
      <c r="D8" s="263"/>
      <c r="E8" s="263"/>
      <c r="F8" s="263"/>
      <c r="G8" s="263"/>
      <c r="H8" s="263"/>
      <c r="I8" s="310">
        <f>'ERR &amp; Sensitivity Analysis'!G15</f>
        <v>0.5</v>
      </c>
      <c r="J8" s="636" t="s">
        <v>172</v>
      </c>
      <c r="K8" s="636"/>
      <c r="L8" s="636"/>
      <c r="M8" s="636"/>
      <c r="N8" s="636"/>
      <c r="O8" s="641"/>
    </row>
    <row r="9" spans="1:15">
      <c r="B9" s="263"/>
      <c r="C9" s="263"/>
      <c r="D9" s="263"/>
      <c r="E9" s="263"/>
      <c r="F9" s="263"/>
      <c r="G9" s="263"/>
      <c r="H9" s="263"/>
      <c r="I9" s="279"/>
      <c r="J9" s="636"/>
      <c r="K9" s="636"/>
      <c r="L9" s="636"/>
      <c r="M9" s="636"/>
      <c r="N9" s="636"/>
      <c r="O9" s="641"/>
    </row>
    <row r="10" spans="1:15">
      <c r="A10" s="311" t="s">
        <v>241</v>
      </c>
      <c r="B10" s="308"/>
      <c r="C10" s="308"/>
      <c r="D10" s="308"/>
      <c r="E10" s="308"/>
      <c r="F10" s="308"/>
      <c r="G10" s="263"/>
      <c r="H10" s="263"/>
      <c r="I10" s="310">
        <f>'ERR &amp; Sensitivity Analysis'!G13</f>
        <v>0.5</v>
      </c>
      <c r="J10" s="636" t="s">
        <v>206</v>
      </c>
      <c r="K10" s="636"/>
      <c r="L10" s="636"/>
      <c r="M10" s="636"/>
      <c r="N10" s="636"/>
      <c r="O10" s="641"/>
    </row>
    <row r="11" spans="1:15">
      <c r="A11" s="323"/>
      <c r="B11" s="308"/>
      <c r="C11" s="308"/>
      <c r="D11" s="308"/>
      <c r="E11" s="308"/>
      <c r="F11" s="308"/>
      <c r="G11" s="263"/>
      <c r="H11" s="263"/>
      <c r="I11" s="279"/>
      <c r="J11" s="636"/>
      <c r="K11" s="636"/>
      <c r="L11" s="636"/>
      <c r="M11" s="636"/>
      <c r="N11" s="636"/>
      <c r="O11" s="641"/>
    </row>
    <row r="12" spans="1:15">
      <c r="A12" s="311" t="s">
        <v>242</v>
      </c>
      <c r="B12" s="308"/>
      <c r="C12" s="308"/>
      <c r="D12" s="308"/>
      <c r="E12" s="308"/>
      <c r="F12" s="308"/>
      <c r="G12" s="263"/>
      <c r="H12" s="263"/>
      <c r="I12" s="332">
        <v>0.25</v>
      </c>
      <c r="J12" s="636" t="s">
        <v>207</v>
      </c>
      <c r="K12" s="636"/>
      <c r="L12" s="636"/>
      <c r="M12" s="636"/>
      <c r="N12" s="636"/>
      <c r="O12" s="641"/>
    </row>
    <row r="13" spans="1:15">
      <c r="A13" s="323"/>
      <c r="B13" s="308"/>
      <c r="C13" s="308"/>
      <c r="D13" s="308"/>
      <c r="E13" s="308"/>
      <c r="F13" s="308"/>
      <c r="G13" s="263"/>
      <c r="H13" s="263"/>
      <c r="I13" s="279"/>
      <c r="J13" s="636"/>
      <c r="K13" s="636"/>
      <c r="L13" s="636"/>
      <c r="M13" s="636"/>
      <c r="N13" s="636"/>
      <c r="O13" s="641"/>
    </row>
    <row r="14" spans="1:15">
      <c r="A14" s="311" t="s">
        <v>243</v>
      </c>
      <c r="B14" s="308"/>
      <c r="C14" s="308"/>
      <c r="D14" s="308"/>
      <c r="E14" s="308"/>
      <c r="F14" s="308"/>
      <c r="G14" s="263"/>
      <c r="H14" s="263"/>
      <c r="I14" s="310">
        <f>'ERR &amp; Sensitivity Analysis'!G14</f>
        <v>0.25</v>
      </c>
      <c r="J14" s="636" t="s">
        <v>226</v>
      </c>
      <c r="K14" s="636"/>
      <c r="L14" s="636"/>
      <c r="M14" s="636"/>
      <c r="N14" s="636"/>
      <c r="O14" s="641"/>
    </row>
    <row r="15" spans="1:15" s="263" customFormat="1" ht="13.5" thickBot="1">
      <c r="A15" s="308"/>
      <c r="B15" s="308"/>
      <c r="C15" s="308"/>
      <c r="D15" s="308"/>
      <c r="E15" s="308"/>
      <c r="F15" s="308"/>
      <c r="I15" s="279"/>
      <c r="J15" s="642"/>
      <c r="K15" s="642"/>
      <c r="L15" s="642"/>
      <c r="M15" s="642"/>
      <c r="N15" s="642"/>
      <c r="O15" s="643"/>
    </row>
    <row r="16" spans="1:15" ht="13.5" thickTop="1">
      <c r="A16" s="311"/>
      <c r="B16" s="308"/>
      <c r="C16" s="308"/>
      <c r="D16" s="308"/>
      <c r="E16" s="308"/>
      <c r="F16" s="308"/>
      <c r="G16" s="263"/>
      <c r="H16" s="263"/>
      <c r="I16" s="279"/>
      <c r="J16" s="206"/>
      <c r="K16" s="206"/>
      <c r="L16" s="206"/>
      <c r="M16" s="206"/>
      <c r="N16" s="206"/>
      <c r="O16" s="280"/>
    </row>
    <row r="17" spans="1:15">
      <c r="A17" s="311"/>
      <c r="B17" s="308"/>
      <c r="C17" s="308"/>
      <c r="D17" s="308"/>
      <c r="E17" s="308"/>
      <c r="F17" s="308"/>
      <c r="G17" s="263"/>
      <c r="H17" s="263"/>
      <c r="I17" s="279"/>
      <c r="J17" s="206"/>
      <c r="K17" s="206"/>
      <c r="L17" s="206"/>
      <c r="M17" s="206"/>
      <c r="N17" s="206"/>
      <c r="O17" s="280"/>
    </row>
    <row r="18" spans="1:15">
      <c r="A18" s="311" t="s">
        <v>142</v>
      </c>
      <c r="B18" s="308"/>
      <c r="C18" s="308"/>
      <c r="D18" s="308"/>
      <c r="E18" s="308"/>
      <c r="F18" s="308"/>
      <c r="G18" s="263"/>
      <c r="H18" s="263"/>
      <c r="I18" s="281">
        <v>15</v>
      </c>
      <c r="J18" s="263" t="s">
        <v>227</v>
      </c>
      <c r="K18" s="263"/>
      <c r="L18" s="263"/>
      <c r="M18" s="263"/>
      <c r="N18" s="263"/>
      <c r="O18" s="282"/>
    </row>
    <row r="19" spans="1:15">
      <c r="A19" s="323"/>
      <c r="B19" s="308"/>
      <c r="C19" s="308"/>
      <c r="D19" s="308"/>
      <c r="E19" s="308"/>
      <c r="F19" s="308"/>
      <c r="G19" s="263"/>
      <c r="H19" s="263"/>
      <c r="I19" s="281"/>
      <c r="J19" s="263"/>
      <c r="K19" s="263"/>
      <c r="L19" s="263"/>
      <c r="M19" s="263"/>
      <c r="N19" s="263"/>
      <c r="O19" s="282"/>
    </row>
    <row r="20" spans="1:15">
      <c r="A20" s="311" t="s">
        <v>143</v>
      </c>
      <c r="B20" s="308"/>
      <c r="C20" s="308"/>
      <c r="D20" s="308"/>
      <c r="E20" s="308"/>
      <c r="F20" s="308"/>
      <c r="G20" s="263"/>
      <c r="H20" s="263"/>
      <c r="I20" s="281">
        <v>60</v>
      </c>
      <c r="J20" s="263" t="s">
        <v>228</v>
      </c>
      <c r="K20" s="263"/>
      <c r="L20" s="263"/>
      <c r="M20" s="263"/>
      <c r="N20" s="263"/>
      <c r="O20" s="282"/>
    </row>
    <row r="21" spans="1:15">
      <c r="A21" s="323"/>
      <c r="B21" s="308"/>
      <c r="C21" s="308"/>
      <c r="D21" s="308"/>
      <c r="E21" s="308"/>
      <c r="F21" s="308"/>
      <c r="G21" s="263"/>
      <c r="H21" s="263"/>
      <c r="I21" s="281"/>
      <c r="J21" s="263"/>
      <c r="K21" s="263"/>
      <c r="L21" s="263"/>
      <c r="M21" s="263"/>
      <c r="N21" s="263"/>
      <c r="O21" s="282"/>
    </row>
    <row r="22" spans="1:15">
      <c r="A22" s="311"/>
      <c r="B22" s="308"/>
      <c r="C22" s="308"/>
      <c r="D22" s="308"/>
      <c r="E22" s="308"/>
      <c r="F22" s="308"/>
      <c r="G22" s="263"/>
      <c r="H22" s="263"/>
      <c r="I22" s="281"/>
      <c r="J22" s="263"/>
      <c r="K22" s="263"/>
      <c r="L22" s="263"/>
      <c r="M22" s="263"/>
      <c r="N22" s="263"/>
      <c r="O22" s="282"/>
    </row>
    <row r="23" spans="1:15">
      <c r="A23" s="311"/>
      <c r="B23" s="308"/>
      <c r="C23" s="308"/>
      <c r="D23" s="308"/>
      <c r="E23" s="308"/>
      <c r="F23" s="308"/>
      <c r="G23" s="263"/>
      <c r="H23" s="263"/>
      <c r="I23" s="281"/>
      <c r="J23" s="263"/>
      <c r="K23" s="263"/>
      <c r="L23" s="263"/>
      <c r="M23" s="263"/>
      <c r="N23" s="263"/>
      <c r="O23" s="282"/>
    </row>
    <row r="24" spans="1:15" s="284" customFormat="1">
      <c r="A24" s="324" t="s">
        <v>246</v>
      </c>
      <c r="B24" s="325"/>
      <c r="C24" s="325"/>
      <c r="D24" s="325"/>
      <c r="E24" s="325"/>
      <c r="F24" s="325"/>
      <c r="G24" s="277"/>
      <c r="H24" s="277"/>
      <c r="I24" s="278"/>
      <c r="J24" s="277"/>
      <c r="K24" s="277"/>
      <c r="L24" s="277"/>
      <c r="M24" s="277"/>
      <c r="N24" s="277"/>
      <c r="O24" s="283"/>
    </row>
    <row r="25" spans="1:15" s="284" customFormat="1">
      <c r="A25" s="312" t="s">
        <v>144</v>
      </c>
      <c r="B25" s="325"/>
      <c r="C25" s="325"/>
      <c r="D25" s="325"/>
      <c r="E25" s="325"/>
      <c r="F25" s="325"/>
      <c r="G25" s="277"/>
      <c r="H25" s="277"/>
      <c r="I25" s="286">
        <v>0.1</v>
      </c>
      <c r="J25" s="634" t="s">
        <v>173</v>
      </c>
      <c r="K25" s="634"/>
      <c r="L25" s="634"/>
      <c r="M25" s="634"/>
      <c r="N25" s="634"/>
      <c r="O25" s="635"/>
    </row>
    <row r="26" spans="1:15" s="284" customFormat="1">
      <c r="A26" s="326"/>
      <c r="B26" s="325"/>
      <c r="C26" s="325"/>
      <c r="D26" s="325"/>
      <c r="E26" s="325"/>
      <c r="F26" s="325"/>
      <c r="G26" s="277"/>
      <c r="H26" s="277"/>
      <c r="I26" s="286"/>
      <c r="J26" s="634"/>
      <c r="K26" s="634"/>
      <c r="L26" s="634"/>
      <c r="M26" s="634"/>
      <c r="N26" s="634"/>
      <c r="O26" s="635"/>
    </row>
    <row r="27" spans="1:15" s="284" customFormat="1">
      <c r="A27" s="312" t="s">
        <v>145</v>
      </c>
      <c r="B27" s="325"/>
      <c r="C27" s="325"/>
      <c r="D27" s="325"/>
      <c r="E27" s="325"/>
      <c r="F27" s="325"/>
      <c r="G27" s="277"/>
      <c r="H27" s="277"/>
      <c r="I27" s="286">
        <v>0.2</v>
      </c>
      <c r="J27" s="634"/>
      <c r="K27" s="634"/>
      <c r="L27" s="634"/>
      <c r="M27" s="634"/>
      <c r="N27" s="634"/>
      <c r="O27" s="635"/>
    </row>
    <row r="28" spans="1:15" s="284" customFormat="1">
      <c r="A28" s="326"/>
      <c r="B28" s="325"/>
      <c r="C28" s="325"/>
      <c r="D28" s="325"/>
      <c r="E28" s="325"/>
      <c r="F28" s="325"/>
      <c r="G28" s="277"/>
      <c r="H28" s="277"/>
      <c r="I28" s="286"/>
      <c r="J28" s="634"/>
      <c r="K28" s="634"/>
      <c r="L28" s="634"/>
      <c r="M28" s="634"/>
      <c r="N28" s="634"/>
      <c r="O28" s="635"/>
    </row>
    <row r="29" spans="1:15" s="284" customFormat="1">
      <c r="A29" s="312" t="s">
        <v>146</v>
      </c>
      <c r="B29" s="325"/>
      <c r="C29" s="325"/>
      <c r="D29" s="325"/>
      <c r="E29" s="325"/>
      <c r="F29" s="325"/>
      <c r="G29" s="277"/>
      <c r="H29" s="277"/>
      <c r="I29" s="310">
        <f>'ERR &amp; Sensitivity Analysis'!G16</f>
        <v>0.5</v>
      </c>
      <c r="J29" s="277"/>
      <c r="K29" s="277"/>
      <c r="L29" s="277"/>
      <c r="M29" s="277"/>
      <c r="N29" s="277"/>
      <c r="O29" s="283"/>
    </row>
    <row r="30" spans="1:15" s="284" customFormat="1">
      <c r="B30" s="277"/>
      <c r="C30" s="277"/>
      <c r="D30" s="277"/>
      <c r="E30" s="277"/>
      <c r="F30" s="277"/>
      <c r="G30" s="277"/>
      <c r="H30" s="277"/>
      <c r="I30" s="278"/>
      <c r="J30" s="277"/>
      <c r="K30" s="277"/>
      <c r="L30" s="277"/>
      <c r="M30" s="277"/>
      <c r="N30" s="277"/>
      <c r="O30" s="283"/>
    </row>
    <row r="31" spans="1:15" s="284" customFormat="1">
      <c r="A31" s="285" t="s">
        <v>244</v>
      </c>
      <c r="B31" s="277"/>
      <c r="C31" s="277"/>
      <c r="D31" s="277"/>
      <c r="E31" s="277"/>
      <c r="F31" s="277"/>
      <c r="G31" s="277"/>
      <c r="H31" s="277"/>
      <c r="I31" s="278">
        <v>2</v>
      </c>
      <c r="J31" s="634" t="s">
        <v>174</v>
      </c>
      <c r="K31" s="634"/>
      <c r="L31" s="634"/>
      <c r="M31" s="634"/>
      <c r="N31" s="634"/>
      <c r="O31" s="635"/>
    </row>
    <row r="32" spans="1:15" s="284" customFormat="1">
      <c r="B32" s="277"/>
      <c r="C32" s="277"/>
      <c r="D32" s="277"/>
      <c r="E32" s="277"/>
      <c r="F32" s="277"/>
      <c r="G32" s="277"/>
      <c r="H32" s="277"/>
      <c r="I32" s="278"/>
      <c r="J32" s="634"/>
      <c r="K32" s="634"/>
      <c r="L32" s="634"/>
      <c r="M32" s="634"/>
      <c r="N32" s="634"/>
      <c r="O32" s="635"/>
    </row>
    <row r="33" spans="1:15" s="284" customFormat="1">
      <c r="A33" s="285"/>
      <c r="B33" s="277"/>
      <c r="C33" s="277"/>
      <c r="D33" s="277"/>
      <c r="E33" s="277"/>
      <c r="F33" s="277"/>
      <c r="G33" s="277"/>
      <c r="H33" s="277"/>
      <c r="I33" s="278"/>
      <c r="J33" s="634"/>
      <c r="K33" s="634"/>
      <c r="L33" s="634"/>
      <c r="M33" s="634"/>
      <c r="N33" s="634"/>
      <c r="O33" s="635"/>
    </row>
    <row r="34" spans="1:15" s="284" customFormat="1">
      <c r="A34" s="285"/>
      <c r="B34" s="277"/>
      <c r="C34" s="277"/>
      <c r="D34" s="277"/>
      <c r="E34" s="277"/>
      <c r="F34" s="277"/>
      <c r="G34" s="277"/>
      <c r="H34" s="277"/>
      <c r="I34" s="278"/>
      <c r="J34" s="287"/>
      <c r="K34" s="287"/>
      <c r="L34" s="287"/>
      <c r="M34" s="287"/>
      <c r="N34" s="287"/>
      <c r="O34" s="288"/>
    </row>
    <row r="35" spans="1:15" s="284" customFormat="1">
      <c r="A35" s="285" t="s">
        <v>130</v>
      </c>
      <c r="B35" s="277"/>
      <c r="C35" s="277"/>
      <c r="D35" s="277"/>
      <c r="E35" s="277"/>
      <c r="F35" s="277"/>
      <c r="G35" s="277"/>
      <c r="H35" s="277"/>
      <c r="I35" s="278">
        <v>0.5</v>
      </c>
      <c r="J35" s="634" t="s">
        <v>245</v>
      </c>
      <c r="K35" s="634"/>
      <c r="L35" s="634"/>
      <c r="M35" s="634"/>
      <c r="N35" s="634"/>
      <c r="O35" s="635"/>
    </row>
    <row r="36" spans="1:15" s="284" customFormat="1">
      <c r="B36" s="277"/>
      <c r="C36" s="277"/>
      <c r="D36" s="277"/>
      <c r="E36" s="277"/>
      <c r="F36" s="277"/>
      <c r="G36" s="277"/>
      <c r="H36" s="277"/>
      <c r="I36" s="278"/>
      <c r="J36" s="634"/>
      <c r="K36" s="634"/>
      <c r="L36" s="634"/>
      <c r="M36" s="634"/>
      <c r="N36" s="634"/>
      <c r="O36" s="635"/>
    </row>
    <row r="37" spans="1:15" s="284" customFormat="1">
      <c r="A37" s="285"/>
      <c r="B37" s="277"/>
      <c r="C37" s="277"/>
      <c r="D37" s="277"/>
      <c r="E37" s="277"/>
      <c r="F37" s="277"/>
      <c r="G37" s="277"/>
      <c r="H37" s="277"/>
      <c r="I37" s="278"/>
      <c r="J37" s="634"/>
      <c r="K37" s="634"/>
      <c r="L37" s="634"/>
      <c r="M37" s="634"/>
      <c r="N37" s="634"/>
      <c r="O37" s="635"/>
    </row>
    <row r="38" spans="1:15">
      <c r="A38" s="258" t="s">
        <v>218</v>
      </c>
      <c r="B38" s="266"/>
      <c r="C38" s="266"/>
      <c r="D38" s="266"/>
      <c r="E38" s="266"/>
      <c r="F38" s="266"/>
      <c r="G38" s="266"/>
      <c r="H38" s="266"/>
      <c r="I38" s="268"/>
      <c r="J38" s="266"/>
      <c r="K38" s="266"/>
      <c r="L38" s="266"/>
      <c r="M38" s="266"/>
      <c r="N38" s="266"/>
      <c r="O38" s="291"/>
    </row>
    <row r="39" spans="1:15">
      <c r="A39" s="262"/>
      <c r="B39" s="263"/>
      <c r="C39" s="263"/>
      <c r="D39" s="263"/>
      <c r="E39" s="263"/>
      <c r="F39" s="263"/>
      <c r="G39" s="263"/>
      <c r="H39" s="263"/>
      <c r="I39" s="281"/>
      <c r="J39" s="206"/>
      <c r="K39" s="206"/>
      <c r="L39" s="206"/>
      <c r="M39" s="206"/>
      <c r="N39" s="206"/>
      <c r="O39" s="280"/>
    </row>
    <row r="40" spans="1:15">
      <c r="A40" s="262" t="s">
        <v>8</v>
      </c>
      <c r="B40" s="263"/>
      <c r="C40" s="263"/>
      <c r="D40" s="263"/>
      <c r="E40" s="263"/>
      <c r="F40" s="263"/>
      <c r="G40" s="263"/>
      <c r="H40" s="263"/>
      <c r="I40" s="279">
        <v>0.2</v>
      </c>
      <c r="J40" s="636" t="s">
        <v>175</v>
      </c>
      <c r="K40" s="636"/>
      <c r="L40" s="636"/>
      <c r="M40" s="636"/>
      <c r="N40" s="636"/>
      <c r="O40" s="641"/>
    </row>
    <row r="41" spans="1:15">
      <c r="A41" s="262"/>
      <c r="B41" s="263"/>
      <c r="C41" s="263"/>
      <c r="D41" s="263"/>
      <c r="E41" s="263"/>
      <c r="F41" s="263"/>
      <c r="G41" s="263"/>
      <c r="H41" s="263"/>
      <c r="I41" s="279"/>
      <c r="J41" s="636"/>
      <c r="K41" s="636"/>
      <c r="L41" s="636"/>
      <c r="M41" s="636"/>
      <c r="N41" s="636"/>
      <c r="O41" s="641"/>
    </row>
    <row r="42" spans="1:15">
      <c r="A42" s="262" t="s">
        <v>7</v>
      </c>
      <c r="B42" s="263"/>
      <c r="C42" s="263"/>
      <c r="D42" s="263"/>
      <c r="E42" s="263"/>
      <c r="F42" s="263"/>
      <c r="G42" s="263"/>
      <c r="H42" s="263"/>
      <c r="I42" s="279">
        <v>0.4</v>
      </c>
      <c r="J42" s="636"/>
      <c r="K42" s="636"/>
      <c r="L42" s="636"/>
      <c r="M42" s="636"/>
      <c r="N42" s="636"/>
      <c r="O42" s="641"/>
    </row>
    <row r="43" spans="1:15">
      <c r="A43" s="262"/>
      <c r="B43" s="263"/>
      <c r="C43" s="263"/>
      <c r="D43" s="263"/>
      <c r="E43" s="263"/>
      <c r="F43" s="263"/>
      <c r="G43" s="263"/>
      <c r="H43" s="263"/>
      <c r="I43" s="279"/>
      <c r="J43" s="263"/>
      <c r="K43" s="263"/>
      <c r="L43" s="263"/>
      <c r="M43" s="263"/>
      <c r="N43" s="263"/>
      <c r="O43" s="282"/>
    </row>
    <row r="44" spans="1:15">
      <c r="A44" s="262" t="s">
        <v>9</v>
      </c>
      <c r="B44" s="263"/>
      <c r="C44" s="263"/>
      <c r="D44" s="263"/>
      <c r="E44" s="263"/>
      <c r="F44" s="263"/>
      <c r="G44" s="263"/>
      <c r="H44" s="263"/>
      <c r="I44" s="279">
        <v>0.4</v>
      </c>
      <c r="J44" s="263"/>
      <c r="K44" s="263"/>
      <c r="L44" s="263"/>
      <c r="M44" s="263"/>
      <c r="N44" s="263"/>
      <c r="O44" s="282"/>
    </row>
    <row r="45" spans="1:15">
      <c r="A45" s="262"/>
      <c r="B45" s="263"/>
      <c r="C45" s="263"/>
      <c r="D45" s="263"/>
      <c r="E45" s="263"/>
      <c r="F45" s="263"/>
      <c r="G45" s="263"/>
      <c r="H45" s="263"/>
      <c r="I45" s="281"/>
      <c r="J45" s="263"/>
      <c r="K45" s="263"/>
      <c r="L45" s="263"/>
      <c r="M45" s="263"/>
      <c r="N45" s="263"/>
      <c r="O45" s="282"/>
    </row>
    <row r="46" spans="1:15">
      <c r="A46" s="262" t="s">
        <v>147</v>
      </c>
      <c r="B46" s="263"/>
      <c r="C46" s="263"/>
      <c r="D46" s="263"/>
      <c r="E46" s="263"/>
      <c r="F46" s="263"/>
      <c r="G46" s="263"/>
      <c r="H46" s="263"/>
      <c r="I46" s="279">
        <v>0.05</v>
      </c>
      <c r="J46" s="263"/>
      <c r="K46" s="263"/>
      <c r="L46" s="263"/>
      <c r="M46" s="263"/>
      <c r="N46" s="263"/>
      <c r="O46" s="282"/>
    </row>
    <row r="47" spans="1:15">
      <c r="B47" s="263"/>
      <c r="C47" s="263"/>
      <c r="D47" s="263"/>
      <c r="E47" s="263"/>
      <c r="F47" s="263"/>
      <c r="G47" s="263"/>
      <c r="H47" s="263"/>
      <c r="I47" s="279"/>
      <c r="J47" s="263"/>
      <c r="K47" s="263"/>
      <c r="L47" s="263"/>
      <c r="M47" s="263"/>
      <c r="N47" s="263"/>
      <c r="O47" s="282"/>
    </row>
    <row r="48" spans="1:15">
      <c r="A48" s="262" t="s">
        <v>10</v>
      </c>
      <c r="B48" s="263"/>
      <c r="C48" s="263"/>
      <c r="D48" s="263"/>
      <c r="E48" s="263"/>
      <c r="F48" s="263"/>
      <c r="G48" s="263"/>
      <c r="H48" s="263"/>
      <c r="I48" s="279">
        <v>0.03</v>
      </c>
      <c r="J48" s="263"/>
      <c r="K48" s="263"/>
      <c r="L48" s="263"/>
      <c r="M48" s="263"/>
      <c r="N48" s="263"/>
      <c r="O48" s="282"/>
    </row>
    <row r="49" spans="1:15">
      <c r="B49" s="263"/>
      <c r="C49" s="263"/>
      <c r="D49" s="263"/>
      <c r="E49" s="263"/>
      <c r="F49" s="263"/>
      <c r="G49" s="263"/>
      <c r="H49" s="263"/>
      <c r="I49" s="279"/>
      <c r="J49" s="263"/>
      <c r="K49" s="263"/>
      <c r="L49" s="263"/>
      <c r="M49" s="263"/>
      <c r="N49" s="263"/>
      <c r="O49" s="282"/>
    </row>
    <row r="50" spans="1:15" ht="12.75" customHeight="1">
      <c r="A50" s="262" t="s">
        <v>11</v>
      </c>
      <c r="B50" s="263"/>
      <c r="C50" s="263"/>
      <c r="D50" s="263"/>
      <c r="E50" s="263"/>
      <c r="F50" s="263"/>
      <c r="G50" s="263"/>
      <c r="H50" s="263"/>
      <c r="I50" s="279">
        <v>7.0000000000000007E-2</v>
      </c>
      <c r="J50" s="639" t="s">
        <v>229</v>
      </c>
      <c r="K50" s="639"/>
      <c r="L50" s="639"/>
      <c r="M50" s="639"/>
      <c r="N50" s="639"/>
      <c r="O50" s="640"/>
    </row>
    <row r="51" spans="1:15">
      <c r="B51" s="263"/>
      <c r="C51" s="263"/>
      <c r="D51" s="263"/>
      <c r="E51" s="263"/>
      <c r="F51" s="263"/>
      <c r="G51" s="263"/>
      <c r="H51" s="263"/>
      <c r="I51" s="281"/>
      <c r="J51" s="639"/>
      <c r="K51" s="639"/>
      <c r="L51" s="639"/>
      <c r="M51" s="639"/>
      <c r="N51" s="639"/>
      <c r="O51" s="640"/>
    </row>
    <row r="52" spans="1:15">
      <c r="A52" s="311" t="s">
        <v>132</v>
      </c>
      <c r="B52" s="308"/>
      <c r="C52" s="308"/>
      <c r="D52" s="308"/>
      <c r="E52" s="263"/>
      <c r="F52" s="263"/>
      <c r="G52" s="263"/>
      <c r="H52" s="263"/>
      <c r="I52" s="310">
        <f>'ERR &amp; Sensitivity Analysis'!G17</f>
        <v>0.05</v>
      </c>
      <c r="J52" s="636" t="s">
        <v>176</v>
      </c>
      <c r="K52" s="636"/>
      <c r="L52" s="636"/>
      <c r="M52" s="636"/>
      <c r="N52" s="636"/>
      <c r="O52" s="641"/>
    </row>
    <row r="53" spans="1:15">
      <c r="A53" s="262"/>
      <c r="B53" s="263"/>
      <c r="C53" s="263"/>
      <c r="D53" s="263"/>
      <c r="E53" s="263"/>
      <c r="F53" s="263"/>
      <c r="G53" s="263"/>
      <c r="H53" s="263"/>
      <c r="I53" s="281"/>
      <c r="J53" s="636"/>
      <c r="K53" s="636"/>
      <c r="L53" s="636"/>
      <c r="M53" s="636"/>
      <c r="N53" s="636"/>
      <c r="O53" s="641"/>
    </row>
    <row r="54" spans="1:15">
      <c r="A54" s="262"/>
      <c r="B54" s="263"/>
      <c r="C54" s="263"/>
      <c r="D54" s="263"/>
      <c r="E54" s="263"/>
      <c r="F54" s="263"/>
      <c r="G54" s="263"/>
      <c r="H54" s="263"/>
      <c r="I54" s="281"/>
      <c r="J54" s="206"/>
      <c r="K54" s="206"/>
      <c r="L54" s="206"/>
      <c r="M54" s="206"/>
      <c r="N54" s="206"/>
      <c r="O54" s="280"/>
    </row>
    <row r="55" spans="1:15">
      <c r="A55" s="262"/>
      <c r="B55" s="263"/>
      <c r="C55" s="263"/>
      <c r="D55" s="263"/>
      <c r="E55" s="263"/>
      <c r="F55" s="263"/>
      <c r="G55" s="263"/>
      <c r="H55" s="263"/>
      <c r="I55" s="281"/>
      <c r="J55" s="206"/>
      <c r="K55" s="206"/>
      <c r="L55" s="206"/>
      <c r="M55" s="206"/>
      <c r="N55" s="206"/>
      <c r="O55" s="280"/>
    </row>
    <row r="56" spans="1:15" s="284" customFormat="1">
      <c r="A56" s="276" t="s">
        <v>13</v>
      </c>
      <c r="B56" s="277"/>
      <c r="C56" s="277"/>
      <c r="D56" s="277"/>
      <c r="E56" s="277"/>
      <c r="F56" s="277"/>
      <c r="G56" s="277"/>
      <c r="H56" s="277"/>
      <c r="I56" s="278"/>
      <c r="J56" s="287"/>
      <c r="K56" s="287"/>
      <c r="L56" s="287"/>
      <c r="M56" s="287"/>
      <c r="N56" s="287"/>
      <c r="O56" s="288"/>
    </row>
    <row r="57" spans="1:15" s="284" customFormat="1">
      <c r="A57" s="285" t="s">
        <v>233</v>
      </c>
      <c r="B57" s="277"/>
      <c r="C57" s="277"/>
      <c r="D57" s="277"/>
      <c r="E57" s="277"/>
      <c r="F57" s="277"/>
      <c r="G57" s="277"/>
      <c r="H57" s="277"/>
      <c r="I57" s="278">
        <v>3</v>
      </c>
      <c r="J57" s="634" t="s">
        <v>247</v>
      </c>
      <c r="K57" s="634"/>
      <c r="L57" s="634"/>
      <c r="M57" s="634"/>
      <c r="N57" s="634"/>
      <c r="O57" s="635"/>
    </row>
    <row r="58" spans="1:15" s="284" customFormat="1">
      <c r="A58" s="649"/>
      <c r="B58" s="650"/>
      <c r="C58" s="650"/>
      <c r="D58" s="650"/>
      <c r="E58" s="650"/>
      <c r="F58" s="650"/>
      <c r="G58" s="650"/>
      <c r="H58" s="650"/>
      <c r="I58" s="278"/>
      <c r="J58" s="634"/>
      <c r="K58" s="634"/>
      <c r="L58" s="634"/>
      <c r="M58" s="634"/>
      <c r="N58" s="634"/>
      <c r="O58" s="635"/>
    </row>
    <row r="59" spans="1:15" s="284" customFormat="1">
      <c r="A59" s="649" t="s">
        <v>232</v>
      </c>
      <c r="B59" s="650"/>
      <c r="C59" s="650"/>
      <c r="D59" s="650"/>
      <c r="E59" s="650"/>
      <c r="F59" s="650"/>
      <c r="G59" s="650"/>
      <c r="H59" s="650"/>
      <c r="I59" s="278">
        <v>0.25</v>
      </c>
      <c r="J59" s="634" t="s">
        <v>344</v>
      </c>
      <c r="K59" s="634"/>
      <c r="L59" s="634"/>
      <c r="M59" s="634"/>
      <c r="N59" s="634"/>
      <c r="O59" s="635"/>
    </row>
    <row r="60" spans="1:15" s="284" customFormat="1">
      <c r="A60" s="649"/>
      <c r="B60" s="650"/>
      <c r="C60" s="650"/>
      <c r="D60" s="650"/>
      <c r="E60" s="650"/>
      <c r="F60" s="650"/>
      <c r="G60" s="650"/>
      <c r="H60" s="650"/>
      <c r="I60" s="278"/>
      <c r="J60" s="634"/>
      <c r="K60" s="634"/>
      <c r="L60" s="634"/>
      <c r="M60" s="634"/>
      <c r="N60" s="634"/>
      <c r="O60" s="635"/>
    </row>
    <row r="61" spans="1:15" s="284" customFormat="1">
      <c r="A61" s="649" t="s">
        <v>234</v>
      </c>
      <c r="B61" s="650"/>
      <c r="C61" s="650"/>
      <c r="D61" s="650"/>
      <c r="E61" s="650"/>
      <c r="F61" s="650"/>
      <c r="G61" s="650"/>
      <c r="H61" s="650"/>
      <c r="I61" s="278">
        <v>0.5</v>
      </c>
      <c r="J61" s="634"/>
      <c r="K61" s="634"/>
      <c r="L61" s="634"/>
      <c r="M61" s="634"/>
      <c r="N61" s="634"/>
      <c r="O61" s="635"/>
    </row>
    <row r="62" spans="1:15" s="284" customFormat="1">
      <c r="A62" s="649"/>
      <c r="B62" s="650"/>
      <c r="C62" s="650"/>
      <c r="D62" s="650"/>
      <c r="E62" s="650"/>
      <c r="F62" s="650"/>
      <c r="G62" s="650"/>
      <c r="H62" s="650"/>
      <c r="I62" s="278"/>
      <c r="J62" s="634"/>
      <c r="K62" s="634"/>
      <c r="L62" s="634"/>
      <c r="M62" s="634"/>
      <c r="N62" s="634"/>
      <c r="O62" s="635"/>
    </row>
    <row r="63" spans="1:15" s="284" customFormat="1">
      <c r="A63" s="649" t="s">
        <v>235</v>
      </c>
      <c r="B63" s="650"/>
      <c r="C63" s="650"/>
      <c r="D63" s="650"/>
      <c r="E63" s="650"/>
      <c r="F63" s="650"/>
      <c r="G63" s="650"/>
      <c r="H63" s="650"/>
      <c r="I63" s="278">
        <v>1</v>
      </c>
      <c r="J63" s="634"/>
      <c r="K63" s="634"/>
      <c r="L63" s="634"/>
      <c r="M63" s="634"/>
      <c r="N63" s="634"/>
      <c r="O63" s="635"/>
    </row>
    <row r="64" spans="1:15" s="284" customFormat="1">
      <c r="A64" s="649"/>
      <c r="B64" s="650"/>
      <c r="C64" s="650"/>
      <c r="D64" s="650"/>
      <c r="E64" s="650"/>
      <c r="F64" s="650"/>
      <c r="G64" s="650"/>
      <c r="H64" s="650"/>
      <c r="I64" s="278"/>
      <c r="J64" s="277"/>
      <c r="K64" s="277"/>
      <c r="L64" s="277"/>
      <c r="M64" s="277"/>
      <c r="N64" s="277"/>
      <c r="O64" s="283"/>
    </row>
    <row r="65" spans="1:15" s="284" customFormat="1">
      <c r="A65" s="649" t="s">
        <v>236</v>
      </c>
      <c r="B65" s="650"/>
      <c r="C65" s="650"/>
      <c r="D65" s="650"/>
      <c r="E65" s="650"/>
      <c r="F65" s="650"/>
      <c r="G65" s="650"/>
      <c r="H65" s="650"/>
      <c r="I65" s="278">
        <v>2</v>
      </c>
      <c r="J65" s="634" t="s">
        <v>248</v>
      </c>
      <c r="K65" s="634"/>
      <c r="L65" s="634"/>
      <c r="M65" s="634"/>
      <c r="N65" s="634"/>
      <c r="O65" s="635"/>
    </row>
    <row r="66" spans="1:15" s="284" customFormat="1">
      <c r="A66" s="649"/>
      <c r="B66" s="650"/>
      <c r="C66" s="650"/>
      <c r="D66" s="650"/>
      <c r="E66" s="650"/>
      <c r="F66" s="650"/>
      <c r="G66" s="650"/>
      <c r="H66" s="650"/>
      <c r="I66" s="278"/>
      <c r="J66" s="634"/>
      <c r="K66" s="634"/>
      <c r="L66" s="634"/>
      <c r="M66" s="634"/>
      <c r="N66" s="634"/>
      <c r="O66" s="635"/>
    </row>
    <row r="67" spans="1:15" s="284" customFormat="1">
      <c r="A67" s="649" t="s">
        <v>237</v>
      </c>
      <c r="B67" s="650"/>
      <c r="C67" s="650"/>
      <c r="D67" s="650"/>
      <c r="E67" s="650"/>
      <c r="F67" s="650"/>
      <c r="G67" s="650"/>
      <c r="H67" s="650"/>
      <c r="I67" s="278">
        <v>0.25</v>
      </c>
      <c r="J67" s="277"/>
      <c r="K67" s="277"/>
      <c r="L67" s="277"/>
      <c r="M67" s="277"/>
      <c r="N67" s="277"/>
      <c r="O67" s="283"/>
    </row>
    <row r="68" spans="1:15" s="284" customFormat="1">
      <c r="A68" s="649"/>
      <c r="B68" s="650"/>
      <c r="C68" s="650"/>
      <c r="D68" s="650"/>
      <c r="E68" s="650"/>
      <c r="F68" s="650"/>
      <c r="G68" s="650"/>
      <c r="H68" s="650"/>
      <c r="I68" s="278"/>
      <c r="J68" s="277"/>
      <c r="K68" s="277"/>
      <c r="L68" s="277"/>
      <c r="M68" s="277"/>
      <c r="N68" s="277"/>
      <c r="O68" s="283"/>
    </row>
    <row r="69" spans="1:15" s="284" customFormat="1">
      <c r="A69" s="649" t="s">
        <v>216</v>
      </c>
      <c r="B69" s="650"/>
      <c r="C69" s="650"/>
      <c r="D69" s="650"/>
      <c r="E69" s="650"/>
      <c r="F69" s="650"/>
      <c r="G69" s="650"/>
      <c r="H69" s="650"/>
      <c r="I69" s="289">
        <v>0.33334000000000003</v>
      </c>
      <c r="J69" s="277" t="s">
        <v>230</v>
      </c>
      <c r="K69" s="277"/>
      <c r="L69" s="277"/>
      <c r="M69" s="277"/>
      <c r="N69" s="277"/>
      <c r="O69" s="283"/>
    </row>
    <row r="70" spans="1:15" s="284" customFormat="1">
      <c r="A70" s="649"/>
      <c r="B70" s="650"/>
      <c r="C70" s="650"/>
      <c r="D70" s="650"/>
      <c r="E70" s="650"/>
      <c r="F70" s="650"/>
      <c r="G70" s="650"/>
      <c r="H70" s="650"/>
      <c r="I70" s="278"/>
      <c r="J70" s="277"/>
      <c r="K70" s="277"/>
      <c r="L70" s="277"/>
      <c r="M70" s="277"/>
      <c r="N70" s="277"/>
      <c r="O70" s="283"/>
    </row>
    <row r="71" spans="1:15" s="284" customFormat="1">
      <c r="A71" s="649" t="s">
        <v>4</v>
      </c>
      <c r="B71" s="650"/>
      <c r="C71" s="650"/>
      <c r="D71" s="650"/>
      <c r="E71" s="650"/>
      <c r="F71" s="650"/>
      <c r="G71" s="650"/>
      <c r="H71" s="650"/>
      <c r="I71" s="289">
        <v>0.66</v>
      </c>
      <c r="J71" s="634" t="s">
        <v>6</v>
      </c>
      <c r="K71" s="634"/>
      <c r="L71" s="634"/>
      <c r="M71" s="634"/>
      <c r="N71" s="634"/>
      <c r="O71" s="635"/>
    </row>
    <row r="72" spans="1:15" s="284" customFormat="1">
      <c r="A72" s="649"/>
      <c r="B72" s="650"/>
      <c r="C72" s="650"/>
      <c r="D72" s="650"/>
      <c r="E72" s="650"/>
      <c r="F72" s="650"/>
      <c r="G72" s="650"/>
      <c r="H72" s="650"/>
      <c r="I72" s="278"/>
      <c r="J72" s="634"/>
      <c r="K72" s="634"/>
      <c r="L72" s="634"/>
      <c r="M72" s="634"/>
      <c r="N72" s="634"/>
      <c r="O72" s="635"/>
    </row>
    <row r="73" spans="1:15" s="284" customFormat="1">
      <c r="A73" s="656"/>
      <c r="B73" s="657"/>
      <c r="C73" s="657"/>
      <c r="D73" s="657"/>
      <c r="E73" s="657"/>
      <c r="F73" s="657"/>
      <c r="G73" s="657"/>
      <c r="H73" s="657"/>
      <c r="I73" s="278"/>
      <c r="J73" s="277"/>
      <c r="K73" s="277"/>
      <c r="L73" s="277"/>
      <c r="M73" s="277"/>
      <c r="N73" s="277"/>
      <c r="O73" s="283"/>
    </row>
    <row r="74" spans="1:15">
      <c r="A74" s="259" t="s">
        <v>5</v>
      </c>
      <c r="B74" s="290"/>
      <c r="C74" s="290"/>
      <c r="D74" s="290"/>
      <c r="E74" s="290"/>
      <c r="F74" s="290"/>
      <c r="G74" s="290"/>
      <c r="H74" s="290"/>
      <c r="I74" s="268"/>
      <c r="J74" s="266"/>
      <c r="K74" s="266"/>
      <c r="L74" s="266"/>
      <c r="M74" s="266"/>
      <c r="N74" s="266"/>
      <c r="O74" s="291"/>
    </row>
    <row r="75" spans="1:15">
      <c r="A75" s="658"/>
      <c r="B75" s="659"/>
      <c r="C75" s="659"/>
      <c r="D75" s="659"/>
      <c r="E75" s="659"/>
      <c r="F75" s="659"/>
      <c r="G75" s="659"/>
      <c r="H75" s="659"/>
      <c r="I75" s="281"/>
      <c r="J75" s="263"/>
      <c r="K75" s="263"/>
      <c r="L75" s="263"/>
      <c r="M75" s="263"/>
      <c r="N75" s="263"/>
      <c r="O75" s="282"/>
    </row>
    <row r="76" spans="1:15">
      <c r="A76" s="660" t="s">
        <v>135</v>
      </c>
      <c r="B76" s="661"/>
      <c r="C76" s="661"/>
      <c r="D76" s="661"/>
      <c r="E76" s="661"/>
      <c r="F76" s="661"/>
      <c r="G76" s="661"/>
      <c r="H76" s="661"/>
      <c r="I76" s="281">
        <v>1.1000000000000001</v>
      </c>
      <c r="J76" s="263" t="s">
        <v>249</v>
      </c>
      <c r="K76" s="263"/>
      <c r="L76" s="263"/>
      <c r="M76" s="263"/>
      <c r="N76" s="263"/>
      <c r="O76" s="282"/>
    </row>
    <row r="77" spans="1:15">
      <c r="A77" s="660"/>
      <c r="B77" s="661"/>
      <c r="C77" s="661"/>
      <c r="D77" s="661"/>
      <c r="E77" s="661"/>
      <c r="F77" s="661"/>
      <c r="G77" s="661"/>
      <c r="H77" s="661"/>
      <c r="I77" s="281"/>
      <c r="J77" s="636" t="s">
        <v>417</v>
      </c>
      <c r="K77" s="637"/>
      <c r="L77" s="637"/>
      <c r="M77" s="637"/>
      <c r="N77" s="637"/>
      <c r="O77" s="638"/>
    </row>
    <row r="78" spans="1:15" ht="12.75" customHeight="1">
      <c r="A78" s="660" t="s">
        <v>136</v>
      </c>
      <c r="B78" s="661"/>
      <c r="C78" s="661"/>
      <c r="D78" s="661"/>
      <c r="E78" s="661"/>
      <c r="F78" s="661"/>
      <c r="G78" s="661"/>
      <c r="H78" s="661"/>
      <c r="I78" s="281">
        <v>0.28000000000000003</v>
      </c>
      <c r="J78" s="637"/>
      <c r="K78" s="637"/>
      <c r="L78" s="637"/>
      <c r="M78" s="637"/>
      <c r="N78" s="637"/>
      <c r="O78" s="638"/>
    </row>
    <row r="79" spans="1:15">
      <c r="A79" s="660"/>
      <c r="B79" s="661"/>
      <c r="C79" s="661"/>
      <c r="D79" s="661"/>
      <c r="E79" s="661"/>
      <c r="F79" s="661"/>
      <c r="G79" s="661"/>
      <c r="H79" s="661"/>
      <c r="I79" s="281"/>
      <c r="J79" s="637"/>
      <c r="K79" s="637"/>
      <c r="L79" s="637"/>
      <c r="M79" s="637"/>
      <c r="N79" s="637"/>
      <c r="O79" s="638"/>
    </row>
    <row r="80" spans="1:15">
      <c r="A80" s="660"/>
      <c r="B80" s="661"/>
      <c r="C80" s="661"/>
      <c r="D80" s="661"/>
      <c r="E80" s="661"/>
      <c r="F80" s="661"/>
      <c r="G80" s="661"/>
      <c r="H80" s="661"/>
      <c r="I80" s="281"/>
      <c r="J80" s="636" t="s">
        <v>250</v>
      </c>
      <c r="K80" s="636"/>
      <c r="L80" s="636"/>
      <c r="M80" s="636"/>
      <c r="N80" s="636"/>
      <c r="O80" s="641"/>
    </row>
    <row r="81" spans="1:15">
      <c r="A81" s="660" t="s">
        <v>251</v>
      </c>
      <c r="B81" s="661"/>
      <c r="C81" s="661"/>
      <c r="D81" s="661"/>
      <c r="E81" s="661"/>
      <c r="F81" s="661"/>
      <c r="G81" s="661"/>
      <c r="H81" s="661"/>
      <c r="I81" s="330">
        <v>0.4</v>
      </c>
      <c r="J81" s="636"/>
      <c r="K81" s="636"/>
      <c r="L81" s="636"/>
      <c r="M81" s="636"/>
      <c r="N81" s="636"/>
      <c r="O81" s="641"/>
    </row>
    <row r="82" spans="1:15">
      <c r="A82" s="660"/>
      <c r="B82" s="661"/>
      <c r="C82" s="661"/>
      <c r="D82" s="661"/>
      <c r="E82" s="661"/>
      <c r="F82" s="661"/>
      <c r="G82" s="661"/>
      <c r="H82" s="661"/>
      <c r="I82" s="281"/>
      <c r="J82" s="652"/>
      <c r="K82" s="652"/>
      <c r="L82" s="652"/>
      <c r="M82" s="652"/>
      <c r="N82" s="652"/>
      <c r="O82" s="653"/>
    </row>
    <row r="83" spans="1:15">
      <c r="A83" s="660" t="s">
        <v>328</v>
      </c>
      <c r="B83" s="661"/>
      <c r="C83" s="661"/>
      <c r="D83" s="661"/>
      <c r="E83" s="661"/>
      <c r="F83" s="661"/>
      <c r="G83" s="661"/>
      <c r="H83" s="661"/>
      <c r="I83" s="294">
        <v>0.1</v>
      </c>
      <c r="J83" s="636" t="s">
        <v>231</v>
      </c>
      <c r="K83" s="636"/>
      <c r="L83" s="636"/>
      <c r="M83" s="636"/>
      <c r="N83" s="636"/>
      <c r="O83" s="641"/>
    </row>
    <row r="84" spans="1:15">
      <c r="A84" s="292"/>
      <c r="B84" s="293"/>
      <c r="C84" s="293"/>
      <c r="D84" s="293"/>
      <c r="E84" s="293"/>
      <c r="F84" s="293"/>
      <c r="G84" s="293"/>
      <c r="H84" s="293"/>
      <c r="I84" s="281"/>
      <c r="J84" s="636"/>
      <c r="K84" s="636"/>
      <c r="L84" s="636"/>
      <c r="M84" s="636"/>
      <c r="N84" s="636"/>
      <c r="O84" s="641"/>
    </row>
    <row r="85" spans="1:15">
      <c r="A85" s="292"/>
      <c r="B85" s="293"/>
      <c r="C85" s="293"/>
      <c r="D85" s="293"/>
      <c r="E85" s="293"/>
      <c r="F85" s="293"/>
      <c r="G85" s="293"/>
      <c r="H85" s="293"/>
      <c r="I85" s="281"/>
      <c r="J85" s="636"/>
      <c r="K85" s="636"/>
      <c r="L85" s="636"/>
      <c r="M85" s="636"/>
      <c r="N85" s="636"/>
      <c r="O85" s="641"/>
    </row>
    <row r="86" spans="1:15">
      <c r="A86" s="259" t="s">
        <v>220</v>
      </c>
      <c r="B86" s="290"/>
      <c r="C86" s="290"/>
      <c r="D86" s="290"/>
      <c r="E86" s="290"/>
      <c r="F86" s="290"/>
      <c r="G86" s="290"/>
      <c r="H86" s="290"/>
      <c r="I86" s="268"/>
      <c r="J86" s="266"/>
      <c r="K86" s="266"/>
      <c r="L86" s="266"/>
      <c r="M86" s="266"/>
      <c r="N86" s="266"/>
      <c r="O86" s="291"/>
    </row>
    <row r="87" spans="1:15">
      <c r="A87" s="658"/>
      <c r="B87" s="659"/>
      <c r="C87" s="659"/>
      <c r="D87" s="659"/>
      <c r="E87" s="659"/>
      <c r="F87" s="659"/>
      <c r="G87" s="659"/>
      <c r="H87" s="659"/>
      <c r="I87" s="281"/>
      <c r="J87" s="263"/>
      <c r="K87" s="263"/>
      <c r="L87" s="263"/>
      <c r="M87" s="263"/>
      <c r="N87" s="263"/>
      <c r="O87" s="282"/>
    </row>
    <row r="88" spans="1:15">
      <c r="A88" s="660" t="s">
        <v>137</v>
      </c>
      <c r="B88" s="661"/>
      <c r="C88" s="661"/>
      <c r="D88" s="661"/>
      <c r="E88" s="661"/>
      <c r="F88" s="661"/>
      <c r="G88" s="661"/>
      <c r="H88" s="661"/>
      <c r="I88" s="281">
        <v>0</v>
      </c>
      <c r="J88" s="263" t="s">
        <v>252</v>
      </c>
      <c r="K88" s="263"/>
      <c r="L88" s="263"/>
      <c r="M88" s="263"/>
      <c r="N88" s="263"/>
      <c r="O88" s="282"/>
    </row>
    <row r="89" spans="1:15">
      <c r="A89" s="660"/>
      <c r="B89" s="661"/>
      <c r="C89" s="661"/>
      <c r="D89" s="661"/>
      <c r="E89" s="661"/>
      <c r="F89" s="661"/>
      <c r="G89" s="661"/>
      <c r="H89" s="661"/>
      <c r="I89" s="281"/>
      <c r="J89" s="263"/>
      <c r="K89" s="263"/>
      <c r="L89" s="263"/>
      <c r="M89" s="263"/>
      <c r="N89" s="263"/>
      <c r="O89" s="282"/>
    </row>
    <row r="90" spans="1:15">
      <c r="A90" s="662" t="s">
        <v>262</v>
      </c>
      <c r="B90" s="663"/>
      <c r="C90" s="663"/>
      <c r="D90" s="663"/>
      <c r="E90" s="663"/>
      <c r="F90" s="663"/>
      <c r="G90" s="663"/>
      <c r="H90" s="663"/>
      <c r="I90" s="295">
        <v>1</v>
      </c>
      <c r="J90" s="296" t="s">
        <v>263</v>
      </c>
      <c r="K90" s="296"/>
      <c r="L90" s="296"/>
      <c r="M90" s="296"/>
      <c r="N90" s="296"/>
      <c r="O90" s="297"/>
    </row>
  </sheetData>
  <mergeCells count="51">
    <mergeCell ref="A80:H80"/>
    <mergeCell ref="A81:H81"/>
    <mergeCell ref="A90:H90"/>
    <mergeCell ref="A89:H89"/>
    <mergeCell ref="A83:H83"/>
    <mergeCell ref="A82:H82"/>
    <mergeCell ref="A87:H87"/>
    <mergeCell ref="A88:H88"/>
    <mergeCell ref="A73:H73"/>
    <mergeCell ref="A75:H75"/>
    <mergeCell ref="A76:H76"/>
    <mergeCell ref="A77:H77"/>
    <mergeCell ref="A79:H79"/>
    <mergeCell ref="A78:H78"/>
    <mergeCell ref="J83:O85"/>
    <mergeCell ref="J40:O42"/>
    <mergeCell ref="J52:O53"/>
    <mergeCell ref="J59:O63"/>
    <mergeCell ref="J65:O66"/>
    <mergeCell ref="A1:O1"/>
    <mergeCell ref="J80:O82"/>
    <mergeCell ref="J3:O3"/>
    <mergeCell ref="J8:O9"/>
    <mergeCell ref="J10:O11"/>
    <mergeCell ref="A58:H58"/>
    <mergeCell ref="A59:H59"/>
    <mergeCell ref="A60:H60"/>
    <mergeCell ref="A61:H61"/>
    <mergeCell ref="A62:H62"/>
    <mergeCell ref="A63:H63"/>
    <mergeCell ref="A64:H64"/>
    <mergeCell ref="A65:H65"/>
    <mergeCell ref="A66:H66"/>
    <mergeCell ref="A67:H67"/>
    <mergeCell ref="A68:H68"/>
    <mergeCell ref="A2:L2"/>
    <mergeCell ref="J71:O72"/>
    <mergeCell ref="J77:O79"/>
    <mergeCell ref="J25:O28"/>
    <mergeCell ref="J31:O33"/>
    <mergeCell ref="J50:O51"/>
    <mergeCell ref="J35:O37"/>
    <mergeCell ref="J57:O58"/>
    <mergeCell ref="J12:O13"/>
    <mergeCell ref="J14:O15"/>
    <mergeCell ref="A3:G3"/>
    <mergeCell ref="H4:J4"/>
    <mergeCell ref="A70:H70"/>
    <mergeCell ref="A69:H69"/>
    <mergeCell ref="A72:H72"/>
    <mergeCell ref="A71:H71"/>
  </mergeCells>
  <phoneticPr fontId="6" type="noConversion"/>
  <conditionalFormatting sqref="A2">
    <cfRule type="cellIs" dxfId="11" priority="1" stopIfTrue="1" operator="equal">
      <formula>0</formula>
    </cfRule>
    <cfRule type="cellIs" dxfId="10" priority="2" stopIfTrue="1" operator="notEqual">
      <formula>0</formula>
    </cfRule>
  </conditionalFormatting>
  <pageMargins left="0.75" right="0.75" top="1" bottom="1" header="0.5" footer="0.5"/>
  <pageSetup scale="66"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R90"/>
  <sheetViews>
    <sheetView zoomScale="75" zoomScaleNormal="75" workbookViewId="0">
      <pane ySplit="3" topLeftCell="A13" activePane="bottomLeft" state="frozen"/>
      <selection pane="bottomLeft" activeCell="Q26" sqref="Q26"/>
    </sheetView>
  </sheetViews>
  <sheetFormatPr defaultRowHeight="12.75"/>
  <cols>
    <col min="1" max="1" width="31.5703125" style="3" customWidth="1"/>
    <col min="2" max="2" width="13.42578125" bestFit="1" customWidth="1"/>
    <col min="3" max="3" width="13.140625" customWidth="1"/>
    <col min="4" max="4" width="1.28515625" customWidth="1"/>
    <col min="5" max="5" width="10.7109375" bestFit="1" customWidth="1"/>
    <col min="6" max="6" width="1.5703125" customWidth="1"/>
    <col min="7" max="8" width="1.140625" customWidth="1"/>
    <col min="9" max="9" width="10.7109375" bestFit="1" customWidth="1"/>
    <col min="10" max="11" width="11.7109375" bestFit="1" customWidth="1"/>
    <col min="12" max="12" width="1" customWidth="1"/>
    <col min="13" max="13" width="12.5703125" bestFit="1" customWidth="1"/>
    <col min="14" max="15" width="11.7109375" bestFit="1" customWidth="1"/>
    <col min="16" max="16" width="10.7109375" bestFit="1" customWidth="1"/>
    <col min="17" max="17" width="11.7109375" bestFit="1" customWidth="1"/>
    <col min="18" max="18" width="22.140625" customWidth="1"/>
  </cols>
  <sheetData>
    <row r="1" spans="1:18" ht="18">
      <c r="A1" s="666" t="s">
        <v>119</v>
      </c>
      <c r="B1" s="667"/>
      <c r="C1" s="667"/>
      <c r="D1" s="667"/>
      <c r="E1" s="667"/>
      <c r="F1" s="667"/>
      <c r="G1" s="667"/>
      <c r="H1" s="667"/>
      <c r="I1" s="667"/>
      <c r="J1" s="667"/>
      <c r="K1" s="667"/>
      <c r="L1" s="667"/>
      <c r="M1" s="667"/>
      <c r="N1" s="667"/>
      <c r="O1" s="667"/>
      <c r="P1" s="668"/>
    </row>
    <row r="2" spans="1:18">
      <c r="I2" s="1" t="s">
        <v>34</v>
      </c>
    </row>
    <row r="3" spans="1:18">
      <c r="A3" s="7"/>
      <c r="B3" s="1" t="s">
        <v>14</v>
      </c>
      <c r="C3" s="1" t="s">
        <v>37</v>
      </c>
      <c r="D3" t="s">
        <v>15</v>
      </c>
      <c r="E3" s="1" t="s">
        <v>16</v>
      </c>
      <c r="F3" t="s">
        <v>17</v>
      </c>
      <c r="G3" t="s">
        <v>18</v>
      </c>
      <c r="H3" s="11" t="s">
        <v>19</v>
      </c>
      <c r="I3" s="1" t="s">
        <v>20</v>
      </c>
      <c r="J3" s="1" t="s">
        <v>21</v>
      </c>
      <c r="K3" s="1" t="s">
        <v>22</v>
      </c>
      <c r="L3" t="s">
        <v>23</v>
      </c>
      <c r="M3" t="s">
        <v>24</v>
      </c>
      <c r="N3" s="1" t="s">
        <v>25</v>
      </c>
      <c r="O3" s="1" t="s">
        <v>26</v>
      </c>
      <c r="P3" s="1" t="s">
        <v>27</v>
      </c>
      <c r="Q3" s="1" t="s">
        <v>28</v>
      </c>
    </row>
    <row r="4" spans="1:18" ht="12.75" customHeight="1">
      <c r="A4" s="615">
        <f>IF('ERR &amp; Sensitivity Analysis'!$I$10="N","Note: Current calculations are based on user input and are not the original MCC estimates.",IF('ERR &amp; Sensitivity Analysis'!$I$11="N","Note: Current calculations are based on user input and are not the original MCC estimates.",0))</f>
        <v>0</v>
      </c>
      <c r="B4" s="615"/>
      <c r="C4" s="615"/>
      <c r="D4" s="615"/>
      <c r="E4" s="615"/>
      <c r="F4" s="615"/>
      <c r="G4" s="615"/>
      <c r="H4" s="615"/>
      <c r="I4" s="615"/>
      <c r="J4" s="615"/>
      <c r="K4" s="615"/>
      <c r="L4" s="615"/>
      <c r="M4" s="615"/>
      <c r="N4" s="615"/>
      <c r="O4" s="615"/>
      <c r="P4" s="615"/>
      <c r="Q4" s="1"/>
    </row>
    <row r="5" spans="1:18" s="18" customFormat="1" ht="13.5" thickBot="1">
      <c r="A5" s="17"/>
      <c r="B5" s="59" t="s">
        <v>117</v>
      </c>
      <c r="C5" s="25"/>
      <c r="E5" s="25"/>
      <c r="H5" s="25"/>
      <c r="I5" s="25"/>
      <c r="J5" s="25"/>
      <c r="K5" s="25"/>
      <c r="N5" s="25"/>
      <c r="O5" s="25"/>
      <c r="P5" s="25"/>
      <c r="Q5" s="25"/>
    </row>
    <row r="6" spans="1:18" s="15" customFormat="1" ht="16.5" thickTop="1">
      <c r="A6" s="665" t="s">
        <v>58</v>
      </c>
      <c r="B6" s="665"/>
      <c r="C6" s="665"/>
      <c r="D6" s="665"/>
      <c r="E6" s="665"/>
      <c r="F6" s="665"/>
      <c r="G6" s="665"/>
      <c r="H6" s="665"/>
      <c r="I6" s="665"/>
      <c r="J6" s="665"/>
      <c r="K6" s="665"/>
      <c r="L6" s="665"/>
      <c r="M6" s="665"/>
      <c r="N6" s="665"/>
      <c r="O6" s="665"/>
      <c r="P6" s="665"/>
      <c r="Q6" s="28"/>
    </row>
    <row r="7" spans="1:18" s="15" customFormat="1" ht="38.25">
      <c r="A7" s="14" t="s">
        <v>33</v>
      </c>
      <c r="D7" s="15">
        <v>1</v>
      </c>
      <c r="E7" s="15">
        <v>1</v>
      </c>
      <c r="F7" s="15">
        <v>1</v>
      </c>
      <c r="G7" s="15">
        <v>1</v>
      </c>
      <c r="H7" s="15">
        <v>3</v>
      </c>
      <c r="I7" s="15">
        <v>2</v>
      </c>
      <c r="J7" s="15">
        <v>3</v>
      </c>
      <c r="K7" s="15">
        <v>3</v>
      </c>
      <c r="L7" s="15">
        <v>3</v>
      </c>
      <c r="N7" s="15">
        <v>3</v>
      </c>
      <c r="O7" s="15">
        <v>2</v>
      </c>
      <c r="P7" s="15">
        <v>2</v>
      </c>
      <c r="Q7" s="15">
        <v>3</v>
      </c>
      <c r="R7" s="14" t="s">
        <v>182</v>
      </c>
    </row>
    <row r="8" spans="1:18">
      <c r="A8" s="3" t="s">
        <v>29</v>
      </c>
      <c r="D8">
        <v>0</v>
      </c>
      <c r="E8">
        <v>0</v>
      </c>
      <c r="F8">
        <v>0</v>
      </c>
      <c r="G8">
        <v>0</v>
      </c>
      <c r="H8">
        <v>275</v>
      </c>
      <c r="I8">
        <v>75</v>
      </c>
      <c r="J8">
        <v>150</v>
      </c>
      <c r="K8">
        <v>175</v>
      </c>
      <c r="L8" t="s">
        <v>30</v>
      </c>
      <c r="N8">
        <v>320</v>
      </c>
      <c r="O8">
        <v>40</v>
      </c>
      <c r="P8">
        <v>30</v>
      </c>
      <c r="Q8">
        <v>130</v>
      </c>
      <c r="R8" t="s">
        <v>183</v>
      </c>
    </row>
    <row r="9" spans="1:18">
      <c r="A9" s="3" t="s">
        <v>91</v>
      </c>
      <c r="D9">
        <v>118.46299999999999</v>
      </c>
      <c r="E9">
        <v>703.61400000000003</v>
      </c>
      <c r="F9">
        <v>3325.5390000000002</v>
      </c>
      <c r="G9">
        <f>384.987+385.612</f>
        <v>770.59900000000005</v>
      </c>
      <c r="H9">
        <v>955.18799999999999</v>
      </c>
      <c r="I9">
        <v>410.80799999999999</v>
      </c>
      <c r="J9">
        <v>843.57500000000005</v>
      </c>
      <c r="K9">
        <v>250.25800000000001</v>
      </c>
      <c r="L9">
        <v>195.44</v>
      </c>
      <c r="N9">
        <v>447.33</v>
      </c>
      <c r="O9">
        <v>1919</v>
      </c>
      <c r="P9">
        <v>463.96800000000002</v>
      </c>
      <c r="Q9">
        <v>570.99099999999999</v>
      </c>
      <c r="R9" t="s">
        <v>184</v>
      </c>
    </row>
    <row r="10" spans="1:18">
      <c r="A10" s="3" t="s">
        <v>92</v>
      </c>
      <c r="D10">
        <v>277.18099999999998</v>
      </c>
      <c r="E10">
        <v>58.969000000000001</v>
      </c>
      <c r="F10">
        <v>305.52199999999999</v>
      </c>
      <c r="G10">
        <f>102.967+34.002</f>
        <v>136.96899999999999</v>
      </c>
      <c r="H10">
        <v>22.757999999999999</v>
      </c>
      <c r="I10">
        <v>66.292000000000002</v>
      </c>
      <c r="J10">
        <v>227.26300000000001</v>
      </c>
      <c r="K10">
        <v>492.97899999999998</v>
      </c>
      <c r="L10">
        <v>361.17200000000003</v>
      </c>
      <c r="N10">
        <v>498.68799999999999</v>
      </c>
      <c r="O10" s="16">
        <v>447</v>
      </c>
      <c r="P10">
        <v>149.53800000000001</v>
      </c>
      <c r="Q10">
        <v>142.61799999999999</v>
      </c>
      <c r="R10" t="s">
        <v>185</v>
      </c>
    </row>
    <row r="11" spans="1:18" ht="25.5">
      <c r="A11" s="3" t="s">
        <v>69</v>
      </c>
      <c r="D11">
        <v>0.5</v>
      </c>
      <c r="E11">
        <f>'Hypotheses - Assumptions'!$I8</f>
        <v>0.5</v>
      </c>
      <c r="F11">
        <f>'Hypotheses - Assumptions'!$I8</f>
        <v>0.5</v>
      </c>
      <c r="G11">
        <f>'Hypotheses - Assumptions'!$I8</f>
        <v>0.5</v>
      </c>
      <c r="H11">
        <f>'Hypotheses - Assumptions'!$I8</f>
        <v>0.5</v>
      </c>
      <c r="I11">
        <f>'Hypotheses - Assumptions'!$I8</f>
        <v>0.5</v>
      </c>
      <c r="J11">
        <f>'Hypotheses - Assumptions'!$I8</f>
        <v>0.5</v>
      </c>
      <c r="K11">
        <f>'Hypotheses - Assumptions'!$I8</f>
        <v>0.5</v>
      </c>
      <c r="L11">
        <f>'Hypotheses - Assumptions'!$I8</f>
        <v>0.5</v>
      </c>
      <c r="N11">
        <f>'Hypotheses - Assumptions'!$I8</f>
        <v>0.5</v>
      </c>
      <c r="O11">
        <f>'Hypotheses - Assumptions'!$I8</f>
        <v>0.5</v>
      </c>
      <c r="P11">
        <f>'Hypotheses - Assumptions'!$I8</f>
        <v>0.5</v>
      </c>
      <c r="Q11">
        <f>'Hypotheses - Assumptions'!$I8</f>
        <v>0.5</v>
      </c>
      <c r="R11" t="s">
        <v>186</v>
      </c>
    </row>
    <row r="12" spans="1:18">
      <c r="A12" s="3" t="s">
        <v>208</v>
      </c>
      <c r="E12">
        <v>0</v>
      </c>
      <c r="I12" s="16">
        <v>340</v>
      </c>
      <c r="J12" s="16">
        <v>278</v>
      </c>
      <c r="K12">
        <v>0</v>
      </c>
      <c r="N12" s="16">
        <v>82</v>
      </c>
      <c r="O12">
        <v>0</v>
      </c>
      <c r="P12" s="16">
        <v>55</v>
      </c>
      <c r="Q12" s="16">
        <v>436</v>
      </c>
    </row>
    <row r="13" spans="1:18">
      <c r="A13" s="3" t="s">
        <v>209</v>
      </c>
      <c r="E13">
        <f>'Hypotheses - Assumptions'!$I10</f>
        <v>0.5</v>
      </c>
      <c r="F13">
        <f>'Hypotheses - Assumptions'!$I10</f>
        <v>0.5</v>
      </c>
      <c r="G13">
        <f>'Hypotheses - Assumptions'!$I10</f>
        <v>0.5</v>
      </c>
      <c r="H13">
        <f>'Hypotheses - Assumptions'!$I10</f>
        <v>0.5</v>
      </c>
      <c r="I13">
        <f>'Hypotheses - Assumptions'!$I10</f>
        <v>0.5</v>
      </c>
      <c r="J13">
        <f>'Hypotheses - Assumptions'!$I10</f>
        <v>0.5</v>
      </c>
      <c r="K13">
        <f>'Hypotheses - Assumptions'!$I10</f>
        <v>0.5</v>
      </c>
      <c r="L13">
        <f>'Hypotheses - Assumptions'!$I10</f>
        <v>0.5</v>
      </c>
      <c r="M13">
        <f>'Hypotheses - Assumptions'!$I10</f>
        <v>0.5</v>
      </c>
      <c r="N13">
        <f>'Hypotheses - Assumptions'!$I10</f>
        <v>0.5</v>
      </c>
      <c r="O13">
        <f>'Hypotheses - Assumptions'!$I10</f>
        <v>0.5</v>
      </c>
      <c r="P13">
        <f>'Hypotheses - Assumptions'!$I10</f>
        <v>0.5</v>
      </c>
      <c r="Q13">
        <f>'Hypotheses - Assumptions'!$I10</f>
        <v>0.5</v>
      </c>
    </row>
    <row r="14" spans="1:18">
      <c r="A14" s="3" t="s">
        <v>210</v>
      </c>
      <c r="E14">
        <v>0</v>
      </c>
      <c r="I14" s="16">
        <v>243</v>
      </c>
      <c r="J14" s="16">
        <v>1301</v>
      </c>
      <c r="K14">
        <v>0</v>
      </c>
      <c r="N14" s="16">
        <v>423</v>
      </c>
      <c r="O14">
        <v>0</v>
      </c>
      <c r="P14" s="16">
        <v>470</v>
      </c>
      <c r="Q14" s="16">
        <v>434</v>
      </c>
    </row>
    <row r="15" spans="1:18">
      <c r="A15" s="3" t="s">
        <v>211</v>
      </c>
      <c r="E15">
        <f>'Hypotheses - Assumptions'!$I12</f>
        <v>0.25</v>
      </c>
      <c r="F15">
        <f>'Hypotheses - Assumptions'!$I12</f>
        <v>0.25</v>
      </c>
      <c r="G15">
        <f>'Hypotheses - Assumptions'!$I12</f>
        <v>0.25</v>
      </c>
      <c r="H15">
        <f>'Hypotheses - Assumptions'!$I12</f>
        <v>0.25</v>
      </c>
      <c r="I15">
        <f>'Hypotheses - Assumptions'!$I12</f>
        <v>0.25</v>
      </c>
      <c r="J15">
        <f>'Hypotheses - Assumptions'!$I12</f>
        <v>0.25</v>
      </c>
      <c r="K15">
        <f>'Hypotheses - Assumptions'!$I12</f>
        <v>0.25</v>
      </c>
      <c r="L15">
        <f>'Hypotheses - Assumptions'!$I12</f>
        <v>0.25</v>
      </c>
      <c r="M15">
        <f>'Hypotheses - Assumptions'!$I12</f>
        <v>0.25</v>
      </c>
      <c r="N15">
        <f>'Hypotheses - Assumptions'!$I12</f>
        <v>0.25</v>
      </c>
      <c r="O15">
        <f>'Hypotheses - Assumptions'!$I12</f>
        <v>0.25</v>
      </c>
      <c r="P15">
        <f>'Hypotheses - Assumptions'!$I12</f>
        <v>0.25</v>
      </c>
      <c r="Q15">
        <f>'Hypotheses - Assumptions'!$I12</f>
        <v>0.25</v>
      </c>
    </row>
    <row r="16" spans="1:18">
      <c r="A16" s="3" t="s">
        <v>212</v>
      </c>
      <c r="E16">
        <v>0</v>
      </c>
      <c r="I16">
        <v>0</v>
      </c>
      <c r="J16">
        <v>0</v>
      </c>
      <c r="K16">
        <v>0</v>
      </c>
      <c r="N16">
        <v>0</v>
      </c>
      <c r="O16">
        <v>0</v>
      </c>
      <c r="P16">
        <v>0</v>
      </c>
      <c r="Q16" s="16">
        <v>195</v>
      </c>
    </row>
    <row r="17" spans="1:18">
      <c r="A17" s="3" t="s">
        <v>213</v>
      </c>
      <c r="E17">
        <f>'Hypotheses - Assumptions'!$I14</f>
        <v>0.25</v>
      </c>
      <c r="F17">
        <f>'Hypotheses - Assumptions'!$I14</f>
        <v>0.25</v>
      </c>
      <c r="G17">
        <f>'Hypotheses - Assumptions'!$I14</f>
        <v>0.25</v>
      </c>
      <c r="H17">
        <f>'Hypotheses - Assumptions'!$I14</f>
        <v>0.25</v>
      </c>
      <c r="I17">
        <f>'Hypotheses - Assumptions'!$I14</f>
        <v>0.25</v>
      </c>
      <c r="J17">
        <f>'Hypotheses - Assumptions'!$I14</f>
        <v>0.25</v>
      </c>
      <c r="K17">
        <f>'Hypotheses - Assumptions'!$I14</f>
        <v>0.25</v>
      </c>
      <c r="L17">
        <f>'Hypotheses - Assumptions'!$I14</f>
        <v>0.25</v>
      </c>
      <c r="M17">
        <f>'Hypotheses - Assumptions'!$I14</f>
        <v>0.25</v>
      </c>
      <c r="N17">
        <f>'Hypotheses - Assumptions'!$I14</f>
        <v>0.25</v>
      </c>
      <c r="O17">
        <f>'Hypotheses - Assumptions'!$I14</f>
        <v>0.25</v>
      </c>
      <c r="P17">
        <f>'Hypotheses - Assumptions'!$I14</f>
        <v>0.25</v>
      </c>
      <c r="Q17">
        <f>'Hypotheses - Assumptions'!$I14</f>
        <v>0.25</v>
      </c>
    </row>
    <row r="18" spans="1:18" ht="25.5">
      <c r="A18" s="3" t="s">
        <v>70</v>
      </c>
      <c r="B18" s="36">
        <v>1.25</v>
      </c>
      <c r="C18">
        <f>E18+I18+J18+K18+N18+O18+P18+Q18</f>
        <v>8013.2175000000007</v>
      </c>
      <c r="D18">
        <f>D9+(D11*D10)</f>
        <v>257.05349999999999</v>
      </c>
      <c r="E18">
        <f>E9+(E11*E10)+(E12*E13)+(E14*E15)+(E16*E17)</f>
        <v>733.09850000000006</v>
      </c>
      <c r="F18">
        <f t="shared" ref="F18:Q18" si="0">F9+(F11*F10)+(F12*F13)+(F14*F15)+(F16*F17)</f>
        <v>3478.3</v>
      </c>
      <c r="G18">
        <f t="shared" si="0"/>
        <v>839.08350000000007</v>
      </c>
      <c r="H18">
        <f t="shared" si="0"/>
        <v>966.56700000000001</v>
      </c>
      <c r="I18">
        <f t="shared" si="0"/>
        <v>674.70399999999995</v>
      </c>
      <c r="J18">
        <f t="shared" si="0"/>
        <v>1421.4565</v>
      </c>
      <c r="K18">
        <f t="shared" si="0"/>
        <v>496.7475</v>
      </c>
      <c r="L18">
        <f t="shared" si="0"/>
        <v>376.02600000000001</v>
      </c>
      <c r="M18">
        <v>25000</v>
      </c>
      <c r="N18">
        <f t="shared" si="0"/>
        <v>843.42399999999998</v>
      </c>
      <c r="O18">
        <f t="shared" si="0"/>
        <v>2142.5</v>
      </c>
      <c r="P18">
        <f t="shared" si="0"/>
        <v>683.73700000000008</v>
      </c>
      <c r="Q18">
        <f t="shared" si="0"/>
        <v>1017.55</v>
      </c>
      <c r="R18" t="s">
        <v>187</v>
      </c>
    </row>
    <row r="19" spans="1:18" ht="26.25" thickBot="1">
      <c r="A19" s="3" t="s">
        <v>71</v>
      </c>
      <c r="C19" s="35">
        <f>C18/M18</f>
        <v>0.3205287</v>
      </c>
      <c r="D19" s="8">
        <f>D18/M18</f>
        <v>1.0282139999999999E-2</v>
      </c>
      <c r="E19" s="8">
        <f>E18/M18</f>
        <v>2.9323940000000003E-2</v>
      </c>
      <c r="F19" s="8">
        <f>F18/M18</f>
        <v>0.13913200000000001</v>
      </c>
      <c r="G19" s="8">
        <f>G18/M18</f>
        <v>3.3563340000000004E-2</v>
      </c>
      <c r="H19" s="8">
        <f>H18/M18</f>
        <v>3.8662679999999998E-2</v>
      </c>
      <c r="I19" s="8">
        <f>I18/M18</f>
        <v>2.6988159999999997E-2</v>
      </c>
      <c r="J19" s="8">
        <f>J18/M18</f>
        <v>5.6858260000000001E-2</v>
      </c>
      <c r="K19" s="8">
        <f>K18/M18</f>
        <v>1.9869899999999999E-2</v>
      </c>
      <c r="L19" s="8">
        <f>L18/M18</f>
        <v>1.504104E-2</v>
      </c>
      <c r="M19" s="8"/>
      <c r="N19" s="8">
        <f>N18/M18</f>
        <v>3.3736959999999996E-2</v>
      </c>
      <c r="O19" s="8">
        <f>O18/M18</f>
        <v>8.5699999999999998E-2</v>
      </c>
      <c r="P19" s="8">
        <f>P18/M18</f>
        <v>2.7349480000000002E-2</v>
      </c>
      <c r="Q19" s="8">
        <f>Q18/M18</f>
        <v>4.0701999999999995E-2</v>
      </c>
      <c r="R19" s="18" t="s">
        <v>188</v>
      </c>
    </row>
    <row r="20" spans="1:18" s="15" customFormat="1" ht="26.25" customHeight="1" thickTop="1">
      <c r="A20" s="665" t="s">
        <v>48</v>
      </c>
      <c r="B20" s="669"/>
      <c r="C20" s="669"/>
      <c r="D20" s="669"/>
      <c r="E20" s="669"/>
      <c r="F20" s="669"/>
      <c r="G20" s="669"/>
      <c r="H20" s="669"/>
      <c r="I20" s="669"/>
      <c r="J20" s="669"/>
      <c r="K20" s="669"/>
      <c r="L20" s="669"/>
      <c r="M20" s="669"/>
      <c r="N20" s="669"/>
      <c r="O20" s="669"/>
      <c r="P20" s="669"/>
      <c r="Q20" s="669"/>
    </row>
    <row r="21" spans="1:18" ht="25.5">
      <c r="A21" s="3" t="s">
        <v>47</v>
      </c>
      <c r="D21">
        <v>24.61</v>
      </c>
      <c r="E21">
        <v>12</v>
      </c>
      <c r="F21">
        <v>10</v>
      </c>
      <c r="G21">
        <v>9</v>
      </c>
      <c r="H21">
        <v>8</v>
      </c>
      <c r="I21">
        <v>9</v>
      </c>
      <c r="J21">
        <v>7</v>
      </c>
      <c r="K21">
        <v>6</v>
      </c>
      <c r="L21">
        <v>2.13</v>
      </c>
      <c r="M21">
        <v>9.6999999999999993</v>
      </c>
      <c r="N21" t="s">
        <v>31</v>
      </c>
      <c r="O21" t="s">
        <v>31</v>
      </c>
      <c r="P21" t="s">
        <v>31</v>
      </c>
      <c r="Q21" t="s">
        <v>31</v>
      </c>
      <c r="R21" s="112" t="s">
        <v>189</v>
      </c>
    </row>
    <row r="22" spans="1:18">
      <c r="A22" s="3" t="s">
        <v>40</v>
      </c>
      <c r="D22">
        <v>11.5</v>
      </c>
      <c r="E22">
        <v>12</v>
      </c>
      <c r="F22">
        <v>12</v>
      </c>
      <c r="G22">
        <v>12.5</v>
      </c>
      <c r="H22">
        <v>12</v>
      </c>
      <c r="I22">
        <v>13</v>
      </c>
      <c r="J22">
        <v>12</v>
      </c>
      <c r="K22">
        <v>9</v>
      </c>
      <c r="L22">
        <v>8</v>
      </c>
      <c r="M22">
        <v>11.05</v>
      </c>
      <c r="N22" t="s">
        <v>31</v>
      </c>
      <c r="O22" t="s">
        <v>31</v>
      </c>
      <c r="P22" t="s">
        <v>31</v>
      </c>
      <c r="Q22" t="s">
        <v>31</v>
      </c>
      <c r="R22" s="112" t="s">
        <v>190</v>
      </c>
    </row>
    <row r="23" spans="1:18" s="18" customFormat="1" ht="13.5" thickBot="1">
      <c r="A23" s="17" t="s">
        <v>41</v>
      </c>
      <c r="D23" s="18">
        <v>12</v>
      </c>
      <c r="E23" s="18">
        <v>11</v>
      </c>
      <c r="F23" s="18">
        <v>12.5</v>
      </c>
      <c r="G23" s="18">
        <v>13</v>
      </c>
      <c r="H23" s="18">
        <v>12.5</v>
      </c>
      <c r="I23" s="37">
        <v>16</v>
      </c>
      <c r="J23" s="18">
        <v>12.5</v>
      </c>
      <c r="K23" s="18">
        <v>12.5</v>
      </c>
      <c r="L23" s="18">
        <v>12</v>
      </c>
      <c r="M23" s="18">
        <v>12.46</v>
      </c>
      <c r="N23" s="18" t="s">
        <v>31</v>
      </c>
      <c r="O23" s="18" t="s">
        <v>31</v>
      </c>
      <c r="P23" s="18" t="s">
        <v>31</v>
      </c>
      <c r="Q23" s="18" t="s">
        <v>31</v>
      </c>
      <c r="R23" s="18" t="s">
        <v>191</v>
      </c>
    </row>
    <row r="24" spans="1:18" ht="32.25" customHeight="1" thickTop="1">
      <c r="A24" s="665" t="s">
        <v>49</v>
      </c>
      <c r="B24" s="665"/>
      <c r="C24" s="665"/>
      <c r="D24" s="665"/>
      <c r="E24" s="665"/>
      <c r="F24" s="665"/>
      <c r="G24" s="665"/>
      <c r="H24" s="665"/>
      <c r="I24" s="665"/>
      <c r="J24" s="665"/>
      <c r="K24" s="665"/>
      <c r="L24" s="665"/>
      <c r="M24" s="665"/>
      <c r="N24" s="665"/>
      <c r="O24" s="665"/>
      <c r="P24" s="665"/>
    </row>
    <row r="25" spans="1:18" ht="25.5">
      <c r="A25" s="4" t="s">
        <v>50</v>
      </c>
      <c r="B25" s="2"/>
      <c r="C25" s="2">
        <f>C27/C18</f>
        <v>10.587627177403245</v>
      </c>
      <c r="D25" s="2">
        <f>D21*(1+E26)</f>
        <v>30.44536082474227</v>
      </c>
      <c r="E25" s="2">
        <f t="shared" ref="E25:L25" si="1">E21*(1+F26)</f>
        <v>14.845360824742269</v>
      </c>
      <c r="F25" s="2">
        <f t="shared" si="1"/>
        <v>12.371134020618557</v>
      </c>
      <c r="G25" s="2">
        <f t="shared" si="1"/>
        <v>11.134020618556704</v>
      </c>
      <c r="H25" s="2">
        <f t="shared" si="1"/>
        <v>9.8969072164948457</v>
      </c>
      <c r="I25" s="2">
        <f t="shared" si="1"/>
        <v>11.134020618556701</v>
      </c>
      <c r="J25" s="2">
        <f t="shared" si="1"/>
        <v>8.6597938144329909</v>
      </c>
      <c r="K25" s="2">
        <f t="shared" si="1"/>
        <v>7.4226804123711343</v>
      </c>
      <c r="L25" s="2">
        <f t="shared" si="1"/>
        <v>2.6350515463917525</v>
      </c>
      <c r="M25" s="2">
        <v>12</v>
      </c>
      <c r="N25" s="5">
        <f>K25</f>
        <v>7.4226804123711343</v>
      </c>
      <c r="O25" s="5">
        <f>F25</f>
        <v>12.371134020618557</v>
      </c>
      <c r="P25" s="5">
        <f>I25</f>
        <v>11.134020618556701</v>
      </c>
      <c r="Q25" s="5">
        <f>H25</f>
        <v>9.8969072164948457</v>
      </c>
      <c r="R25" t="s">
        <v>192</v>
      </c>
    </row>
    <row r="26" spans="1:18" s="8" customFormat="1" ht="25.5">
      <c r="A26" s="9" t="s">
        <v>39</v>
      </c>
      <c r="D26" s="8">
        <v>0.23711340206185577</v>
      </c>
      <c r="E26" s="8">
        <v>0.23711340206185577</v>
      </c>
      <c r="F26" s="8">
        <v>0.23711340206185577</v>
      </c>
      <c r="G26" s="8">
        <v>0.23711340206185577</v>
      </c>
      <c r="H26" s="8">
        <v>0.23711340206185599</v>
      </c>
      <c r="I26" s="8">
        <v>0.23711340206185577</v>
      </c>
      <c r="J26" s="8">
        <v>0.23711340206185577</v>
      </c>
      <c r="K26" s="8">
        <v>0.23711340206185577</v>
      </c>
      <c r="L26" s="8">
        <v>0.23711340206185577</v>
      </c>
      <c r="M26" s="8">
        <f>(M25-M21)/M21</f>
        <v>0.23711340206185577</v>
      </c>
    </row>
    <row r="27" spans="1:18" s="5" customFormat="1">
      <c r="A27" s="4" t="s">
        <v>51</v>
      </c>
      <c r="C27" s="5">
        <f>E27+I27+J27+K27+N27+O27+P27+Q27</f>
        <v>84840.959381443303</v>
      </c>
      <c r="D27" s="5">
        <f t="shared" ref="D27:Q27" si="2">D25*D18</f>
        <v>7826.0865587628869</v>
      </c>
      <c r="E27" s="5">
        <f t="shared" si="2"/>
        <v>10883.111752577321</v>
      </c>
      <c r="F27" s="5">
        <f t="shared" si="2"/>
        <v>43030.515463917531</v>
      </c>
      <c r="G27" s="5">
        <f t="shared" si="2"/>
        <v>9342.3729896907244</v>
      </c>
      <c r="H27" s="5">
        <f t="shared" si="2"/>
        <v>9566.0239175257739</v>
      </c>
      <c r="I27" s="5">
        <f t="shared" si="2"/>
        <v>7512.16824742268</v>
      </c>
      <c r="J27" s="5">
        <f t="shared" si="2"/>
        <v>12309.520206185569</v>
      </c>
      <c r="K27" s="5">
        <f t="shared" si="2"/>
        <v>3687.1979381443302</v>
      </c>
      <c r="L27" s="5">
        <f t="shared" si="2"/>
        <v>990.84789278350513</v>
      </c>
      <c r="M27" s="5">
        <f t="shared" si="2"/>
        <v>300000</v>
      </c>
      <c r="N27" s="5">
        <f t="shared" si="2"/>
        <v>6260.466804123711</v>
      </c>
      <c r="O27" s="5">
        <f t="shared" si="2"/>
        <v>26505.15463917526</v>
      </c>
      <c r="P27" s="5">
        <f t="shared" si="2"/>
        <v>7612.7418556701041</v>
      </c>
      <c r="Q27" s="5">
        <f t="shared" si="2"/>
        <v>10070.59793814433</v>
      </c>
      <c r="R27" s="5" t="s">
        <v>193</v>
      </c>
    </row>
    <row r="28" spans="1:18" s="39" customFormat="1" ht="25.5">
      <c r="A28" s="38" t="s">
        <v>36</v>
      </c>
      <c r="C28" s="39">
        <f>AVERAGE(E28,I28,J28,K28,N28,O28,P28,Q28)</f>
        <v>10.1875</v>
      </c>
      <c r="D28" s="39">
        <v>12</v>
      </c>
      <c r="E28" s="39">
        <v>12</v>
      </c>
      <c r="F28" s="39">
        <v>8</v>
      </c>
      <c r="G28" s="39">
        <v>6</v>
      </c>
      <c r="H28" s="39">
        <v>9</v>
      </c>
      <c r="I28" s="39">
        <v>11</v>
      </c>
      <c r="J28" s="39">
        <v>9</v>
      </c>
      <c r="K28" s="39">
        <v>10</v>
      </c>
      <c r="L28" s="39">
        <v>10</v>
      </c>
      <c r="M28" s="39">
        <v>10</v>
      </c>
      <c r="N28" s="39">
        <v>9.5</v>
      </c>
      <c r="O28" s="39">
        <v>9</v>
      </c>
      <c r="P28" s="39">
        <v>12</v>
      </c>
      <c r="Q28" s="39">
        <v>9</v>
      </c>
      <c r="R28" s="39" t="s">
        <v>194</v>
      </c>
    </row>
    <row r="29" spans="1:18" s="5" customFormat="1" ht="25.5">
      <c r="A29" s="4" t="s">
        <v>38</v>
      </c>
      <c r="C29" s="5">
        <f t="shared" ref="C29:Q29" si="3">C27*C28</f>
        <v>864317.27369845368</v>
      </c>
      <c r="D29" s="5">
        <f t="shared" si="3"/>
        <v>93913.038705154642</v>
      </c>
      <c r="E29" s="5">
        <f t="shared" si="3"/>
        <v>130597.34103092784</v>
      </c>
      <c r="F29" s="5">
        <f t="shared" si="3"/>
        <v>344244.12371134025</v>
      </c>
      <c r="G29" s="5">
        <f t="shared" si="3"/>
        <v>56054.237938144346</v>
      </c>
      <c r="H29" s="5">
        <f t="shared" si="3"/>
        <v>86094.215257731965</v>
      </c>
      <c r="I29" s="5">
        <f t="shared" si="3"/>
        <v>82633.850721649476</v>
      </c>
      <c r="J29" s="5">
        <f t="shared" si="3"/>
        <v>110785.68185567012</v>
      </c>
      <c r="K29" s="5">
        <f t="shared" si="3"/>
        <v>36871.9793814433</v>
      </c>
      <c r="L29" s="5">
        <f t="shared" si="3"/>
        <v>9908.4789278350509</v>
      </c>
      <c r="M29" s="5">
        <f t="shared" si="3"/>
        <v>3000000</v>
      </c>
      <c r="N29" s="5">
        <f t="shared" si="3"/>
        <v>59474.434639175255</v>
      </c>
      <c r="O29" s="5">
        <f t="shared" si="3"/>
        <v>238546.39175257733</v>
      </c>
      <c r="P29" s="5">
        <f t="shared" si="3"/>
        <v>91352.902268041245</v>
      </c>
      <c r="Q29" s="5">
        <f t="shared" si="3"/>
        <v>90635.381443298975</v>
      </c>
      <c r="R29" s="5" t="s">
        <v>195</v>
      </c>
    </row>
    <row r="30" spans="1:18" ht="25.5">
      <c r="A30" s="7" t="s">
        <v>87</v>
      </c>
      <c r="C30" s="8">
        <f>C27/M27</f>
        <v>0.28280319793814435</v>
      </c>
      <c r="D30" s="8">
        <f>D27/M27</f>
        <v>2.6086955195876289E-2</v>
      </c>
      <c r="E30" s="8">
        <f>E27/M27</f>
        <v>3.6277039175257736E-2</v>
      </c>
      <c r="F30" s="8">
        <f>F27/M27</f>
        <v>0.14343505154639177</v>
      </c>
      <c r="G30" s="8">
        <f>G27/M27</f>
        <v>3.1141243298969081E-2</v>
      </c>
      <c r="H30" s="8">
        <f>H27/M27</f>
        <v>3.1886746391752582E-2</v>
      </c>
      <c r="I30" s="8">
        <f>I27/M27</f>
        <v>2.5040560824742267E-2</v>
      </c>
      <c r="J30" s="8">
        <f>J27/M27</f>
        <v>4.1031734020618563E-2</v>
      </c>
      <c r="K30" s="8">
        <f>K27/M27</f>
        <v>1.2290659793814435E-2</v>
      </c>
      <c r="L30" s="8">
        <f>L27/M27</f>
        <v>3.3028263092783504E-3</v>
      </c>
      <c r="M30" s="8">
        <v>1</v>
      </c>
      <c r="N30" s="8">
        <f>N27/M27</f>
        <v>2.0868222680412371E-2</v>
      </c>
      <c r="O30" s="8">
        <f>O27/M27</f>
        <v>8.8350515463917534E-2</v>
      </c>
      <c r="P30" s="8">
        <f>P27/M27</f>
        <v>2.5375806185567014E-2</v>
      </c>
      <c r="Q30" s="8">
        <f>Q27/M27</f>
        <v>3.3568659793814432E-2</v>
      </c>
      <c r="R30" s="5" t="s">
        <v>196</v>
      </c>
    </row>
    <row r="31" spans="1:18" ht="25.5">
      <c r="A31" s="3" t="s">
        <v>88</v>
      </c>
      <c r="C31" s="8">
        <f>C29/M29</f>
        <v>0.28810575789948456</v>
      </c>
      <c r="D31" s="8">
        <f>D29/M29</f>
        <v>3.1304346235051544E-2</v>
      </c>
      <c r="E31" s="8">
        <f>E29/M29</f>
        <v>4.3532447010309283E-2</v>
      </c>
      <c r="F31" s="8">
        <f>F29/M29</f>
        <v>0.11474804123711342</v>
      </c>
      <c r="G31" s="8">
        <f>G29/M29</f>
        <v>1.868474597938145E-2</v>
      </c>
      <c r="H31" s="8">
        <f>H29/M29</f>
        <v>2.8698071752577322E-2</v>
      </c>
      <c r="I31" s="8">
        <f>I29/M29</f>
        <v>2.7544616907216494E-2</v>
      </c>
      <c r="J31" s="8">
        <f>J29/M29</f>
        <v>3.6928560618556705E-2</v>
      </c>
      <c r="K31" s="8">
        <f>K29/M29</f>
        <v>1.2290659793814433E-2</v>
      </c>
      <c r="L31" s="8">
        <f>L29/M29</f>
        <v>3.3028263092783504E-3</v>
      </c>
      <c r="M31" s="8">
        <f>M29/M29</f>
        <v>1</v>
      </c>
      <c r="N31" s="8">
        <f>N29/M29</f>
        <v>1.9824811546391752E-2</v>
      </c>
      <c r="O31" s="8">
        <f>O29/M29</f>
        <v>7.9515463917525772E-2</v>
      </c>
      <c r="P31" s="8">
        <f>P29/M29</f>
        <v>3.0450967422680414E-2</v>
      </c>
      <c r="Q31" s="8">
        <f>Q29/M29</f>
        <v>3.021179381443299E-2</v>
      </c>
      <c r="R31" s="5" t="s">
        <v>197</v>
      </c>
    </row>
    <row r="32" spans="1:18" s="13" customFormat="1" ht="13.5" thickBot="1">
      <c r="A32" s="12"/>
    </row>
    <row r="33" spans="1:18" s="15" customFormat="1" ht="13.5" thickTop="1">
      <c r="A33" s="669" t="s">
        <v>72</v>
      </c>
      <c r="B33" s="669"/>
      <c r="C33" s="669"/>
      <c r="D33" s="669"/>
      <c r="E33" s="669"/>
      <c r="F33" s="669"/>
      <c r="G33" s="669"/>
      <c r="H33" s="669"/>
      <c r="I33" s="669"/>
      <c r="J33" s="669"/>
      <c r="K33" s="669"/>
      <c r="L33" s="669"/>
      <c r="M33" s="669"/>
      <c r="N33" s="669"/>
      <c r="O33" s="669"/>
      <c r="P33" s="669"/>
    </row>
    <row r="34" spans="1:18" s="15" customFormat="1">
      <c r="A34" s="14"/>
    </row>
    <row r="35" spans="1:18" s="39" customFormat="1" ht="25.5">
      <c r="A35" s="38" t="s">
        <v>60</v>
      </c>
      <c r="D35" s="39">
        <f>D23*(1+D26)</f>
        <v>14.845360824742269</v>
      </c>
      <c r="E35" s="39">
        <f t="shared" ref="E35:M35" si="4">E23*(1+E26)</f>
        <v>13.608247422680414</v>
      </c>
      <c r="F35" s="39">
        <f t="shared" si="4"/>
        <v>15.463917525773196</v>
      </c>
      <c r="G35" s="39">
        <f t="shared" si="4"/>
        <v>16.082474226804123</v>
      </c>
      <c r="H35" s="39">
        <f t="shared" si="4"/>
        <v>15.4639175257732</v>
      </c>
      <c r="I35" s="39">
        <f t="shared" si="4"/>
        <v>19.793814432989691</v>
      </c>
      <c r="J35" s="39">
        <f t="shared" si="4"/>
        <v>15.463917525773196</v>
      </c>
      <c r="K35" s="39">
        <f t="shared" si="4"/>
        <v>15.463917525773196</v>
      </c>
      <c r="L35" s="39">
        <f t="shared" si="4"/>
        <v>14.845360824742269</v>
      </c>
      <c r="M35" s="39">
        <f t="shared" si="4"/>
        <v>15.414432989690724</v>
      </c>
      <c r="N35" s="40">
        <f>K35</f>
        <v>15.463917525773196</v>
      </c>
      <c r="O35" s="40">
        <f>F35</f>
        <v>15.463917525773196</v>
      </c>
      <c r="P35" s="39">
        <f>E35</f>
        <v>13.608247422680414</v>
      </c>
      <c r="Q35" s="39">
        <f>H35</f>
        <v>15.4639175257732</v>
      </c>
      <c r="R35" s="39" t="s">
        <v>198</v>
      </c>
    </row>
    <row r="36" spans="1:18" s="39" customFormat="1" ht="25.5">
      <c r="A36" s="38" t="s">
        <v>84</v>
      </c>
      <c r="B36" s="39">
        <f>'Hypotheses - Assumptions'!I18</f>
        <v>15</v>
      </c>
      <c r="C36" s="39">
        <f>B36</f>
        <v>15</v>
      </c>
      <c r="D36" s="39">
        <f>C36</f>
        <v>15</v>
      </c>
      <c r="E36" s="44">
        <f t="shared" ref="E36:Q36" si="5">D36</f>
        <v>15</v>
      </c>
      <c r="F36" s="44">
        <f t="shared" si="5"/>
        <v>15</v>
      </c>
      <c r="G36" s="44">
        <f t="shared" si="5"/>
        <v>15</v>
      </c>
      <c r="H36" s="44">
        <f t="shared" si="5"/>
        <v>15</v>
      </c>
      <c r="I36" s="44">
        <f t="shared" si="5"/>
        <v>15</v>
      </c>
      <c r="J36" s="44">
        <f t="shared" si="5"/>
        <v>15</v>
      </c>
      <c r="K36" s="44">
        <f t="shared" si="5"/>
        <v>15</v>
      </c>
      <c r="L36" s="44">
        <f t="shared" si="5"/>
        <v>15</v>
      </c>
      <c r="M36" s="44">
        <f t="shared" si="5"/>
        <v>15</v>
      </c>
      <c r="N36" s="44">
        <f t="shared" si="5"/>
        <v>15</v>
      </c>
      <c r="O36" s="44">
        <f t="shared" si="5"/>
        <v>15</v>
      </c>
      <c r="P36" s="44">
        <f t="shared" si="5"/>
        <v>15</v>
      </c>
      <c r="Q36" s="44">
        <f t="shared" si="5"/>
        <v>15</v>
      </c>
      <c r="R36" s="39" t="s">
        <v>199</v>
      </c>
    </row>
    <row r="37" spans="1:18" s="39" customFormat="1">
      <c r="A37" s="38" t="s">
        <v>83</v>
      </c>
      <c r="D37" s="39">
        <f>D35*10</f>
        <v>148.45360824742269</v>
      </c>
      <c r="E37" s="39">
        <f>E35*E36</f>
        <v>204.1237113402062</v>
      </c>
      <c r="F37" s="39">
        <f t="shared" ref="F37:Q37" si="6">F35*F36</f>
        <v>231.95876288659795</v>
      </c>
      <c r="G37" s="39">
        <f t="shared" si="6"/>
        <v>241.23711340206185</v>
      </c>
      <c r="H37" s="39">
        <f t="shared" si="6"/>
        <v>231.95876288659798</v>
      </c>
      <c r="I37" s="39">
        <f t="shared" si="6"/>
        <v>296.90721649484539</v>
      </c>
      <c r="J37" s="39">
        <f t="shared" si="6"/>
        <v>231.95876288659795</v>
      </c>
      <c r="K37" s="39">
        <f t="shared" si="6"/>
        <v>231.95876288659795</v>
      </c>
      <c r="L37" s="39">
        <f t="shared" si="6"/>
        <v>222.68041237113403</v>
      </c>
      <c r="M37" s="39">
        <f t="shared" si="6"/>
        <v>231.21649484536084</v>
      </c>
      <c r="N37" s="39">
        <f t="shared" si="6"/>
        <v>231.95876288659795</v>
      </c>
      <c r="O37" s="39">
        <f t="shared" si="6"/>
        <v>231.95876288659795</v>
      </c>
      <c r="P37" s="39">
        <f t="shared" si="6"/>
        <v>204.1237113402062</v>
      </c>
      <c r="Q37" s="39">
        <f t="shared" si="6"/>
        <v>231.95876288659798</v>
      </c>
      <c r="R37" s="39" t="s">
        <v>200</v>
      </c>
    </row>
    <row r="38" spans="1:18" s="39" customFormat="1" ht="25.5">
      <c r="A38" s="38" t="s">
        <v>61</v>
      </c>
      <c r="D38" s="39">
        <f t="shared" ref="D38:M38" si="7">D22*(1+D26)</f>
        <v>14.226804123711341</v>
      </c>
      <c r="E38" s="39">
        <f t="shared" si="7"/>
        <v>14.845360824742269</v>
      </c>
      <c r="F38" s="39">
        <f t="shared" si="7"/>
        <v>14.845360824742269</v>
      </c>
      <c r="G38" s="39">
        <f t="shared" si="7"/>
        <v>15.463917525773196</v>
      </c>
      <c r="H38" s="39">
        <f t="shared" si="7"/>
        <v>14.845360824742272</v>
      </c>
      <c r="I38" s="39">
        <f t="shared" si="7"/>
        <v>16.082474226804123</v>
      </c>
      <c r="J38" s="39">
        <f t="shared" si="7"/>
        <v>14.845360824742269</v>
      </c>
      <c r="K38" s="39">
        <f t="shared" si="7"/>
        <v>11.134020618556701</v>
      </c>
      <c r="L38" s="39">
        <f t="shared" si="7"/>
        <v>9.8969072164948457</v>
      </c>
      <c r="M38" s="39">
        <f t="shared" si="7"/>
        <v>13.670103092783506</v>
      </c>
      <c r="N38" s="40">
        <f>K38</f>
        <v>11.134020618556701</v>
      </c>
      <c r="O38" s="40">
        <f>F38</f>
        <v>14.845360824742269</v>
      </c>
      <c r="P38" s="39">
        <f>E38</f>
        <v>14.845360824742269</v>
      </c>
      <c r="Q38" s="39">
        <f>H38</f>
        <v>14.845360824742272</v>
      </c>
      <c r="R38" s="39" t="s">
        <v>201</v>
      </c>
    </row>
    <row r="39" spans="1:18" s="39" customFormat="1">
      <c r="A39" s="38" t="s">
        <v>85</v>
      </c>
      <c r="B39" s="39">
        <f>'Hypotheses - Assumptions'!I20</f>
        <v>60</v>
      </c>
      <c r="C39" s="39">
        <f>B39</f>
        <v>60</v>
      </c>
      <c r="D39" s="39">
        <f>C39</f>
        <v>60</v>
      </c>
      <c r="E39" s="64">
        <f t="shared" ref="E39:Q39" si="8">D39</f>
        <v>60</v>
      </c>
      <c r="F39" s="64">
        <f t="shared" si="8"/>
        <v>60</v>
      </c>
      <c r="G39" s="64">
        <f t="shared" si="8"/>
        <v>60</v>
      </c>
      <c r="H39" s="64">
        <f t="shared" si="8"/>
        <v>60</v>
      </c>
      <c r="I39" s="64">
        <f t="shared" si="8"/>
        <v>60</v>
      </c>
      <c r="J39" s="64">
        <f t="shared" si="8"/>
        <v>60</v>
      </c>
      <c r="K39" s="64">
        <f t="shared" si="8"/>
        <v>60</v>
      </c>
      <c r="L39" s="64">
        <f t="shared" si="8"/>
        <v>60</v>
      </c>
      <c r="M39" s="64">
        <f t="shared" si="8"/>
        <v>60</v>
      </c>
      <c r="N39" s="64">
        <f t="shared" si="8"/>
        <v>60</v>
      </c>
      <c r="O39" s="64">
        <f t="shared" si="8"/>
        <v>60</v>
      </c>
      <c r="P39" s="64">
        <f t="shared" si="8"/>
        <v>60</v>
      </c>
      <c r="Q39" s="64">
        <f t="shared" si="8"/>
        <v>60</v>
      </c>
      <c r="R39" s="39" t="s">
        <v>202</v>
      </c>
    </row>
    <row r="40" spans="1:18" s="42" customFormat="1" ht="13.5" thickBot="1">
      <c r="A40" s="41" t="s">
        <v>86</v>
      </c>
      <c r="D40" s="42">
        <f>60*D38</f>
        <v>853.60824742268051</v>
      </c>
      <c r="E40" s="42">
        <f>E38*E39</f>
        <v>890.7216494845361</v>
      </c>
      <c r="F40" s="42">
        <f t="shared" ref="F40:Q40" si="9">F38*F39</f>
        <v>890.7216494845361</v>
      </c>
      <c r="G40" s="42">
        <f t="shared" si="9"/>
        <v>927.83505154639181</v>
      </c>
      <c r="H40" s="42">
        <f t="shared" si="9"/>
        <v>890.72164948453633</v>
      </c>
      <c r="I40" s="42">
        <f t="shared" si="9"/>
        <v>964.94845360824741</v>
      </c>
      <c r="J40" s="42">
        <f t="shared" si="9"/>
        <v>890.7216494845361</v>
      </c>
      <c r="K40" s="42">
        <f t="shared" si="9"/>
        <v>668.04123711340208</v>
      </c>
      <c r="L40" s="42">
        <f t="shared" si="9"/>
        <v>593.81443298969077</v>
      </c>
      <c r="M40" s="42">
        <f t="shared" si="9"/>
        <v>820.20618556701038</v>
      </c>
      <c r="N40" s="42">
        <f t="shared" si="9"/>
        <v>668.04123711340208</v>
      </c>
      <c r="O40" s="42">
        <f t="shared" si="9"/>
        <v>890.7216494845361</v>
      </c>
      <c r="P40" s="42">
        <f t="shared" si="9"/>
        <v>890.7216494845361</v>
      </c>
      <c r="Q40" s="42">
        <f t="shared" si="9"/>
        <v>890.72164948453633</v>
      </c>
      <c r="R40" s="42" t="s">
        <v>203</v>
      </c>
    </row>
    <row r="41" spans="1:18" s="15" customFormat="1" ht="13.5" thickTop="1">
      <c r="A41" s="669" t="s">
        <v>73</v>
      </c>
      <c r="B41" s="669"/>
      <c r="C41" s="669"/>
      <c r="D41" s="669"/>
      <c r="E41" s="669"/>
      <c r="F41" s="669"/>
      <c r="G41" s="669"/>
      <c r="H41" s="669"/>
      <c r="I41" s="669"/>
      <c r="J41" s="669"/>
      <c r="K41" s="669"/>
      <c r="L41" s="669"/>
      <c r="M41" s="669"/>
      <c r="N41" s="669"/>
      <c r="O41" s="669"/>
      <c r="P41" s="669"/>
    </row>
    <row r="42" spans="1:18" s="15" customFormat="1">
      <c r="A42" s="14"/>
    </row>
    <row r="43" spans="1:18" s="39" customFormat="1" ht="25.5">
      <c r="A43" s="38" t="s">
        <v>45</v>
      </c>
      <c r="D43" s="39">
        <f t="shared" ref="D43:Q43" si="10">D40+D37+(D25*D28)</f>
        <v>1367.4061855670104</v>
      </c>
      <c r="E43" s="39">
        <f t="shared" si="10"/>
        <v>1272.9896907216496</v>
      </c>
      <c r="F43" s="39">
        <f t="shared" si="10"/>
        <v>1221.6494845360826</v>
      </c>
      <c r="G43" s="39">
        <f t="shared" si="10"/>
        <v>1235.876288659794</v>
      </c>
      <c r="H43" s="39">
        <f t="shared" si="10"/>
        <v>1211.7525773195878</v>
      </c>
      <c r="I43" s="39">
        <f t="shared" si="10"/>
        <v>1384.3298969072164</v>
      </c>
      <c r="J43" s="39">
        <f t="shared" si="10"/>
        <v>1200.6185567010309</v>
      </c>
      <c r="K43" s="39">
        <f t="shared" si="10"/>
        <v>974.2268041237113</v>
      </c>
      <c r="L43" s="39">
        <f t="shared" si="10"/>
        <v>842.84536082474233</v>
      </c>
      <c r="M43" s="39">
        <f t="shared" si="10"/>
        <v>1171.4226804123712</v>
      </c>
      <c r="N43" s="39">
        <f t="shared" si="10"/>
        <v>970.51546391752572</v>
      </c>
      <c r="O43" s="39">
        <f t="shared" si="10"/>
        <v>1234.020618556701</v>
      </c>
      <c r="P43" s="39">
        <f t="shared" si="10"/>
        <v>1228.4536082474228</v>
      </c>
      <c r="Q43" s="39">
        <f t="shared" si="10"/>
        <v>1211.7525773195878</v>
      </c>
    </row>
    <row r="44" spans="1:18" s="20" customFormat="1" ht="25.5">
      <c r="A44" s="19" t="s">
        <v>46</v>
      </c>
      <c r="D44" s="20">
        <f>D43/14320</f>
        <v>9.5489258768645974E-2</v>
      </c>
      <c r="E44" s="20">
        <f t="shared" ref="E44:Q44" si="11">E43/14320</f>
        <v>8.8895928123020218E-2</v>
      </c>
      <c r="F44" s="20">
        <f t="shared" si="11"/>
        <v>8.5310718193860519E-2</v>
      </c>
      <c r="G44" s="20">
        <f t="shared" si="11"/>
        <v>8.630421010194092E-2</v>
      </c>
      <c r="H44" s="20">
        <f t="shared" si="11"/>
        <v>8.4619593388239364E-2</v>
      </c>
      <c r="I44" s="20">
        <f t="shared" si="11"/>
        <v>9.6671082186258125E-2</v>
      </c>
      <c r="J44" s="20">
        <f t="shared" si="11"/>
        <v>8.3842077981915564E-2</v>
      </c>
      <c r="K44" s="20">
        <f t="shared" si="11"/>
        <v>6.8032598053331797E-2</v>
      </c>
      <c r="L44" s="20">
        <f t="shared" si="11"/>
        <v>5.8857916258711056E-2</v>
      </c>
      <c r="M44" s="20">
        <f t="shared" si="11"/>
        <v>8.1803259805333178E-2</v>
      </c>
      <c r="N44" s="20">
        <f t="shared" si="11"/>
        <v>6.7773426251223859E-2</v>
      </c>
      <c r="O44" s="20">
        <f t="shared" si="11"/>
        <v>8.6174624200886937E-2</v>
      </c>
      <c r="P44" s="20">
        <f t="shared" si="11"/>
        <v>8.5785866497725058E-2</v>
      </c>
      <c r="Q44" s="20">
        <f t="shared" si="11"/>
        <v>8.4619593388239364E-2</v>
      </c>
    </row>
    <row r="45" spans="1:18" s="20" customFormat="1">
      <c r="A45" s="19" t="s">
        <v>42</v>
      </c>
      <c r="D45" s="20">
        <f t="shared" ref="D45:Q45" si="12">D40/(D40+D37+(D25*D28))</f>
        <v>0.62425360981435241</v>
      </c>
      <c r="E45" s="20">
        <f t="shared" si="12"/>
        <v>0.69970845481049559</v>
      </c>
      <c r="F45" s="20">
        <f t="shared" si="12"/>
        <v>0.72911392405063291</v>
      </c>
      <c r="G45" s="20">
        <f t="shared" si="12"/>
        <v>0.75075075075075071</v>
      </c>
      <c r="H45" s="20">
        <f t="shared" si="12"/>
        <v>0.73506891271056674</v>
      </c>
      <c r="I45" s="20">
        <f t="shared" si="12"/>
        <v>0.69705093833780163</v>
      </c>
      <c r="J45" s="20">
        <f t="shared" si="12"/>
        <v>0.74188562596599694</v>
      </c>
      <c r="K45" s="20">
        <f t="shared" si="12"/>
        <v>0.68571428571428572</v>
      </c>
      <c r="L45" s="20">
        <f t="shared" si="12"/>
        <v>0.70453544693967418</v>
      </c>
      <c r="M45" s="20">
        <f t="shared" si="12"/>
        <v>0.70017953321364457</v>
      </c>
      <c r="N45" s="20">
        <f t="shared" si="12"/>
        <v>0.68833652007648194</v>
      </c>
      <c r="O45" s="20">
        <f t="shared" si="12"/>
        <v>0.72180451127819545</v>
      </c>
      <c r="P45" s="20">
        <f t="shared" si="12"/>
        <v>0.7250755287009063</v>
      </c>
      <c r="Q45" s="20">
        <f t="shared" si="12"/>
        <v>0.73506891271056674</v>
      </c>
    </row>
    <row r="46" spans="1:18" s="20" customFormat="1">
      <c r="A46" s="19" t="s">
        <v>43</v>
      </c>
      <c r="D46" s="20">
        <f t="shared" ref="D46:Q46" si="13">D37/(D37+D40+(D25*D28))</f>
        <v>0.10856584518510477</v>
      </c>
      <c r="E46" s="20">
        <f t="shared" si="13"/>
        <v>0.16034985422740525</v>
      </c>
      <c r="F46" s="20">
        <f t="shared" si="13"/>
        <v>0.18987341772151897</v>
      </c>
      <c r="G46" s="20">
        <f t="shared" si="13"/>
        <v>0.19519519519519515</v>
      </c>
      <c r="H46" s="20">
        <f t="shared" si="13"/>
        <v>0.19142419601837674</v>
      </c>
      <c r="I46" s="20">
        <f t="shared" si="13"/>
        <v>0.21447721179624668</v>
      </c>
      <c r="J46" s="20">
        <f t="shared" si="13"/>
        <v>0.19319938176197837</v>
      </c>
      <c r="K46" s="20">
        <f t="shared" si="13"/>
        <v>0.23809523809523811</v>
      </c>
      <c r="L46" s="20">
        <f t="shared" si="13"/>
        <v>0.26420079260237778</v>
      </c>
      <c r="M46" s="20">
        <f t="shared" si="13"/>
        <v>0.19738092723624459</v>
      </c>
      <c r="N46" s="20">
        <f t="shared" si="13"/>
        <v>0.23900573613766732</v>
      </c>
      <c r="O46" s="20">
        <f t="shared" si="13"/>
        <v>0.18796992481203009</v>
      </c>
      <c r="P46" s="20">
        <f t="shared" si="13"/>
        <v>0.16616314199395768</v>
      </c>
      <c r="Q46" s="20">
        <f t="shared" si="13"/>
        <v>0.19142419601837674</v>
      </c>
    </row>
    <row r="47" spans="1:18" s="22" customFormat="1" ht="13.5" thickBot="1">
      <c r="A47" s="21" t="s">
        <v>44</v>
      </c>
      <c r="D47" s="22">
        <f t="shared" ref="D47:Q47" si="14">(D25*D28)/((D25*D28)+D40+D37)</f>
        <v>0.26718054500054284</v>
      </c>
      <c r="E47" s="22">
        <f t="shared" si="14"/>
        <v>0.1399416909620991</v>
      </c>
      <c r="F47" s="22">
        <f t="shared" si="14"/>
        <v>8.1012658227848103E-2</v>
      </c>
      <c r="G47" s="22">
        <f t="shared" si="14"/>
        <v>5.4054054054054064E-2</v>
      </c>
      <c r="H47" s="22">
        <f t="shared" si="14"/>
        <v>7.350689127105664E-2</v>
      </c>
      <c r="I47" s="22">
        <f t="shared" si="14"/>
        <v>8.8471849865951732E-2</v>
      </c>
      <c r="J47" s="22">
        <f t="shared" si="14"/>
        <v>6.4914992272024741E-2</v>
      </c>
      <c r="K47" s="22">
        <f t="shared" si="14"/>
        <v>7.6190476190476197E-2</v>
      </c>
      <c r="L47" s="22">
        <f t="shared" si="14"/>
        <v>3.1263760457948035E-2</v>
      </c>
      <c r="M47" s="22">
        <f t="shared" si="14"/>
        <v>0.10243953955011088</v>
      </c>
      <c r="N47" s="22">
        <f t="shared" si="14"/>
        <v>7.2657743785850867E-2</v>
      </c>
      <c r="O47" s="22">
        <f t="shared" si="14"/>
        <v>9.0225563909774431E-2</v>
      </c>
      <c r="P47" s="22">
        <f t="shared" si="14"/>
        <v>0.10876132930513592</v>
      </c>
      <c r="Q47" s="22">
        <f t="shared" si="14"/>
        <v>7.350689127105664E-2</v>
      </c>
    </row>
    <row r="48" spans="1:18" ht="51" customHeight="1" thickTop="1">
      <c r="A48" s="670" t="s">
        <v>116</v>
      </c>
      <c r="B48" s="670"/>
      <c r="C48" s="670"/>
      <c r="D48" s="670"/>
      <c r="E48" s="670"/>
      <c r="F48" s="670"/>
      <c r="G48" s="670"/>
      <c r="H48" s="670"/>
      <c r="I48" s="670"/>
      <c r="J48" s="670"/>
      <c r="K48" s="670"/>
      <c r="L48" s="670"/>
      <c r="M48" s="670"/>
      <c r="N48" s="670"/>
      <c r="O48" s="670"/>
      <c r="P48" s="670"/>
      <c r="Q48" s="670"/>
    </row>
    <row r="49" spans="1:18" ht="33.75" customHeight="1">
      <c r="A49" s="57" t="s">
        <v>113</v>
      </c>
      <c r="B49" s="58">
        <v>0.1</v>
      </c>
      <c r="C49" s="56"/>
      <c r="D49" s="56"/>
      <c r="E49" s="56"/>
      <c r="F49" s="56"/>
      <c r="G49" s="56"/>
      <c r="H49" s="56"/>
      <c r="I49" s="56"/>
      <c r="J49" s="56"/>
      <c r="K49" s="56"/>
      <c r="L49" s="56"/>
      <c r="M49" s="56"/>
      <c r="N49" s="56"/>
      <c r="O49" s="56"/>
      <c r="P49" s="56"/>
      <c r="Q49" s="56"/>
    </row>
    <row r="50" spans="1:18" ht="29.25" customHeight="1">
      <c r="A50" s="57" t="s">
        <v>114</v>
      </c>
      <c r="B50" s="58">
        <v>0.2</v>
      </c>
      <c r="C50" s="56"/>
      <c r="D50" s="56"/>
      <c r="E50" s="56"/>
      <c r="F50" s="56"/>
      <c r="G50" s="56"/>
      <c r="H50" s="56"/>
      <c r="I50" s="56"/>
      <c r="J50" s="56"/>
      <c r="K50" s="56"/>
      <c r="L50" s="56"/>
      <c r="M50" s="56"/>
      <c r="N50" s="56"/>
      <c r="O50" s="56"/>
      <c r="P50" s="56"/>
      <c r="Q50" s="56"/>
    </row>
    <row r="51" spans="1:18" ht="33.75" customHeight="1">
      <c r="A51" s="57" t="s">
        <v>115</v>
      </c>
      <c r="B51" s="58">
        <f>'Hypotheses - Assumptions'!I29</f>
        <v>0.5</v>
      </c>
      <c r="C51" s="56"/>
      <c r="D51" s="56"/>
      <c r="E51" s="56"/>
      <c r="F51" s="56"/>
      <c r="G51" s="56"/>
      <c r="H51" s="56"/>
      <c r="I51" s="56"/>
      <c r="J51" s="56"/>
      <c r="K51" s="56"/>
      <c r="L51" s="56"/>
      <c r="M51" s="56"/>
      <c r="N51" s="56"/>
      <c r="O51" s="56"/>
      <c r="P51" s="56"/>
      <c r="Q51" s="56"/>
    </row>
    <row r="52" spans="1:18" ht="25.5">
      <c r="A52" s="3" t="s">
        <v>74</v>
      </c>
      <c r="D52" s="8">
        <v>0</v>
      </c>
      <c r="E52" s="8">
        <f>B49</f>
        <v>0.1</v>
      </c>
      <c r="F52" s="8">
        <v>0</v>
      </c>
      <c r="G52" s="8">
        <v>0</v>
      </c>
      <c r="H52" s="8">
        <v>0</v>
      </c>
      <c r="I52" s="8">
        <f>B50</f>
        <v>0.2</v>
      </c>
      <c r="J52" s="8">
        <f>B51</f>
        <v>0.5</v>
      </c>
      <c r="K52" s="8">
        <f>B51</f>
        <v>0.5</v>
      </c>
      <c r="L52" s="8">
        <v>0</v>
      </c>
      <c r="M52" s="8"/>
      <c r="N52" s="8">
        <f>B51</f>
        <v>0.5</v>
      </c>
      <c r="O52" s="8">
        <f>B50</f>
        <v>0.2</v>
      </c>
      <c r="P52" s="8">
        <f>B50</f>
        <v>0.2</v>
      </c>
      <c r="Q52" s="8">
        <f>B51</f>
        <v>0.5</v>
      </c>
    </row>
    <row r="53" spans="1:18" s="5" customFormat="1" ht="25.5">
      <c r="A53" s="6" t="s">
        <v>75</v>
      </c>
      <c r="D53" s="5">
        <f t="shared" ref="D53:L53" si="15">D25*(1+D52)</f>
        <v>30.44536082474227</v>
      </c>
      <c r="E53" s="5">
        <f t="shared" si="15"/>
        <v>16.329896907216497</v>
      </c>
      <c r="F53" s="5">
        <f t="shared" si="15"/>
        <v>12.371134020618557</v>
      </c>
      <c r="G53" s="5">
        <f t="shared" si="15"/>
        <v>11.134020618556704</v>
      </c>
      <c r="H53" s="5">
        <f t="shared" si="15"/>
        <v>9.8969072164948457</v>
      </c>
      <c r="I53" s="5">
        <f t="shared" si="15"/>
        <v>13.36082474226804</v>
      </c>
      <c r="J53" s="5">
        <f t="shared" si="15"/>
        <v>12.989690721649486</v>
      </c>
      <c r="K53" s="5">
        <f t="shared" si="15"/>
        <v>11.134020618556701</v>
      </c>
      <c r="L53" s="5">
        <f t="shared" si="15"/>
        <v>2.6350515463917525</v>
      </c>
      <c r="N53" s="5">
        <f>N25*(1+N52)</f>
        <v>11.134020618556701</v>
      </c>
      <c r="O53" s="5">
        <f>O25*(1+O52)</f>
        <v>14.845360824742269</v>
      </c>
      <c r="P53" s="5">
        <f>P25*(1+P52)</f>
        <v>13.36082474226804</v>
      </c>
      <c r="Q53" s="5">
        <f>Q25*(1+Q52)</f>
        <v>14.845360824742269</v>
      </c>
    </row>
    <row r="54" spans="1:18" s="5" customFormat="1" ht="25.5">
      <c r="A54" s="6" t="s">
        <v>124</v>
      </c>
      <c r="D54" s="5">
        <f t="shared" ref="D54:L54" si="16">D53*D18</f>
        <v>7826.0865587628869</v>
      </c>
      <c r="E54" s="5">
        <f t="shared" si="16"/>
        <v>11971.422927835054</v>
      </c>
      <c r="F54" s="5">
        <f t="shared" si="16"/>
        <v>43030.515463917531</v>
      </c>
      <c r="G54" s="5">
        <f t="shared" si="16"/>
        <v>9342.3729896907244</v>
      </c>
      <c r="H54" s="5">
        <f t="shared" si="16"/>
        <v>9566.0239175257739</v>
      </c>
      <c r="I54" s="5">
        <f t="shared" si="16"/>
        <v>9014.6018969072156</v>
      </c>
      <c r="J54" s="5">
        <f t="shared" si="16"/>
        <v>18464.280309278354</v>
      </c>
      <c r="K54" s="5">
        <f t="shared" si="16"/>
        <v>5530.7969072164942</v>
      </c>
      <c r="L54" s="5">
        <f t="shared" si="16"/>
        <v>990.84789278350513</v>
      </c>
      <c r="N54" s="5">
        <f>N53*N18</f>
        <v>9390.7002061855655</v>
      </c>
      <c r="O54" s="5">
        <f>O53*O18</f>
        <v>31806.18556701031</v>
      </c>
      <c r="P54" s="5">
        <f>P53*P18</f>
        <v>9135.2902268041234</v>
      </c>
      <c r="Q54" s="5">
        <f>Q53*Q18</f>
        <v>15105.896907216495</v>
      </c>
      <c r="R54" s="2"/>
    </row>
    <row r="55" spans="1:18" s="62" customFormat="1">
      <c r="A55" s="61" t="s">
        <v>68</v>
      </c>
      <c r="D55" s="62">
        <f>C18</f>
        <v>8013.2175000000007</v>
      </c>
      <c r="E55" s="62">
        <f>$C18</f>
        <v>8013.2175000000007</v>
      </c>
      <c r="F55" s="62">
        <f t="shared" ref="F55:Q55" si="17">$C18</f>
        <v>8013.2175000000007</v>
      </c>
      <c r="G55" s="62">
        <f t="shared" si="17"/>
        <v>8013.2175000000007</v>
      </c>
      <c r="H55" s="62">
        <f t="shared" si="17"/>
        <v>8013.2175000000007</v>
      </c>
      <c r="I55" s="62">
        <f t="shared" si="17"/>
        <v>8013.2175000000007</v>
      </c>
      <c r="J55" s="62">
        <f t="shared" si="17"/>
        <v>8013.2175000000007</v>
      </c>
      <c r="K55" s="62">
        <f t="shared" si="17"/>
        <v>8013.2175000000007</v>
      </c>
      <c r="L55" s="62">
        <f t="shared" si="17"/>
        <v>8013.2175000000007</v>
      </c>
      <c r="M55" s="62">
        <f t="shared" si="17"/>
        <v>8013.2175000000007</v>
      </c>
      <c r="N55" s="62">
        <f t="shared" si="17"/>
        <v>8013.2175000000007</v>
      </c>
      <c r="O55" s="62">
        <f t="shared" si="17"/>
        <v>8013.2175000000007</v>
      </c>
      <c r="P55" s="62">
        <f t="shared" si="17"/>
        <v>8013.2175000000007</v>
      </c>
      <c r="Q55" s="62">
        <f t="shared" si="17"/>
        <v>8013.2175000000007</v>
      </c>
      <c r="R55" s="63"/>
    </row>
    <row r="56" spans="1:18" ht="25.5">
      <c r="A56" s="7" t="s">
        <v>76</v>
      </c>
      <c r="C56" s="1">
        <f>SUM(E56,I56,J56,K56,N56,O56,P56,Q56)</f>
        <v>13.779630335561665</v>
      </c>
      <c r="D56">
        <f t="shared" ref="D56:L56" si="18">D54/D55</f>
        <v>0.97664721552396228</v>
      </c>
      <c r="E56" s="43">
        <f t="shared" si="18"/>
        <v>1.493959564661143</v>
      </c>
      <c r="F56" s="43">
        <f t="shared" si="18"/>
        <v>5.3699422814765141</v>
      </c>
      <c r="G56" s="43">
        <f t="shared" si="18"/>
        <v>1.1658703872309373</v>
      </c>
      <c r="H56" s="43">
        <f t="shared" si="18"/>
        <v>1.1937806402391764</v>
      </c>
      <c r="I56" s="43">
        <f t="shared" si="18"/>
        <v>1.1249665813897121</v>
      </c>
      <c r="J56" s="43">
        <f t="shared" si="18"/>
        <v>2.3042280219248203</v>
      </c>
      <c r="K56" s="43">
        <f t="shared" si="18"/>
        <v>0.69020925829312552</v>
      </c>
      <c r="L56" s="43">
        <f t="shared" si="18"/>
        <v>0.12365169082001144</v>
      </c>
      <c r="M56" s="43"/>
      <c r="N56" s="43">
        <f>N54/N55</f>
        <v>1.1719013250527102</v>
      </c>
      <c r="O56" s="43">
        <f>O54/O55</f>
        <v>3.969215307959669</v>
      </c>
      <c r="P56" s="43">
        <f>P54/P55</f>
        <v>1.1400277387708648</v>
      </c>
      <c r="Q56" s="43">
        <f>Q54/Q55</f>
        <v>1.8851225375096199</v>
      </c>
      <c r="R56" s="1"/>
    </row>
    <row r="57" spans="1:18" ht="25.5">
      <c r="A57" s="7" t="s">
        <v>77</v>
      </c>
      <c r="B57" s="10" t="s">
        <v>32</v>
      </c>
      <c r="C57" s="10">
        <f>SUM(D57:Q57)</f>
        <v>25578.215567010309</v>
      </c>
      <c r="D57">
        <f t="shared" ref="D57:L57" si="19">D54-D27</f>
        <v>0</v>
      </c>
      <c r="E57">
        <f t="shared" si="19"/>
        <v>1088.3111752577333</v>
      </c>
      <c r="F57">
        <f t="shared" si="19"/>
        <v>0</v>
      </c>
      <c r="G57">
        <f t="shared" si="19"/>
        <v>0</v>
      </c>
      <c r="H57">
        <f t="shared" si="19"/>
        <v>0</v>
      </c>
      <c r="I57">
        <f t="shared" si="19"/>
        <v>1502.4336494845356</v>
      </c>
      <c r="J57">
        <f t="shared" si="19"/>
        <v>6154.7601030927854</v>
      </c>
      <c r="K57">
        <f t="shared" si="19"/>
        <v>1843.598969072164</v>
      </c>
      <c r="L57">
        <f t="shared" si="19"/>
        <v>0</v>
      </c>
      <c r="N57">
        <f>N54-N27</f>
        <v>3130.2334020618546</v>
      </c>
      <c r="O57">
        <f>O54-O27</f>
        <v>5301.0309278350505</v>
      </c>
      <c r="P57">
        <f>P54-P27</f>
        <v>1522.5483711340194</v>
      </c>
      <c r="Q57">
        <f>Q54-Q27</f>
        <v>5035.2989690721643</v>
      </c>
      <c r="R57" s="1"/>
    </row>
    <row r="58" spans="1:18" ht="25.5">
      <c r="A58" s="7" t="s">
        <v>223</v>
      </c>
      <c r="B58" s="120">
        <f>'Value Chain'!$D9-'Value Chain'!$D8</f>
        <v>1.559144772890964</v>
      </c>
      <c r="C58" s="120">
        <f>'Value Chain'!$D9-'Value Chain'!$D8</f>
        <v>1.559144772890964</v>
      </c>
      <c r="D58">
        <f>C58</f>
        <v>1.559144772890964</v>
      </c>
      <c r="E58">
        <f>'Value Chain'!F9-'Value Chain'!F8</f>
        <v>0</v>
      </c>
      <c r="F58">
        <f>'Value Chain'!G9-'Value Chain'!G8</f>
        <v>0</v>
      </c>
      <c r="G58">
        <f>'Value Chain'!H9-'Value Chain'!H8</f>
        <v>0</v>
      </c>
      <c r="H58">
        <f>'Value Chain'!I9-'Value Chain'!I8</f>
        <v>0</v>
      </c>
      <c r="I58">
        <f>'Value Chain'!J9-'Value Chain'!J8</f>
        <v>0</v>
      </c>
      <c r="J58">
        <f>'Value Chain'!K9-'Value Chain'!K8</f>
        <v>1.6</v>
      </c>
      <c r="K58">
        <f>'Value Chain'!L9-'Value Chain'!L8</f>
        <v>1.85</v>
      </c>
      <c r="L58">
        <f>'Value Chain'!M9-'Value Chain'!M8</f>
        <v>0</v>
      </c>
      <c r="N58">
        <f>'Value Chain'!O9-'Value Chain'!O8</f>
        <v>1.85</v>
      </c>
      <c r="O58">
        <f>'Value Chain'!P9-'Value Chain'!P8</f>
        <v>1.2000000000000002</v>
      </c>
      <c r="P58">
        <f>'Value Chain'!Q9-'Value Chain'!Q8</f>
        <v>0</v>
      </c>
      <c r="Q58">
        <f>'Value Chain'!R9-'Value Chain'!R8</f>
        <v>1.6</v>
      </c>
      <c r="R58" s="1"/>
    </row>
    <row r="59" spans="1:18" ht="38.25">
      <c r="A59" s="7" t="s">
        <v>125</v>
      </c>
      <c r="C59" s="1">
        <f>C57*C58/1000</f>
        <v>39.88014110118241</v>
      </c>
      <c r="D59">
        <f>3*D57/1000</f>
        <v>0</v>
      </c>
      <c r="E59">
        <f>E57*E58/1000</f>
        <v>0</v>
      </c>
      <c r="F59">
        <f t="shared" ref="F59:Q59" si="20">F57*F58/1000</f>
        <v>0</v>
      </c>
      <c r="G59">
        <f t="shared" si="20"/>
        <v>0</v>
      </c>
      <c r="H59">
        <f t="shared" si="20"/>
        <v>0</v>
      </c>
      <c r="I59">
        <f t="shared" si="20"/>
        <v>0</v>
      </c>
      <c r="J59">
        <f t="shared" si="20"/>
        <v>9.847616164948457</v>
      </c>
      <c r="K59">
        <f t="shared" si="20"/>
        <v>3.4106580927835033</v>
      </c>
      <c r="L59">
        <f t="shared" si="20"/>
        <v>0</v>
      </c>
      <c r="M59">
        <f>M57*M58/1000</f>
        <v>0</v>
      </c>
      <c r="N59">
        <f t="shared" si="20"/>
        <v>5.7909317938144316</v>
      </c>
      <c r="O59">
        <f t="shared" si="20"/>
        <v>6.3612371134020611</v>
      </c>
      <c r="P59">
        <f t="shared" si="20"/>
        <v>0</v>
      </c>
      <c r="Q59">
        <f t="shared" si="20"/>
        <v>8.0564783505154622</v>
      </c>
      <c r="R59">
        <f>SUM(E59:Q59)</f>
        <v>33.466921515463916</v>
      </c>
    </row>
    <row r="60" spans="1:18">
      <c r="A60" s="3" t="s">
        <v>35</v>
      </c>
      <c r="C60">
        <f>C59/8.36514</f>
        <v>4.7674206410391706</v>
      </c>
      <c r="D60">
        <f>D59/8.36514</f>
        <v>0</v>
      </c>
      <c r="E60">
        <f t="shared" ref="E60:Q60" si="21">E59/8.36514</f>
        <v>0</v>
      </c>
      <c r="F60">
        <f t="shared" si="21"/>
        <v>0</v>
      </c>
      <c r="G60">
        <f t="shared" si="21"/>
        <v>0</v>
      </c>
      <c r="H60">
        <f t="shared" si="21"/>
        <v>0</v>
      </c>
      <c r="I60">
        <f t="shared" si="21"/>
        <v>0</v>
      </c>
      <c r="J60">
        <f t="shared" si="21"/>
        <v>1.1772207237354613</v>
      </c>
      <c r="K60">
        <f t="shared" si="21"/>
        <v>0.40772277484698444</v>
      </c>
      <c r="L60">
        <f t="shared" si="21"/>
        <v>0</v>
      </c>
      <c r="N60">
        <f t="shared" si="21"/>
        <v>0.69226956079807767</v>
      </c>
      <c r="O60">
        <f t="shared" si="21"/>
        <v>0.7604459833788868</v>
      </c>
      <c r="P60">
        <f t="shared" si="21"/>
        <v>0</v>
      </c>
      <c r="Q60">
        <f t="shared" si="21"/>
        <v>0.96310143649902591</v>
      </c>
    </row>
    <row r="61" spans="1:18" ht="25.5">
      <c r="A61" s="3" t="s">
        <v>128</v>
      </c>
      <c r="B61">
        <f>'Hypotheses - Assumptions'!I31</f>
        <v>2</v>
      </c>
      <c r="E61" s="62">
        <f>B61</f>
        <v>2</v>
      </c>
      <c r="F61" s="62"/>
      <c r="G61" s="62"/>
      <c r="H61" s="62"/>
      <c r="I61" s="62">
        <f>E61</f>
        <v>2</v>
      </c>
      <c r="J61" s="62">
        <f>I61</f>
        <v>2</v>
      </c>
      <c r="K61" s="62">
        <f>J61</f>
        <v>2</v>
      </c>
      <c r="L61" s="62"/>
      <c r="M61" s="62"/>
      <c r="N61" s="62">
        <f>K61</f>
        <v>2</v>
      </c>
      <c r="O61" s="62">
        <f>N61</f>
        <v>2</v>
      </c>
      <c r="P61" s="62">
        <f>O61</f>
        <v>2</v>
      </c>
      <c r="Q61" s="62">
        <f>P61</f>
        <v>2</v>
      </c>
    </row>
    <row r="62" spans="1:18" s="8" customFormat="1">
      <c r="A62" s="9" t="s">
        <v>52</v>
      </c>
      <c r="D62" s="8">
        <f>-(D47*D52)/(D45+(2*D46))</f>
        <v>0</v>
      </c>
      <c r="E62" s="8">
        <f>-(E47*E52)/(E45+(E61*E46))</f>
        <v>-1.3714285714285712E-2</v>
      </c>
      <c r="F62" s="8">
        <f t="shared" ref="F62:Q62" si="22">-(F47*F52)/(F45+(F61*F46))</f>
        <v>0</v>
      </c>
      <c r="G62" s="8">
        <f t="shared" si="22"/>
        <v>0</v>
      </c>
      <c r="H62" s="8">
        <f t="shared" si="22"/>
        <v>0</v>
      </c>
      <c r="I62" s="8">
        <f t="shared" si="22"/>
        <v>-1.5714285714285712E-2</v>
      </c>
      <c r="J62" s="8">
        <f t="shared" si="22"/>
        <v>-2.8767123287671236E-2</v>
      </c>
      <c r="K62" s="8">
        <f t="shared" si="22"/>
        <v>-3.2786885245901641E-2</v>
      </c>
      <c r="L62" s="8">
        <f t="shared" si="22"/>
        <v>0</v>
      </c>
      <c r="N62" s="8">
        <f t="shared" si="22"/>
        <v>-3.1147540983606559E-2</v>
      </c>
      <c r="O62" s="8">
        <f t="shared" si="22"/>
        <v>-1.6438356164383564E-2</v>
      </c>
      <c r="P62" s="8">
        <f t="shared" si="22"/>
        <v>-2.057142857142857E-2</v>
      </c>
      <c r="Q62" s="8">
        <f t="shared" si="22"/>
        <v>-3.2876712328767113E-2</v>
      </c>
    </row>
    <row r="63" spans="1:18">
      <c r="A63" s="3" t="s">
        <v>53</v>
      </c>
      <c r="D63">
        <f t="shared" ref="D63:L63" si="23">D38*(1+D62)</f>
        <v>14.226804123711341</v>
      </c>
      <c r="E63">
        <f t="shared" si="23"/>
        <v>14.641767304860089</v>
      </c>
      <c r="F63">
        <f t="shared" si="23"/>
        <v>14.845360824742269</v>
      </c>
      <c r="G63">
        <f t="shared" si="23"/>
        <v>15.463917525773196</v>
      </c>
      <c r="H63">
        <f t="shared" si="23"/>
        <v>14.845360824742272</v>
      </c>
      <c r="I63">
        <f t="shared" si="23"/>
        <v>15.829749631811488</v>
      </c>
      <c r="J63">
        <f t="shared" si="23"/>
        <v>14.418302499646943</v>
      </c>
      <c r="K63">
        <f t="shared" si="23"/>
        <v>10.768970762210579</v>
      </c>
      <c r="L63">
        <f t="shared" si="23"/>
        <v>9.8969072164948457</v>
      </c>
      <c r="N63">
        <f>N38*(1+N62)</f>
        <v>10.787223255027884</v>
      </c>
      <c r="O63">
        <f>O38*(1+O62)</f>
        <v>14.601327496116367</v>
      </c>
      <c r="P63">
        <f>P38*(1+P62)</f>
        <v>14.539970544918999</v>
      </c>
      <c r="Q63">
        <f>Q38*(1+Q62)</f>
        <v>14.357294167490473</v>
      </c>
    </row>
    <row r="64" spans="1:18" s="8" customFormat="1">
      <c r="A64" s="9" t="s">
        <v>54</v>
      </c>
      <c r="D64" s="8">
        <f>-2*(D47*D52)/(D45+(2*D46))</f>
        <v>0</v>
      </c>
      <c r="E64" s="8">
        <f>-E61*(E47*E52)/(E45+(E61*E46))</f>
        <v>-2.7428571428571424E-2</v>
      </c>
      <c r="F64" s="8">
        <f t="shared" ref="F64:Q64" si="24">-F61*(F47*F52)/(F45+(F61*F46))</f>
        <v>0</v>
      </c>
      <c r="G64" s="8">
        <f t="shared" si="24"/>
        <v>0</v>
      </c>
      <c r="H64" s="8">
        <f t="shared" si="24"/>
        <v>0</v>
      </c>
      <c r="I64" s="8">
        <f t="shared" si="24"/>
        <v>-3.1428571428571424E-2</v>
      </c>
      <c r="J64" s="8">
        <f t="shared" si="24"/>
        <v>-5.7534246575342472E-2</v>
      </c>
      <c r="K64" s="8">
        <f t="shared" si="24"/>
        <v>-6.5573770491803282E-2</v>
      </c>
      <c r="L64" s="8">
        <f t="shared" si="24"/>
        <v>0</v>
      </c>
      <c r="M64" s="8">
        <f>-M61*(M47*M52)/(M45+(M61*M46))</f>
        <v>0</v>
      </c>
      <c r="N64" s="8">
        <f t="shared" si="24"/>
        <v>-6.2295081967213117E-2</v>
      </c>
      <c r="O64" s="8">
        <f t="shared" si="24"/>
        <v>-3.2876712328767127E-2</v>
      </c>
      <c r="P64" s="8">
        <f t="shared" si="24"/>
        <v>-4.1142857142857141E-2</v>
      </c>
      <c r="Q64" s="8">
        <f t="shared" si="24"/>
        <v>-6.5753424657534226E-2</v>
      </c>
    </row>
    <row r="65" spans="1:17" ht="25.5">
      <c r="A65" s="3" t="s">
        <v>55</v>
      </c>
      <c r="D65">
        <f t="shared" ref="D65:L65" si="25">D35*(1+D64)</f>
        <v>14.845360824742269</v>
      </c>
      <c r="E65" s="5">
        <f t="shared" si="25"/>
        <v>13.23499263622975</v>
      </c>
      <c r="F65" s="5">
        <f t="shared" si="25"/>
        <v>15.463917525773196</v>
      </c>
      <c r="G65" s="5">
        <f t="shared" si="25"/>
        <v>16.082474226804123</v>
      </c>
      <c r="H65" s="5">
        <f t="shared" si="25"/>
        <v>15.4639175257732</v>
      </c>
      <c r="I65" s="5">
        <f t="shared" si="25"/>
        <v>19.171723122238586</v>
      </c>
      <c r="J65" s="5">
        <f t="shared" si="25"/>
        <v>14.574212681824601</v>
      </c>
      <c r="K65" s="5">
        <f t="shared" si="25"/>
        <v>14.449890147033971</v>
      </c>
      <c r="L65" s="5">
        <f t="shared" si="25"/>
        <v>14.845360824742269</v>
      </c>
      <c r="M65" s="5"/>
      <c r="N65" s="5">
        <f>N35*(1+N64)</f>
        <v>14.500591515970932</v>
      </c>
      <c r="O65" s="5">
        <f>O35*(1+O64)</f>
        <v>14.95551475780257</v>
      </c>
      <c r="P65" s="5">
        <f>P35*(1+P64)</f>
        <v>13.048365243004419</v>
      </c>
      <c r="Q65" s="5">
        <f>Q35*(1+Q64)</f>
        <v>14.447111989831949</v>
      </c>
    </row>
    <row r="66" spans="1:17">
      <c r="E66" s="5"/>
      <c r="F66" s="5"/>
      <c r="G66" s="5"/>
      <c r="H66" s="5"/>
      <c r="I66" s="5"/>
      <c r="J66" s="5"/>
      <c r="K66" s="5"/>
      <c r="L66" s="5"/>
      <c r="M66" s="5"/>
      <c r="N66" s="5"/>
      <c r="O66" s="5"/>
      <c r="P66" s="5"/>
      <c r="Q66" s="5"/>
    </row>
    <row r="67" spans="1:17" ht="25.5">
      <c r="A67" s="3" t="s">
        <v>78</v>
      </c>
      <c r="D67">
        <f t="shared" ref="D67:L67" si="26">D53*D28</f>
        <v>365.34432989690725</v>
      </c>
      <c r="E67" s="5">
        <f t="shared" si="26"/>
        <v>195.95876288659798</v>
      </c>
      <c r="F67" s="5">
        <f t="shared" si="26"/>
        <v>98.969072164948457</v>
      </c>
      <c r="G67" s="5">
        <f t="shared" si="26"/>
        <v>66.804123711340225</v>
      </c>
      <c r="H67" s="5">
        <f t="shared" si="26"/>
        <v>89.072164948453604</v>
      </c>
      <c r="I67" s="5">
        <f t="shared" si="26"/>
        <v>146.96907216494844</v>
      </c>
      <c r="J67" s="5">
        <f t="shared" si="26"/>
        <v>116.90721649484537</v>
      </c>
      <c r="K67" s="5">
        <f t="shared" si="26"/>
        <v>111.34020618556701</v>
      </c>
      <c r="L67" s="5">
        <f t="shared" si="26"/>
        <v>26.350515463917525</v>
      </c>
      <c r="M67" s="5"/>
      <c r="N67" s="5">
        <f>N53*N28</f>
        <v>105.77319587628865</v>
      </c>
      <c r="O67" s="5">
        <f>O53*O28</f>
        <v>133.60824742268042</v>
      </c>
      <c r="P67" s="5">
        <f>P53*P28</f>
        <v>160.32989690721649</v>
      </c>
      <c r="Q67" s="5">
        <f>Q53*Q28</f>
        <v>133.60824742268042</v>
      </c>
    </row>
    <row r="68" spans="1:17" ht="25.5">
      <c r="A68" s="3" t="s">
        <v>79</v>
      </c>
      <c r="D68">
        <f>D65*10</f>
        <v>148.45360824742269</v>
      </c>
      <c r="E68" s="5">
        <f>E65*E36</f>
        <v>198.52488954344625</v>
      </c>
      <c r="F68" s="5">
        <f t="shared" ref="F68:Q68" si="27">F65*F36</f>
        <v>231.95876288659795</v>
      </c>
      <c r="G68" s="5">
        <f t="shared" si="27"/>
        <v>241.23711340206185</v>
      </c>
      <c r="H68" s="5">
        <f t="shared" si="27"/>
        <v>231.95876288659798</v>
      </c>
      <c r="I68" s="5">
        <f t="shared" si="27"/>
        <v>287.57584683357879</v>
      </c>
      <c r="J68" s="5">
        <f t="shared" si="27"/>
        <v>218.61319022736902</v>
      </c>
      <c r="K68" s="5">
        <f t="shared" si="27"/>
        <v>216.74835220550955</v>
      </c>
      <c r="L68" s="5">
        <f t="shared" si="27"/>
        <v>222.68041237113403</v>
      </c>
      <c r="M68" s="5">
        <f t="shared" si="27"/>
        <v>0</v>
      </c>
      <c r="N68" s="5">
        <f t="shared" si="27"/>
        <v>217.50887273956397</v>
      </c>
      <c r="O68" s="5">
        <f t="shared" si="27"/>
        <v>224.33272136703854</v>
      </c>
      <c r="P68" s="5">
        <f t="shared" si="27"/>
        <v>195.72547864506629</v>
      </c>
      <c r="Q68" s="5">
        <f t="shared" si="27"/>
        <v>216.70667984747925</v>
      </c>
    </row>
    <row r="69" spans="1:17" ht="25.5">
      <c r="A69" s="3" t="s">
        <v>80</v>
      </c>
      <c r="D69">
        <f>D63*60</f>
        <v>853.60824742268051</v>
      </c>
      <c r="E69" s="5">
        <f t="shared" ref="E69:Q69" si="28">E63*60</f>
        <v>878.50603829160536</v>
      </c>
      <c r="F69" s="5">
        <f t="shared" si="28"/>
        <v>890.7216494845361</v>
      </c>
      <c r="G69" s="5">
        <f t="shared" si="28"/>
        <v>927.83505154639181</v>
      </c>
      <c r="H69" s="5">
        <f t="shared" si="28"/>
        <v>890.72164948453633</v>
      </c>
      <c r="I69" s="5">
        <f t="shared" si="28"/>
        <v>949.78497790868926</v>
      </c>
      <c r="J69" s="5">
        <f t="shared" si="28"/>
        <v>865.09814997881654</v>
      </c>
      <c r="K69" s="5">
        <f t="shared" si="28"/>
        <v>646.13824573263469</v>
      </c>
      <c r="L69" s="5">
        <f t="shared" si="28"/>
        <v>593.81443298969077</v>
      </c>
      <c r="M69" s="5">
        <f t="shared" si="28"/>
        <v>0</v>
      </c>
      <c r="N69" s="5">
        <f t="shared" si="28"/>
        <v>647.233395301673</v>
      </c>
      <c r="O69" s="5">
        <f t="shared" si="28"/>
        <v>876.07964976698202</v>
      </c>
      <c r="P69" s="5">
        <f t="shared" si="28"/>
        <v>872.39823269514</v>
      </c>
      <c r="Q69" s="5">
        <f t="shared" si="28"/>
        <v>861.43765004942838</v>
      </c>
    </row>
    <row r="70" spans="1:17" ht="25.5">
      <c r="A70" s="3" t="s">
        <v>126</v>
      </c>
      <c r="E70" s="5">
        <f>SUM(E67:E69)</f>
        <v>1272.9896907216496</v>
      </c>
      <c r="F70" s="5"/>
      <c r="G70" s="5"/>
      <c r="H70" s="5"/>
      <c r="I70" s="5">
        <f>SUM(I67:I69)</f>
        <v>1384.3298969072166</v>
      </c>
      <c r="J70" s="5">
        <f t="shared" ref="J70:Q70" si="29">SUM(J67:J69)</f>
        <v>1200.6185567010309</v>
      </c>
      <c r="K70" s="5">
        <f t="shared" si="29"/>
        <v>974.22680412371119</v>
      </c>
      <c r="L70" s="5">
        <f t="shared" si="29"/>
        <v>842.84536082474233</v>
      </c>
      <c r="M70" s="5"/>
      <c r="N70" s="5">
        <f t="shared" si="29"/>
        <v>970.51546391752561</v>
      </c>
      <c r="O70" s="5">
        <f t="shared" si="29"/>
        <v>1234.020618556701</v>
      </c>
      <c r="P70" s="5">
        <f t="shared" si="29"/>
        <v>1228.4536082474228</v>
      </c>
      <c r="Q70" s="5">
        <f t="shared" si="29"/>
        <v>1211.752577319588</v>
      </c>
    </row>
    <row r="71" spans="1:17" s="8" customFormat="1" ht="25.5">
      <c r="A71" s="9" t="s">
        <v>56</v>
      </c>
      <c r="D71" s="8">
        <f>SUM(D67:D69)/14320</f>
        <v>9.5489258768645974E-2</v>
      </c>
      <c r="E71" s="8">
        <f t="shared" ref="E71:Q71" si="30">SUM(E67:E69)/14320</f>
        <v>8.8895928123020218E-2</v>
      </c>
      <c r="F71" s="8">
        <f t="shared" si="30"/>
        <v>8.5310718193860519E-2</v>
      </c>
      <c r="G71" s="8">
        <f t="shared" si="30"/>
        <v>8.6304210101940906E-2</v>
      </c>
      <c r="H71" s="8">
        <f t="shared" si="30"/>
        <v>8.4619593388239392E-2</v>
      </c>
      <c r="I71" s="8">
        <f t="shared" si="30"/>
        <v>9.6671082186258139E-2</v>
      </c>
      <c r="J71" s="8">
        <f t="shared" si="30"/>
        <v>8.3842077981915564E-2</v>
      </c>
      <c r="K71" s="8">
        <f t="shared" si="30"/>
        <v>6.8032598053331783E-2</v>
      </c>
      <c r="L71" s="8">
        <f t="shared" si="30"/>
        <v>5.8857916258711056E-2</v>
      </c>
      <c r="N71" s="8">
        <f t="shared" si="30"/>
        <v>6.7773426251223859E-2</v>
      </c>
      <c r="O71" s="8">
        <f t="shared" si="30"/>
        <v>8.6174624200886937E-2</v>
      </c>
      <c r="P71" s="8">
        <f t="shared" si="30"/>
        <v>8.5785866497725058E-2</v>
      </c>
      <c r="Q71" s="8">
        <f t="shared" si="30"/>
        <v>8.4619593388239392E-2</v>
      </c>
    </row>
    <row r="72" spans="1:17" s="5" customFormat="1" ht="25.5">
      <c r="A72" s="6" t="s">
        <v>64</v>
      </c>
      <c r="D72" s="5">
        <f t="shared" ref="D72:L72" si="31">D65+D63+D53</f>
        <v>59.517525773195885</v>
      </c>
      <c r="E72" s="5">
        <f t="shared" si="31"/>
        <v>44.206656848306338</v>
      </c>
      <c r="F72" s="5">
        <f t="shared" si="31"/>
        <v>42.680412371134018</v>
      </c>
      <c r="G72" s="5">
        <f t="shared" si="31"/>
        <v>42.680412371134025</v>
      </c>
      <c r="H72" s="5">
        <f t="shared" si="31"/>
        <v>40.206185567010316</v>
      </c>
      <c r="I72" s="5">
        <f t="shared" si="31"/>
        <v>48.362297496318106</v>
      </c>
      <c r="J72" s="5">
        <f t="shared" si="31"/>
        <v>41.982205903121034</v>
      </c>
      <c r="K72" s="5">
        <f t="shared" si="31"/>
        <v>36.352881527801244</v>
      </c>
      <c r="L72" s="5">
        <f t="shared" si="31"/>
        <v>27.377319587628868</v>
      </c>
      <c r="N72" s="5">
        <f>N65+N63+N53</f>
        <v>36.421835389555511</v>
      </c>
      <c r="O72" s="5">
        <f>O65+O63+O53</f>
        <v>44.402203078661202</v>
      </c>
      <c r="P72" s="5">
        <f>P65+P63+P53</f>
        <v>40.949160530191463</v>
      </c>
      <c r="Q72" s="5">
        <f>Q65+Q63+Q53</f>
        <v>43.649766982064691</v>
      </c>
    </row>
    <row r="73" spans="1:17" ht="25.5">
      <c r="A73" s="3" t="s">
        <v>65</v>
      </c>
      <c r="D73" s="5">
        <f>D38+D35+D25</f>
        <v>59.517525773195885</v>
      </c>
      <c r="E73" s="5">
        <f t="shared" ref="E73:Q73" si="32">E38+E35+E25</f>
        <v>43.298969072164951</v>
      </c>
      <c r="F73" s="5">
        <f t="shared" si="32"/>
        <v>42.680412371134018</v>
      </c>
      <c r="G73" s="5">
        <f t="shared" si="32"/>
        <v>42.680412371134025</v>
      </c>
      <c r="H73" s="5">
        <f t="shared" si="32"/>
        <v>40.206185567010316</v>
      </c>
      <c r="I73" s="5">
        <f t="shared" si="32"/>
        <v>47.010309278350519</v>
      </c>
      <c r="J73" s="5">
        <f t="shared" si="32"/>
        <v>38.969072164948457</v>
      </c>
      <c r="K73" s="5">
        <f t="shared" si="32"/>
        <v>34.020618556701031</v>
      </c>
      <c r="L73" s="5">
        <f t="shared" si="32"/>
        <v>27.377319587628868</v>
      </c>
      <c r="M73" s="5"/>
      <c r="N73" s="5">
        <f t="shared" si="32"/>
        <v>34.020618556701031</v>
      </c>
      <c r="O73" s="5">
        <f t="shared" si="32"/>
        <v>42.680412371134018</v>
      </c>
      <c r="P73" s="5">
        <f t="shared" si="32"/>
        <v>39.587628865979383</v>
      </c>
      <c r="Q73" s="5">
        <f t="shared" si="32"/>
        <v>40.206185567010316</v>
      </c>
    </row>
    <row r="74" spans="1:17">
      <c r="D74" s="5"/>
      <c r="E74" s="5"/>
      <c r="F74" s="5"/>
      <c r="G74" s="5"/>
      <c r="H74" s="5"/>
      <c r="I74" s="5"/>
      <c r="J74" s="5"/>
      <c r="K74" s="5"/>
      <c r="L74" s="5"/>
      <c r="M74" s="5"/>
      <c r="N74" s="5"/>
      <c r="O74" s="5"/>
      <c r="P74" s="5"/>
      <c r="Q74" s="5"/>
    </row>
    <row r="75" spans="1:17">
      <c r="D75" s="5"/>
      <c r="E75" s="5"/>
      <c r="F75" s="5"/>
      <c r="G75" s="5"/>
      <c r="H75" s="5"/>
      <c r="I75" s="5"/>
      <c r="J75" s="5"/>
      <c r="K75" s="5"/>
      <c r="L75" s="5"/>
      <c r="M75" s="5"/>
      <c r="N75" s="5"/>
      <c r="O75" s="5"/>
      <c r="P75" s="5"/>
      <c r="Q75" s="5"/>
    </row>
    <row r="76" spans="1:17" ht="15.75">
      <c r="B76" s="664" t="s">
        <v>67</v>
      </c>
      <c r="C76" s="664"/>
      <c r="D76" s="664"/>
      <c r="E76" s="664"/>
      <c r="F76" s="664"/>
      <c r="G76" s="664"/>
      <c r="H76" s="664"/>
      <c r="I76" s="664"/>
      <c r="J76" s="664"/>
      <c r="K76" s="664"/>
      <c r="L76" s="664"/>
      <c r="M76" s="664"/>
      <c r="N76" s="664"/>
      <c r="O76" s="664"/>
      <c r="P76" s="5"/>
      <c r="Q76" s="5"/>
    </row>
    <row r="77" spans="1:17" ht="81" customHeight="1">
      <c r="A77" s="7" t="s">
        <v>66</v>
      </c>
      <c r="B77" s="32" t="s">
        <v>81</v>
      </c>
      <c r="C77" s="2">
        <f>SUM((E77*E18)+(I77*I18)+(J77*J18)+(K77*K18)+(N77*N18)+(O77*O18)+(P77*P18)+(Q77*Q18))</f>
        <v>17168.327084796903</v>
      </c>
      <c r="D77" s="30">
        <f t="shared" ref="D77:L77" si="33">D72-D73</f>
        <v>0</v>
      </c>
      <c r="E77" s="2">
        <f t="shared" si="33"/>
        <v>0.90768777614138685</v>
      </c>
      <c r="F77" s="24">
        <f t="shared" si="33"/>
        <v>0</v>
      </c>
      <c r="G77" s="24">
        <f t="shared" si="33"/>
        <v>0</v>
      </c>
      <c r="H77" s="24">
        <f t="shared" si="33"/>
        <v>0</v>
      </c>
      <c r="I77" s="2">
        <f t="shared" si="33"/>
        <v>1.3519882179675875</v>
      </c>
      <c r="J77" s="2">
        <f t="shared" si="33"/>
        <v>3.0131337381725771</v>
      </c>
      <c r="K77" s="2">
        <f t="shared" si="33"/>
        <v>2.3322629711002136</v>
      </c>
      <c r="L77" s="24">
        <f t="shared" si="33"/>
        <v>0</v>
      </c>
      <c r="M77" s="2"/>
      <c r="N77" s="2">
        <f>N72-N73</f>
        <v>2.4012168328544803</v>
      </c>
      <c r="O77" s="2">
        <f>O72-O73</f>
        <v>1.7217907075271839</v>
      </c>
      <c r="P77" s="2">
        <f>P72-P73</f>
        <v>1.3615316642120803</v>
      </c>
      <c r="Q77" s="2">
        <f>Q72-Q73</f>
        <v>3.4435814150543749</v>
      </c>
    </row>
    <row r="78" spans="1:17" s="15" customFormat="1" ht="75" customHeight="1">
      <c r="A78" s="23" t="s">
        <v>57</v>
      </c>
      <c r="B78" s="32" t="s">
        <v>82</v>
      </c>
      <c r="C78" s="28">
        <f>C77*0.2</f>
        <v>3433.6654169593808</v>
      </c>
      <c r="D78" s="31">
        <f>D77*200</f>
        <v>0</v>
      </c>
      <c r="E78" s="29">
        <f t="shared" ref="E78:Q78" si="34">E77*200</f>
        <v>181.53755522827737</v>
      </c>
      <c r="F78" s="29">
        <f t="shared" si="34"/>
        <v>0</v>
      </c>
      <c r="G78" s="29">
        <f t="shared" si="34"/>
        <v>0</v>
      </c>
      <c r="H78" s="29">
        <f t="shared" si="34"/>
        <v>0</v>
      </c>
      <c r="I78" s="29">
        <f t="shared" si="34"/>
        <v>270.3976435935175</v>
      </c>
      <c r="J78" s="29">
        <f t="shared" si="34"/>
        <v>602.62674763451537</v>
      </c>
      <c r="K78" s="29">
        <f t="shared" si="34"/>
        <v>466.45259422004273</v>
      </c>
      <c r="L78" s="29">
        <f t="shared" si="34"/>
        <v>0</v>
      </c>
      <c r="M78" s="29"/>
      <c r="N78" s="29">
        <f t="shared" si="34"/>
        <v>480.24336657089606</v>
      </c>
      <c r="O78" s="29">
        <f t="shared" si="34"/>
        <v>344.35814150543678</v>
      </c>
      <c r="P78" s="29">
        <f t="shared" si="34"/>
        <v>272.30633284241605</v>
      </c>
      <c r="Q78" s="29">
        <f t="shared" si="34"/>
        <v>688.71628301087503</v>
      </c>
    </row>
    <row r="79" spans="1:17" ht="25.5">
      <c r="A79" s="7" t="s">
        <v>59</v>
      </c>
      <c r="B79" s="1"/>
      <c r="C79" s="2"/>
      <c r="D79" s="24">
        <f>D80*D77</f>
        <v>0</v>
      </c>
      <c r="E79" s="24">
        <f t="shared" ref="E79:Q79" si="35">E80*E77</f>
        <v>41.086765050644814</v>
      </c>
      <c r="F79" s="24">
        <f t="shared" si="35"/>
        <v>0</v>
      </c>
      <c r="G79" s="24">
        <f t="shared" si="35"/>
        <v>0</v>
      </c>
      <c r="H79" s="24">
        <f t="shared" si="35"/>
        <v>0</v>
      </c>
      <c r="I79" s="24">
        <f t="shared" si="35"/>
        <v>60.759727876114404</v>
      </c>
      <c r="J79" s="24">
        <f t="shared" si="35"/>
        <v>141.70577030156906</v>
      </c>
      <c r="K79" s="24">
        <f t="shared" si="35"/>
        <v>103.28593157729517</v>
      </c>
      <c r="L79" s="24">
        <f t="shared" si="35"/>
        <v>0</v>
      </c>
      <c r="M79" s="24"/>
      <c r="N79" s="24">
        <f t="shared" si="35"/>
        <v>106.56719676364311</v>
      </c>
      <c r="O79" s="24">
        <f t="shared" si="35"/>
        <v>79.202372546250459</v>
      </c>
      <c r="P79" s="24">
        <f t="shared" si="35"/>
        <v>63.272145193082231</v>
      </c>
      <c r="Q79" s="24">
        <f t="shared" si="35"/>
        <v>160.74616951560103</v>
      </c>
    </row>
    <row r="80" spans="1:17" ht="25.5">
      <c r="A80" s="7" t="s">
        <v>129</v>
      </c>
      <c r="B80" s="1"/>
      <c r="C80" s="2"/>
      <c r="D80" s="24">
        <f>(D45*60)+(D46*10)+(D47*D28)</f>
        <v>41.747041580718701</v>
      </c>
      <c r="E80" s="24">
        <f t="shared" ref="E80:Q80" si="36">(E45*60)+(E46*10)+(E47*E28)</f>
        <v>45.265306122448976</v>
      </c>
      <c r="F80" s="24">
        <f t="shared" si="36"/>
        <v>46.293670886075951</v>
      </c>
      <c r="G80" s="24">
        <f t="shared" si="36"/>
        <v>47.321321321321321</v>
      </c>
      <c r="H80" s="24">
        <f t="shared" si="36"/>
        <v>46.679938744257278</v>
      </c>
      <c r="I80" s="24">
        <f t="shared" si="36"/>
        <v>44.941018766756038</v>
      </c>
      <c r="J80" s="24">
        <f t="shared" si="36"/>
        <v>47.029366306027825</v>
      </c>
      <c r="K80" s="24">
        <f t="shared" si="36"/>
        <v>44.285714285714285</v>
      </c>
      <c r="L80" s="24">
        <f t="shared" si="36"/>
        <v>45.226772346983708</v>
      </c>
      <c r="M80" s="24"/>
      <c r="N80" s="24">
        <f t="shared" si="36"/>
        <v>44.380497131931172</v>
      </c>
      <c r="O80" s="24">
        <f t="shared" si="36"/>
        <v>46</v>
      </c>
      <c r="P80" s="24">
        <f t="shared" si="36"/>
        <v>46.471299093655588</v>
      </c>
      <c r="Q80" s="24">
        <f t="shared" si="36"/>
        <v>46.679938744257278</v>
      </c>
    </row>
    <row r="81" spans="1:18" ht="32.25" customHeight="1" thickBot="1">
      <c r="A81" s="7" t="s">
        <v>118</v>
      </c>
      <c r="B81" s="1"/>
      <c r="C81" s="2"/>
      <c r="D81" s="24"/>
      <c r="E81" s="24">
        <f>E77*E28</f>
        <v>10.892253313696642</v>
      </c>
      <c r="F81" s="24">
        <f t="shared" ref="F81:Q81" si="37">F77*F28</f>
        <v>0</v>
      </c>
      <c r="G81" s="24">
        <f t="shared" si="37"/>
        <v>0</v>
      </c>
      <c r="H81" s="24">
        <f t="shared" si="37"/>
        <v>0</v>
      </c>
      <c r="I81" s="24">
        <f t="shared" si="37"/>
        <v>14.871870397643463</v>
      </c>
      <c r="J81" s="24">
        <f t="shared" si="37"/>
        <v>27.118203643553194</v>
      </c>
      <c r="K81" s="24">
        <f t="shared" si="37"/>
        <v>23.322629711002136</v>
      </c>
      <c r="L81" s="24">
        <f t="shared" si="37"/>
        <v>0</v>
      </c>
      <c r="M81" s="24"/>
      <c r="N81" s="24">
        <f t="shared" si="37"/>
        <v>22.811559912117563</v>
      </c>
      <c r="O81" s="24">
        <f t="shared" si="37"/>
        <v>15.496116367744655</v>
      </c>
      <c r="P81" s="24">
        <f t="shared" si="37"/>
        <v>16.338379970544963</v>
      </c>
      <c r="Q81" s="24">
        <f t="shared" si="37"/>
        <v>30.992232735489374</v>
      </c>
    </row>
    <row r="82" spans="1:18" s="27" customFormat="1" ht="79.5" thickBot="1">
      <c r="A82" s="298" t="s">
        <v>214</v>
      </c>
      <c r="B82" s="33">
        <f>SUM(D82:Q82)</f>
        <v>790.25227991627344</v>
      </c>
      <c r="C82" s="34">
        <f>B82/8.36</f>
        <v>94.527784678980083</v>
      </c>
      <c r="D82" s="26">
        <f>D79*D18*1000</f>
        <v>0</v>
      </c>
      <c r="E82" s="26">
        <f>E79*E18/1000</f>
        <v>30.120645828480143</v>
      </c>
      <c r="F82" s="26">
        <f t="shared" ref="F82:Q82" si="38">F79*F18/1000</f>
        <v>0</v>
      </c>
      <c r="G82" s="26">
        <f t="shared" si="38"/>
        <v>0</v>
      </c>
      <c r="H82" s="26">
        <f t="shared" si="38"/>
        <v>0</v>
      </c>
      <c r="I82" s="26">
        <f t="shared" si="38"/>
        <v>40.994831436925885</v>
      </c>
      <c r="J82" s="26">
        <f t="shared" si="38"/>
        <v>201.42858828267231</v>
      </c>
      <c r="K82" s="26">
        <f t="shared" si="38"/>
        <v>51.307028296192428</v>
      </c>
      <c r="L82" s="26">
        <f t="shared" si="38"/>
        <v>0</v>
      </c>
      <c r="M82" s="26">
        <f>M79*M18/1000</f>
        <v>0</v>
      </c>
      <c r="N82" s="26">
        <f t="shared" si="38"/>
        <v>89.881331363178916</v>
      </c>
      <c r="O82" s="26">
        <f t="shared" si="38"/>
        <v>169.69108318034162</v>
      </c>
      <c r="P82" s="26">
        <f t="shared" si="38"/>
        <v>43.26150673788247</v>
      </c>
      <c r="Q82" s="26">
        <f t="shared" si="38"/>
        <v>163.56726479059981</v>
      </c>
    </row>
    <row r="83" spans="1:18" s="5" customFormat="1" ht="27" thickTop="1" thickBot="1">
      <c r="A83" s="117" t="s">
        <v>215</v>
      </c>
      <c r="B83" s="118">
        <f>SUM(E83:Q83)</f>
        <v>163.29955760160954</v>
      </c>
      <c r="C83" s="116">
        <f>B83/8.36</f>
        <v>19.533439904498749</v>
      </c>
      <c r="E83" s="5">
        <f>E81*E18/1000</f>
        <v>7.9850945658910391</v>
      </c>
      <c r="F83" s="5">
        <f t="shared" ref="F83:Q83" si="39">F81*F18/1000</f>
        <v>0</v>
      </c>
      <c r="G83" s="5">
        <f t="shared" si="39"/>
        <v>0</v>
      </c>
      <c r="H83" s="5">
        <f t="shared" si="39"/>
        <v>0</v>
      </c>
      <c r="I83" s="5">
        <f t="shared" si="39"/>
        <v>10.034110444771633</v>
      </c>
      <c r="J83" s="5">
        <f t="shared" si="39"/>
        <v>38.547346837452373</v>
      </c>
      <c r="K83" s="5">
        <f t="shared" si="39"/>
        <v>11.585458002366035</v>
      </c>
      <c r="L83" s="5">
        <f t="shared" si="39"/>
        <v>0</v>
      </c>
      <c r="M83" s="5">
        <f t="shared" si="39"/>
        <v>0</v>
      </c>
      <c r="N83" s="5">
        <f t="shared" si="39"/>
        <v>19.23981710731784</v>
      </c>
      <c r="O83" s="5">
        <f t="shared" si="39"/>
        <v>33.200429317892919</v>
      </c>
      <c r="P83" s="5">
        <f t="shared" si="39"/>
        <v>11.171154905920503</v>
      </c>
      <c r="Q83" s="5">
        <f t="shared" si="39"/>
        <v>31.536146419997209</v>
      </c>
    </row>
    <row r="85" spans="1:18">
      <c r="A85" s="7"/>
    </row>
    <row r="86" spans="1:18">
      <c r="D86" s="5"/>
      <c r="E86" s="5"/>
      <c r="F86" s="5"/>
      <c r="G86" s="5"/>
      <c r="H86" s="5"/>
      <c r="I86" s="5"/>
      <c r="J86" s="5"/>
      <c r="K86" s="5"/>
      <c r="L86" s="5"/>
      <c r="M86" s="5"/>
      <c r="N86" s="5"/>
      <c r="O86" s="5"/>
      <c r="P86" s="5"/>
      <c r="Q86" s="5"/>
    </row>
    <row r="87" spans="1:18" s="8" customFormat="1">
      <c r="A87" s="9"/>
    </row>
    <row r="88" spans="1:18">
      <c r="R88" s="1"/>
    </row>
    <row r="89" spans="1:18">
      <c r="B89" s="10"/>
      <c r="C89" s="10"/>
      <c r="R89" s="1"/>
    </row>
    <row r="90" spans="1:18">
      <c r="A90" s="7"/>
      <c r="C90" s="1"/>
    </row>
  </sheetData>
  <mergeCells count="9">
    <mergeCell ref="B76:O76"/>
    <mergeCell ref="A6:P6"/>
    <mergeCell ref="A1:P1"/>
    <mergeCell ref="A41:P41"/>
    <mergeCell ref="A33:P33"/>
    <mergeCell ref="A20:Q20"/>
    <mergeCell ref="A24:P24"/>
    <mergeCell ref="A48:Q48"/>
    <mergeCell ref="A4:P4"/>
  </mergeCells>
  <phoneticPr fontId="6" type="noConversion"/>
  <conditionalFormatting sqref="A4">
    <cfRule type="cellIs" dxfId="9" priority="1" stopIfTrue="1" operator="equal">
      <formula>0</formula>
    </cfRule>
    <cfRule type="cellIs" dxfId="8" priority="2" stopIfTrue="1" operator="notEqual">
      <formula>0</formula>
    </cfRule>
  </conditionalFormatting>
  <pageMargins left="0.75" right="0.75" top="1" bottom="1" header="0.5" footer="0.5"/>
  <pageSetup scale="42" orientation="landscape" r:id="rId1"/>
  <headerFooter alignWithMargins="0"/>
  <rowBreaks count="1" manualBreakCount="1">
    <brk id="47" max="19" man="1"/>
  </rowBreaks>
  <ignoredErrors>
    <ignoredError sqref="E18 P25 P38 P35 D59" formula="1"/>
    <ignoredError sqref="F18:H18 F59:H64 L59:L64 L58 F58:H58 M59:M69 M82:M83 C57 L18" emptyCellReference="1"/>
  </ignoredError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U66"/>
  <sheetViews>
    <sheetView zoomScale="80" workbookViewId="0">
      <pane xSplit="2" topLeftCell="C1" activePane="topRight" state="frozen"/>
      <selection activeCell="A15" sqref="A15"/>
      <selection pane="topRight" activeCell="Q8" sqref="Q8:Q66"/>
    </sheetView>
  </sheetViews>
  <sheetFormatPr defaultRowHeight="12.75"/>
  <cols>
    <col min="2" max="2" width="54.7109375" style="45" customWidth="1"/>
    <col min="3" max="3" width="13.85546875" customWidth="1"/>
    <col min="4" max="4" width="13.140625" customWidth="1"/>
    <col min="5" max="5" width="0.7109375" customWidth="1"/>
    <col min="6" max="6" width="9.42578125" customWidth="1"/>
    <col min="7" max="7" width="1.5703125" customWidth="1"/>
    <col min="8" max="9" width="1" customWidth="1"/>
    <col min="10" max="10" width="9.28515625" bestFit="1" customWidth="1"/>
    <col min="11" max="11" width="11.42578125" customWidth="1"/>
    <col min="12" max="12" width="9.28515625" bestFit="1" customWidth="1"/>
    <col min="13" max="13" width="1.28515625" customWidth="1"/>
    <col min="14" max="14" width="0.7109375" customWidth="1"/>
    <col min="15" max="15" width="13.140625" customWidth="1"/>
    <col min="16" max="16" width="10.5703125" customWidth="1"/>
    <col min="18" max="18" width="10.28515625" customWidth="1"/>
    <col min="19" max="19" width="11.7109375" bestFit="1" customWidth="1"/>
  </cols>
  <sheetData>
    <row r="1" spans="1:20">
      <c r="C1" s="671" t="s">
        <v>94</v>
      </c>
      <c r="D1" s="672"/>
      <c r="E1" s="672"/>
      <c r="F1" s="672"/>
      <c r="G1" s="672"/>
      <c r="H1" s="672"/>
      <c r="I1" s="672"/>
      <c r="J1" s="672"/>
      <c r="K1" s="672"/>
      <c r="L1" s="672"/>
      <c r="M1" s="672"/>
    </row>
    <row r="2" spans="1:20" ht="12.75" customHeight="1">
      <c r="A2" s="615">
        <f>IF('ERR &amp; Sensitivity Analysis'!$I$10="N","Note: Current calculations are based on user input and are not the original MCC estimates.",IF('ERR &amp; Sensitivity Analysis'!$I$11="N","Note: Current calculations are based on user input and are not the original MCC estimates.",0))</f>
        <v>0</v>
      </c>
      <c r="B2" s="615"/>
      <c r="C2" s="615"/>
      <c r="D2" s="615"/>
      <c r="E2" s="615"/>
      <c r="F2" s="615"/>
      <c r="G2" s="615"/>
      <c r="H2" s="615"/>
      <c r="I2" s="615"/>
    </row>
    <row r="4" spans="1:20">
      <c r="C4" s="673" t="s">
        <v>257</v>
      </c>
    </row>
    <row r="5" spans="1:20">
      <c r="A5" s="1" t="s">
        <v>89</v>
      </c>
      <c r="B5" s="54" t="s">
        <v>90</v>
      </c>
      <c r="C5" s="674"/>
      <c r="D5" s="1" t="s">
        <v>37</v>
      </c>
      <c r="E5" t="s">
        <v>15</v>
      </c>
      <c r="F5" s="1" t="s">
        <v>16</v>
      </c>
      <c r="G5" t="s">
        <v>17</v>
      </c>
      <c r="H5" t="s">
        <v>18</v>
      </c>
      <c r="I5" s="11" t="s">
        <v>19</v>
      </c>
      <c r="J5" s="1" t="s">
        <v>20</v>
      </c>
      <c r="K5" s="1" t="s">
        <v>21</v>
      </c>
      <c r="L5" s="1" t="s">
        <v>22</v>
      </c>
      <c r="O5" s="1" t="s">
        <v>25</v>
      </c>
      <c r="P5" s="1" t="s">
        <v>26</v>
      </c>
      <c r="Q5" s="1" t="s">
        <v>27</v>
      </c>
      <c r="R5" s="1" t="s">
        <v>28</v>
      </c>
      <c r="S5" s="70"/>
    </row>
    <row r="6" spans="1:20" ht="13.5" thickBot="1"/>
    <row r="7" spans="1:20" s="66" customFormat="1" ht="13.5" thickTop="1">
      <c r="A7" s="65" t="s">
        <v>332</v>
      </c>
      <c r="B7" s="119"/>
    </row>
    <row r="8" spans="1:20">
      <c r="B8" s="45" t="s">
        <v>96</v>
      </c>
      <c r="D8" s="5">
        <v>0.9</v>
      </c>
      <c r="K8">
        <v>0.9</v>
      </c>
      <c r="L8">
        <v>0.9</v>
      </c>
      <c r="O8">
        <v>0.9</v>
      </c>
      <c r="P8">
        <v>0.9</v>
      </c>
      <c r="R8">
        <v>0.9</v>
      </c>
      <c r="T8" t="s">
        <v>293</v>
      </c>
    </row>
    <row r="9" spans="1:20">
      <c r="B9" s="45" t="s">
        <v>97</v>
      </c>
      <c r="D9" s="5">
        <f>SUM(F9*(F11/$D11),J9*(J11/$D11),K9*(K11/$D11),L9*(L11/$D11),O9*(O11/$D11),P9*(P11/$D11),Q9*(Q11/$D11),R9*(R11/$D11))</f>
        <v>2.4591447728909639</v>
      </c>
      <c r="K9">
        <f>2.5*(1-$T$9)</f>
        <v>2.5</v>
      </c>
      <c r="L9">
        <f>2.75*(1-$T$9)</f>
        <v>2.75</v>
      </c>
      <c r="O9">
        <f>2.75*(1-$T$9)</f>
        <v>2.75</v>
      </c>
      <c r="P9">
        <f>2.1*(1-$T$9)</f>
        <v>2.1</v>
      </c>
      <c r="R9">
        <f>2.5*(1-$T$9)</f>
        <v>2.5</v>
      </c>
      <c r="T9" s="182">
        <v>0</v>
      </c>
    </row>
    <row r="10" spans="1:20">
      <c r="B10" s="45" t="s">
        <v>112</v>
      </c>
      <c r="D10" s="5">
        <f>D9+('Hypotheses - Assumptions'!I35*'Hypotheses - Assumptions'!I40)</f>
        <v>2.559144772890964</v>
      </c>
      <c r="E10" s="5"/>
      <c r="F10" s="5"/>
      <c r="G10" s="5"/>
      <c r="H10" s="5"/>
      <c r="I10" s="5"/>
      <c r="J10" s="5"/>
      <c r="K10" s="5">
        <f>K9+('Hypotheses - Assumptions'!$I35*'Hypotheses - Assumptions'!$I40)</f>
        <v>2.6</v>
      </c>
      <c r="L10" s="5">
        <f>L9+('Hypotheses - Assumptions'!$I35*'Hypotheses - Assumptions'!$I40)</f>
        <v>2.85</v>
      </c>
      <c r="M10" s="5"/>
      <c r="N10" s="5"/>
      <c r="O10" s="5">
        <f>O9+('Hypotheses - Assumptions'!$I35*'Hypotheses - Assumptions'!$I40)</f>
        <v>2.85</v>
      </c>
      <c r="P10" s="5">
        <f>P9+('Hypotheses - Assumptions'!$I35*'Hypotheses - Assumptions'!$I40)</f>
        <v>2.2000000000000002</v>
      </c>
      <c r="Q10" s="5"/>
      <c r="R10" s="5">
        <f>R9+('Hypotheses - Assumptions'!$I35*'Hypotheses - Assumptions'!$I40)</f>
        <v>2.6</v>
      </c>
    </row>
    <row r="11" spans="1:20">
      <c r="B11" s="45" t="s">
        <v>95</v>
      </c>
      <c r="D11" s="5">
        <f>SUM(F11:R11)</f>
        <v>21464.922371134016</v>
      </c>
      <c r="K11">
        <f>Fundamentals!J57</f>
        <v>6154.7601030927854</v>
      </c>
      <c r="L11">
        <f>Fundamentals!K57</f>
        <v>1843.598969072164</v>
      </c>
      <c r="O11">
        <f>Fundamentals!N57</f>
        <v>3130.2334020618546</v>
      </c>
      <c r="P11">
        <f>Fundamentals!O57</f>
        <v>5301.0309278350505</v>
      </c>
      <c r="R11">
        <f>Fundamentals!Q57</f>
        <v>5035.2989690721643</v>
      </c>
    </row>
    <row r="12" spans="1:20">
      <c r="B12" s="45" t="s">
        <v>331</v>
      </c>
      <c r="D12" s="5">
        <f>D11*(D10-D8)</f>
        <v>35613.413752577319</v>
      </c>
      <c r="E12" s="5"/>
      <c r="F12" s="5"/>
      <c r="G12" s="5"/>
      <c r="H12" s="5"/>
      <c r="I12" s="5"/>
      <c r="J12" s="5"/>
      <c r="K12" s="5">
        <f t="shared" ref="K12:R12" si="0">K11*(K10-K8)</f>
        <v>10463.092175257736</v>
      </c>
      <c r="L12" s="5">
        <f t="shared" si="0"/>
        <v>3595.0179896907202</v>
      </c>
      <c r="M12" s="5"/>
      <c r="N12" s="5"/>
      <c r="O12" s="5">
        <f t="shared" si="0"/>
        <v>6103.9551340206172</v>
      </c>
      <c r="P12" s="5">
        <f t="shared" si="0"/>
        <v>6891.3402061855668</v>
      </c>
      <c r="Q12" s="5"/>
      <c r="R12" s="5">
        <f t="shared" si="0"/>
        <v>8560.0082474226801</v>
      </c>
      <c r="S12" s="5"/>
    </row>
    <row r="13" spans="1:20">
      <c r="B13" s="45" t="s">
        <v>330</v>
      </c>
      <c r="D13" s="5">
        <f>SUM(F13:R13)</f>
        <v>1780.6706876288661</v>
      </c>
      <c r="E13" s="5"/>
      <c r="F13" s="5"/>
      <c r="G13" s="5"/>
      <c r="H13" s="5"/>
      <c r="I13" s="5"/>
      <c r="J13" s="5"/>
      <c r="K13" s="5">
        <f>K12*'Hypotheses - Assumptions'!$I46</f>
        <v>523.15460876288682</v>
      </c>
      <c r="L13" s="5">
        <f>L12*'Hypotheses - Assumptions'!$I46</f>
        <v>179.75089948453603</v>
      </c>
      <c r="M13" s="5"/>
      <c r="N13" s="5"/>
      <c r="O13" s="5">
        <f>O12*'Hypotheses - Assumptions'!$I46</f>
        <v>305.19775670103087</v>
      </c>
      <c r="P13" s="5">
        <f>P12*'Hypotheses - Assumptions'!$I46</f>
        <v>344.56701030927837</v>
      </c>
      <c r="Q13" s="5"/>
      <c r="R13" s="5">
        <f>R12*'Hypotheses - Assumptions'!$I46</f>
        <v>428.00041237113402</v>
      </c>
      <c r="S13" s="5"/>
    </row>
    <row r="14" spans="1:20">
      <c r="B14" s="45" t="s">
        <v>111</v>
      </c>
      <c r="D14" s="5">
        <f>0.35*(D12-D13)</f>
        <v>11841.460072731958</v>
      </c>
      <c r="E14" s="5"/>
      <c r="F14" s="5"/>
      <c r="G14" s="5"/>
      <c r="H14" s="5"/>
      <c r="I14" s="5"/>
      <c r="J14" s="5"/>
      <c r="K14" s="5">
        <f t="shared" ref="K14:R14" si="1">0.35*(K12-K13)</f>
        <v>3478.9781482731969</v>
      </c>
      <c r="L14" s="5">
        <f t="shared" si="1"/>
        <v>1195.3434815721644</v>
      </c>
      <c r="M14" s="5"/>
      <c r="N14" s="5"/>
      <c r="O14" s="5">
        <f t="shared" si="1"/>
        <v>2029.565082061855</v>
      </c>
      <c r="P14" s="5">
        <f t="shared" si="1"/>
        <v>2291.3706185567007</v>
      </c>
      <c r="Q14" s="5"/>
      <c r="R14" s="5">
        <f t="shared" si="1"/>
        <v>2846.2027422680408</v>
      </c>
    </row>
    <row r="15" spans="1:20" s="146" customFormat="1">
      <c r="B15" s="147" t="s">
        <v>333</v>
      </c>
      <c r="D15" s="149">
        <f t="shared" ref="D15:R15" si="2">D12-SUM(D13:D14)</f>
        <v>21991.282992216496</v>
      </c>
      <c r="E15" s="149"/>
      <c r="F15" s="149"/>
      <c r="G15" s="149">
        <f t="shared" si="2"/>
        <v>0</v>
      </c>
      <c r="H15" s="149">
        <f t="shared" si="2"/>
        <v>0</v>
      </c>
      <c r="I15" s="149">
        <f t="shared" si="2"/>
        <v>0</v>
      </c>
      <c r="J15" s="149"/>
      <c r="K15" s="149">
        <f t="shared" si="2"/>
        <v>6460.9594182216524</v>
      </c>
      <c r="L15" s="149">
        <f t="shared" si="2"/>
        <v>2219.9236086340197</v>
      </c>
      <c r="M15" s="149"/>
      <c r="N15" s="149"/>
      <c r="O15" s="149">
        <f t="shared" si="2"/>
        <v>3769.1922952577311</v>
      </c>
      <c r="P15" s="149">
        <f t="shared" si="2"/>
        <v>4255.4025773195881</v>
      </c>
      <c r="Q15" s="149"/>
      <c r="R15" s="149">
        <f t="shared" si="2"/>
        <v>5285.8050927835047</v>
      </c>
      <c r="S15" s="148"/>
    </row>
    <row r="16" spans="1:20">
      <c r="C16" t="s">
        <v>148</v>
      </c>
      <c r="D16" s="5"/>
    </row>
    <row r="17" spans="1:19">
      <c r="A17" s="1" t="s">
        <v>334</v>
      </c>
      <c r="B17" s="45" t="s">
        <v>93</v>
      </c>
      <c r="C17" s="5">
        <v>3</v>
      </c>
      <c r="D17" s="5">
        <f>D10</f>
        <v>2.559144772890964</v>
      </c>
      <c r="E17" s="5"/>
      <c r="F17" s="5"/>
      <c r="G17" s="5">
        <f t="shared" ref="G17:R17" si="3">G10</f>
        <v>0</v>
      </c>
      <c r="H17" s="5">
        <f t="shared" si="3"/>
        <v>0</v>
      </c>
      <c r="I17" s="5">
        <f t="shared" si="3"/>
        <v>0</v>
      </c>
      <c r="J17" s="5"/>
      <c r="K17" s="5">
        <f t="shared" si="3"/>
        <v>2.6</v>
      </c>
      <c r="L17" s="5">
        <f t="shared" si="3"/>
        <v>2.85</v>
      </c>
      <c r="M17" s="5"/>
      <c r="N17" s="5"/>
      <c r="O17" s="5">
        <f t="shared" si="3"/>
        <v>2.85</v>
      </c>
      <c r="P17" s="5">
        <f t="shared" si="3"/>
        <v>2.2000000000000002</v>
      </c>
      <c r="Q17" s="5"/>
      <c r="R17" s="5">
        <f t="shared" si="3"/>
        <v>2.6</v>
      </c>
    </row>
    <row r="18" spans="1:19">
      <c r="B18" s="45" t="s">
        <v>329</v>
      </c>
      <c r="C18">
        <v>6.875</v>
      </c>
      <c r="D18" s="5">
        <f>D11</f>
        <v>21464.922371134016</v>
      </c>
      <c r="E18" s="5"/>
      <c r="F18" s="5"/>
      <c r="G18" s="5">
        <f t="shared" ref="G18:R18" si="4">G11</f>
        <v>0</v>
      </c>
      <c r="H18" s="5">
        <f t="shared" si="4"/>
        <v>0</v>
      </c>
      <c r="I18" s="5">
        <f t="shared" si="4"/>
        <v>0</v>
      </c>
      <c r="J18" s="5"/>
      <c r="K18" s="5">
        <f t="shared" si="4"/>
        <v>6154.7601030927854</v>
      </c>
      <c r="L18" s="5">
        <f t="shared" si="4"/>
        <v>1843.598969072164</v>
      </c>
      <c r="M18" s="5"/>
      <c r="N18" s="5"/>
      <c r="O18" s="5">
        <f t="shared" si="4"/>
        <v>3130.2334020618546</v>
      </c>
      <c r="P18" s="5">
        <f t="shared" si="4"/>
        <v>5301.0309278350505</v>
      </c>
      <c r="Q18" s="5"/>
      <c r="R18" s="5">
        <f t="shared" si="4"/>
        <v>5035.2989690721643</v>
      </c>
      <c r="S18" s="5"/>
    </row>
    <row r="19" spans="1:19">
      <c r="B19" s="45" t="s">
        <v>131</v>
      </c>
      <c r="C19" s="5">
        <f>C18*C17</f>
        <v>20.625</v>
      </c>
      <c r="D19" s="5">
        <f>D18*D17</f>
        <v>54931.843886597933</v>
      </c>
      <c r="E19" s="5"/>
      <c r="F19" s="5"/>
      <c r="G19" s="5">
        <f t="shared" ref="G19:R19" si="5">G18*G17</f>
        <v>0</v>
      </c>
      <c r="H19" s="5">
        <f t="shared" si="5"/>
        <v>0</v>
      </c>
      <c r="I19" s="5">
        <f t="shared" si="5"/>
        <v>0</v>
      </c>
      <c r="J19" s="5"/>
      <c r="K19" s="5">
        <f t="shared" si="5"/>
        <v>16002.376268041242</v>
      </c>
      <c r="L19" s="5">
        <f t="shared" si="5"/>
        <v>5254.2570618556674</v>
      </c>
      <c r="M19" s="5"/>
      <c r="N19" s="5"/>
      <c r="O19" s="5">
        <f t="shared" si="5"/>
        <v>8921.165195876285</v>
      </c>
      <c r="P19" s="5">
        <f t="shared" si="5"/>
        <v>11662.268041237112</v>
      </c>
      <c r="Q19" s="5"/>
      <c r="R19" s="5">
        <f t="shared" si="5"/>
        <v>13091.777319587627</v>
      </c>
      <c r="S19" s="5">
        <f>SUM(F19:R19)</f>
        <v>54931.843886597933</v>
      </c>
    </row>
    <row r="20" spans="1:19">
      <c r="B20" s="45" t="s">
        <v>335</v>
      </c>
      <c r="C20" s="5">
        <f>C19*'Hypotheses - Assumptions'!I48</f>
        <v>0.61875000000000002</v>
      </c>
      <c r="D20" s="5">
        <f>D19*'Hypotheses - Assumptions'!I48</f>
        <v>1647.955316597938</v>
      </c>
      <c r="K20">
        <f>K19*'Hypotheses - Assumptions'!I48</f>
        <v>480.07128804123727</v>
      </c>
      <c r="L20">
        <f>L19*'Hypotheses - Assumptions'!I48</f>
        <v>157.62771185567001</v>
      </c>
      <c r="O20">
        <f>O19*'Hypotheses - Assumptions'!I48</f>
        <v>267.63495587628853</v>
      </c>
      <c r="P20">
        <f>P19*'Hypotheses - Assumptions'!I48</f>
        <v>349.86804123711335</v>
      </c>
      <c r="R20">
        <f>R19*'Hypotheses - Assumptions'!I48</f>
        <v>392.75331958762882</v>
      </c>
      <c r="S20" s="5">
        <f t="shared" ref="S20:S32" si="6">SUM(F20:R20)</f>
        <v>1647.955316597938</v>
      </c>
    </row>
    <row r="21" spans="1:19">
      <c r="B21" s="45" t="s">
        <v>336</v>
      </c>
      <c r="C21" s="5">
        <f>C19+C20</f>
        <v>21.243749999999999</v>
      </c>
      <c r="D21" s="5">
        <f>D19+D20</f>
        <v>56579.799203195871</v>
      </c>
      <c r="E21" s="5"/>
      <c r="F21" s="5"/>
      <c r="G21" s="5">
        <f t="shared" ref="G21:R21" si="7">G19+G20</f>
        <v>0</v>
      </c>
      <c r="H21" s="5">
        <f t="shared" si="7"/>
        <v>0</v>
      </c>
      <c r="I21" s="5">
        <f t="shared" si="7"/>
        <v>0</v>
      </c>
      <c r="J21" s="5"/>
      <c r="K21" s="5">
        <f t="shared" si="7"/>
        <v>16482.447556082479</v>
      </c>
      <c r="L21" s="5">
        <f t="shared" si="7"/>
        <v>5411.8847737113374</v>
      </c>
      <c r="M21" s="5"/>
      <c r="N21" s="5"/>
      <c r="O21" s="5">
        <f t="shared" si="7"/>
        <v>9188.8001517525736</v>
      </c>
      <c r="P21" s="5">
        <f t="shared" si="7"/>
        <v>12012.136082474226</v>
      </c>
      <c r="Q21" s="5"/>
      <c r="R21" s="5">
        <f t="shared" si="7"/>
        <v>13484.530639175257</v>
      </c>
      <c r="S21" s="5">
        <f t="shared" si="6"/>
        <v>56579.799203195871</v>
      </c>
    </row>
    <row r="22" spans="1:19">
      <c r="D22" s="5"/>
      <c r="S22" s="5">
        <f t="shared" si="6"/>
        <v>0</v>
      </c>
    </row>
    <row r="23" spans="1:19" s="46" customFormat="1">
      <c r="B23" s="47" t="s">
        <v>100</v>
      </c>
      <c r="D23" s="5">
        <f t="shared" ref="D23:R23" si="8">SUM(D24:D26)</f>
        <v>4565.828585218369</v>
      </c>
      <c r="E23" s="5"/>
      <c r="F23" s="5"/>
      <c r="G23" s="5">
        <f t="shared" si="8"/>
        <v>0</v>
      </c>
      <c r="H23" s="5">
        <f t="shared" si="8"/>
        <v>72</v>
      </c>
      <c r="I23" s="5">
        <f t="shared" si="8"/>
        <v>144</v>
      </c>
      <c r="J23" s="5"/>
      <c r="K23" s="5">
        <f t="shared" si="8"/>
        <v>1236.4514659343959</v>
      </c>
      <c r="L23" s="5">
        <f t="shared" si="8"/>
        <v>399.26580701968123</v>
      </c>
      <c r="M23" s="5"/>
      <c r="N23" s="5"/>
      <c r="O23" s="5">
        <f t="shared" si="8"/>
        <v>627.66797219868772</v>
      </c>
      <c r="P23" s="5">
        <f t="shared" si="8"/>
        <v>1084.8947985004684</v>
      </c>
      <c r="Q23" s="5"/>
      <c r="R23" s="5">
        <f t="shared" si="8"/>
        <v>1001.7522915651358</v>
      </c>
      <c r="S23" s="5">
        <f t="shared" si="6"/>
        <v>4566.0323352183686</v>
      </c>
    </row>
    <row r="24" spans="1:19">
      <c r="B24" s="48" t="s">
        <v>98</v>
      </c>
      <c r="D24" s="5">
        <f>SUM(F24:R24)</f>
        <v>756</v>
      </c>
      <c r="H24">
        <f>'MG Unit Model 2'!B32*750*12/1000</f>
        <v>72</v>
      </c>
      <c r="I24">
        <f>'MG Unit Model 2'!C32*750*12/1000</f>
        <v>144</v>
      </c>
      <c r="K24">
        <f>'MG Unit Model 2'!E32*750*12/1000</f>
        <v>144</v>
      </c>
      <c r="L24">
        <f>'MG Unit Model 2'!F32*750*12/1000</f>
        <v>72</v>
      </c>
      <c r="O24">
        <f>'MG Unit Model 2'!G32*750*12/1000</f>
        <v>72</v>
      </c>
      <c r="P24">
        <f>'MG Unit Model 2'!H32*750*12/1000</f>
        <v>144</v>
      </c>
      <c r="R24">
        <f>'MG Unit Model 2'!J32*750*12/1000</f>
        <v>108</v>
      </c>
      <c r="S24" s="5">
        <f t="shared" si="6"/>
        <v>756</v>
      </c>
    </row>
    <row r="25" spans="1:19">
      <c r="B25" s="49" t="s">
        <v>99</v>
      </c>
      <c r="C25">
        <v>1</v>
      </c>
      <c r="D25">
        <f>$C25*(('Hypotheses - Assumptions'!$I59*((('Value Chain'!D28-1000)/1000)+('Hypotheses - Assumptions'!$I57*(('Value Chain'!D18-'Value Chain'!$C18)/'Value Chain'!$C18)))) + 'Value Chain'!$C25)</f>
        <v>2341.6278950328019</v>
      </c>
      <c r="K25">
        <f>$C25*(('Hypotheses - Assumptions'!$I59*((('Value Chain'!K28-1000)/1000)+('Hypotheses - Assumptions'!$I57*(('Value Chain'!K18-'Value Chain'!$C18)/'Value Chain'!$C18)))) + 'Value Chain'!$C25)</f>
        <v>671.46587488284933</v>
      </c>
      <c r="L25">
        <f>$C25*(('Hypotheses - Assumptions'!$I59*((('Value Chain'!L28-1000)/1000)+('Hypotheses - Assumptions'!$I57*(('Value Chain'!L18-'Value Chain'!$C18)/'Value Chain'!$C18)))) + 'Value Chain'!$C25)</f>
        <v>201.16363753514517</v>
      </c>
      <c r="O25">
        <f>$C25*(('Hypotheses - Assumptions'!$I59*((('Value Chain'!O28-1000)/1000)+('Hypotheses - Assumptions'!$I57*(('Value Chain'!O18-'Value Chain'!$C18)/'Value Chain'!$C18)))) + 'Value Chain'!$C25)</f>
        <v>341.56000749765684</v>
      </c>
      <c r="P25">
        <f>$C25*(('Hypotheses - Assumptions'!$I59*((('Value Chain'!P28-1000)/1000)+('Hypotheses - Assumptions'!$I57*(('Value Chain'!P18-'Value Chain'!$C18)/'Value Chain'!$C18)))) + 'Value Chain'!$C25)</f>
        <v>578.30428303655094</v>
      </c>
      <c r="R25">
        <f>$C25*(('Hypotheses - Assumptions'!$I59*((('Value Chain'!R28-1000)/1000)+('Hypotheses - Assumptions'!$I57*(('Value Chain'!R18-'Value Chain'!$C18)/'Value Chain'!$C18)))) + 'Value Chain'!$C25)</f>
        <v>549.33784208059978</v>
      </c>
      <c r="S25" s="5">
        <f t="shared" si="6"/>
        <v>2341.831645032802</v>
      </c>
    </row>
    <row r="26" spans="1:19">
      <c r="B26" s="48" t="s">
        <v>151</v>
      </c>
      <c r="D26" s="5">
        <f>0.01*D37</f>
        <v>1468.2006901855668</v>
      </c>
      <c r="E26" s="5"/>
      <c r="F26" s="5"/>
      <c r="G26" s="5"/>
      <c r="H26" s="5"/>
      <c r="I26" s="5"/>
      <c r="J26" s="5"/>
      <c r="K26" s="5">
        <f t="shared" ref="K26:R26" si="9">0.01*K37</f>
        <v>420.98559105154652</v>
      </c>
      <c r="L26" s="5">
        <f t="shared" si="9"/>
        <v>126.10216948453603</v>
      </c>
      <c r="M26" s="5"/>
      <c r="N26" s="5"/>
      <c r="O26" s="5">
        <f t="shared" si="9"/>
        <v>214.10796470103082</v>
      </c>
      <c r="P26" s="5">
        <f t="shared" si="9"/>
        <v>362.59051546391748</v>
      </c>
      <c r="Q26" s="5"/>
      <c r="R26" s="5">
        <f t="shared" si="9"/>
        <v>344.41444948453602</v>
      </c>
      <c r="S26" s="5">
        <f t="shared" si="6"/>
        <v>1468.2006901855671</v>
      </c>
    </row>
    <row r="27" spans="1:19">
      <c r="B27" s="51" t="s">
        <v>101</v>
      </c>
      <c r="D27" s="5">
        <f t="shared" ref="D27:R27" si="10">SUM(D29:D31)</f>
        <v>46078.716789848557</v>
      </c>
      <c r="E27" s="5"/>
      <c r="F27" s="5"/>
      <c r="G27" s="5"/>
      <c r="H27" s="5"/>
      <c r="I27" s="5"/>
      <c r="J27" s="5"/>
      <c r="K27" s="5">
        <f t="shared" si="10"/>
        <v>9469.6859656245579</v>
      </c>
      <c r="L27" s="5">
        <f t="shared" si="10"/>
        <v>2835.6370315726335</v>
      </c>
      <c r="M27" s="5"/>
      <c r="N27" s="5"/>
      <c r="O27" s="5">
        <f t="shared" si="10"/>
        <v>4816.2200944284905</v>
      </c>
      <c r="P27" s="5">
        <f t="shared" si="10"/>
        <v>13668.081200749768</v>
      </c>
      <c r="Q27" s="5"/>
      <c r="R27" s="5">
        <f t="shared" si="10"/>
        <v>7746.9287002999063</v>
      </c>
      <c r="S27" s="5">
        <f t="shared" si="6"/>
        <v>38536.552992675352</v>
      </c>
    </row>
    <row r="28" spans="1:19">
      <c r="B28" s="50" t="s">
        <v>150</v>
      </c>
      <c r="D28" s="5"/>
      <c r="E28" s="5"/>
      <c r="F28" s="5"/>
      <c r="G28" s="5"/>
      <c r="H28" s="5"/>
      <c r="I28" s="5"/>
      <c r="J28" s="5"/>
      <c r="K28" s="5">
        <v>150</v>
      </c>
      <c r="L28" s="5">
        <v>175</v>
      </c>
      <c r="M28" s="5"/>
      <c r="N28" s="5"/>
      <c r="O28" s="5">
        <v>320</v>
      </c>
      <c r="P28" s="5">
        <v>40</v>
      </c>
      <c r="Q28" s="5"/>
      <c r="R28" s="5">
        <v>130</v>
      </c>
      <c r="S28" s="5">
        <f t="shared" si="6"/>
        <v>815</v>
      </c>
    </row>
    <row r="29" spans="1:19">
      <c r="B29" s="49" t="s">
        <v>149</v>
      </c>
      <c r="C29">
        <v>4.5</v>
      </c>
      <c r="D29" s="5">
        <f>SUM(F29:R29)</f>
        <v>7017.3011850984067</v>
      </c>
      <c r="K29">
        <f>$C29*(('Hypotheses - Assumptions'!$I63*((('Value Chain'!K28-1000)/1000)+('Hypotheses - Assumptions'!$I61*(('Value Chain'!K18-'Value Chain'!$C18)/'Value Chain'!$C18))))+1)</f>
        <v>2012.7101246485479</v>
      </c>
      <c r="L29">
        <f>$C29*(('Hypotheses - Assumptions'!$I63*((('Value Chain'!L28-1000)/1000)+('Hypotheses - Assumptions'!$I61*(('Value Chain'!L18-'Value Chain'!$C18)/'Value Chain'!$C18))))+1)</f>
        <v>601.8971626054356</v>
      </c>
      <c r="O29">
        <f>$C29*(('Hypotheses - Assumptions'!$I63*((('Value Chain'!O28-1000)/1000)+('Hypotheses - Assumptions'!$I61*(('Value Chain'!O18-'Value Chain'!$C18)/'Value Chain'!$C18))))+1)</f>
        <v>1023.6300224929705</v>
      </c>
      <c r="P29">
        <f>$C29*(('Hypotheses - Assumptions'!$I63*((('Value Chain'!P28-1000)/1000)+('Hypotheses - Assumptions'!$I61*(('Value Chain'!P18-'Value Chain'!$C18)/'Value Chain'!$C18))))+1)</f>
        <v>1732.8128491096531</v>
      </c>
      <c r="R29">
        <f>$C29*(('Hypotheses - Assumptions'!$I63*((('Value Chain'!R28-1000)/1000)+('Hypotheses - Assumptions'!$I61*(('Value Chain'!R18-'Value Chain'!$C18)/'Value Chain'!$C18))))+1)</f>
        <v>1646.2510262417991</v>
      </c>
      <c r="S29" s="5">
        <f t="shared" si="6"/>
        <v>7017.3011850984067</v>
      </c>
    </row>
    <row r="30" spans="1:19">
      <c r="B30" s="49" t="s">
        <v>337</v>
      </c>
      <c r="C30">
        <v>0.36</v>
      </c>
      <c r="D30" s="5">
        <f>SUM(F30:R30)</f>
        <v>562.51404480787255</v>
      </c>
      <c r="K30">
        <f>$C30*(('Hypotheses - Assumptions'!$I67*((('Value Chain'!K28-1000)/1000)+('Hypotheses - Assumptions'!$I65*(('Value Chain'!K18-'Value Chain'!$C18)/'Value Chain'!$C18))))+1)</f>
        <v>161.24630997188385</v>
      </c>
      <c r="L30">
        <f>$C30*(('Hypotheses - Assumptions'!$I67*((('Value Chain'!L28-1000)/1000)+('Hypotheses - Assumptions'!$I65*(('Value Chain'!L18-'Value Chain'!$C18)/'Value Chain'!$C18))))+1)</f>
        <v>48.374523008434835</v>
      </c>
      <c r="O30">
        <f>$C30*(('Hypotheses - Assumptions'!$I67*((('Value Chain'!O28-1000)/1000)+('Hypotheses - Assumptions'!$I65*(('Value Chain'!O18-'Value Chain'!$C18)/'Value Chain'!$C18))))+1)</f>
        <v>82.074001799437653</v>
      </c>
      <c r="P30">
        <f>$C30*(('Hypotheses - Assumptions'!$I67*((('Value Chain'!P28-1000)/1000)+('Hypotheses - Assumptions'!$I65*(('Value Chain'!P18-'Value Chain'!$C18)/'Value Chain'!$C18))))+1)</f>
        <v>138.88422792877222</v>
      </c>
      <c r="R30">
        <f>$C30*(('Hypotheses - Assumptions'!$I67*((('Value Chain'!R28-1000)/1000)+('Hypotheses - Assumptions'!$I65*(('Value Chain'!R18-'Value Chain'!$C18)/'Value Chain'!$C18))))+1)</f>
        <v>131.93498209934393</v>
      </c>
      <c r="S30" s="5">
        <f t="shared" si="6"/>
        <v>562.51404480787255</v>
      </c>
    </row>
    <row r="31" spans="1:19">
      <c r="B31" s="48" t="s">
        <v>105</v>
      </c>
      <c r="D31">
        <f>'Hypotheses - Assumptions'!$I50*D35*(D36+('Hypotheses - Assumptions'!$I71*Fundamentals!C27))</f>
        <v>38498.901559942278</v>
      </c>
      <c r="K31">
        <f>(  'Hypotheses - Assumptions'!$I50*K35*(K36+('Hypotheses - Assumptions'!$I71*Fundamentals!J27))   )    +  ((K36+'MG Unit Model 2'!E27)*'Value Chain'!K34*'Hypotheses - Assumptions'!$I50)</f>
        <v>7295.7295310041272</v>
      </c>
      <c r="L31">
        <f>(  'Hypotheses - Assumptions'!$I50*L35*(L36+('Hypotheses - Assumptions'!$I71*Fundamentals!K27))   )    +  ((L36+'MG Unit Model 2'!F27)*'Value Chain'!L34*'Hypotheses - Assumptions'!$I50)</f>
        <v>2185.3653459587631</v>
      </c>
      <c r="O31">
        <f>(  'Hypotheses - Assumptions'!$I50*O35*(O36+('Hypotheses - Assumptions'!$I71*Fundamentals!N27))   )    +  ((O36+'MG Unit Model 2'!G27)*'Value Chain'!O34*'Hypotheses - Assumptions'!$I50)</f>
        <v>3710.5160701360828</v>
      </c>
      <c r="P31">
        <f>(  'Hypotheses - Assumptions'!$I50*P35*(P36+('Hypotheses - Assumptions'!$I71*Fundamentals!O27))   )    +  ((P36+'MG Unit Model 2'!H27)*'Value Chain'!P34*'Hypotheses - Assumptions'!$I50)</f>
        <v>11796.384123711343</v>
      </c>
      <c r="R31">
        <f>(  'Hypotheses - Assumptions'!$I50*R35*(R36+('Hypotheses - Assumptions'!$I71*Fundamentals!Q27))   )    +  ((R36+'MG Unit Model 2'!J27)*'Value Chain'!R34*'Hypotheses - Assumptions'!$I50)</f>
        <v>5968.7426919587633</v>
      </c>
      <c r="S31" s="5">
        <f t="shared" si="6"/>
        <v>30956.737762769077</v>
      </c>
    </row>
    <row r="32" spans="1:19" s="150" customFormat="1">
      <c r="B32" s="151" t="s">
        <v>224</v>
      </c>
      <c r="D32" s="152">
        <f t="shared" ref="D32:R32" si="11">D23+D27</f>
        <v>50644.545375066926</v>
      </c>
      <c r="E32" s="152"/>
      <c r="F32" s="152"/>
      <c r="G32" s="152">
        <f t="shared" si="11"/>
        <v>0</v>
      </c>
      <c r="H32" s="152">
        <f t="shared" si="11"/>
        <v>72</v>
      </c>
      <c r="I32" s="152">
        <f t="shared" si="11"/>
        <v>144</v>
      </c>
      <c r="J32" s="152"/>
      <c r="K32" s="152">
        <f t="shared" si="11"/>
        <v>10706.137431558953</v>
      </c>
      <c r="L32" s="152">
        <f t="shared" si="11"/>
        <v>3234.9028385923148</v>
      </c>
      <c r="M32" s="152"/>
      <c r="N32" s="152"/>
      <c r="O32" s="152">
        <f t="shared" si="11"/>
        <v>5443.888066627178</v>
      </c>
      <c r="P32" s="152">
        <f t="shared" si="11"/>
        <v>14752.975999250237</v>
      </c>
      <c r="Q32" s="152"/>
      <c r="R32" s="152">
        <f t="shared" si="11"/>
        <v>8748.6809918650415</v>
      </c>
      <c r="S32" s="5">
        <f t="shared" si="6"/>
        <v>43102.585327893721</v>
      </c>
    </row>
    <row r="33" spans="1:21">
      <c r="B33" s="54"/>
      <c r="D33" s="5"/>
      <c r="S33" s="5"/>
    </row>
    <row r="34" spans="1:21">
      <c r="B34" s="52" t="s">
        <v>338</v>
      </c>
      <c r="D34" s="5">
        <f>F34</f>
        <v>0</v>
      </c>
      <c r="K34">
        <v>0.2</v>
      </c>
      <c r="L34">
        <v>0.2</v>
      </c>
      <c r="O34">
        <v>0.2</v>
      </c>
      <c r="P34">
        <v>0.2</v>
      </c>
      <c r="R34">
        <v>0.2</v>
      </c>
      <c r="S34" s="5"/>
    </row>
    <row r="35" spans="1:21">
      <c r="B35" s="52" t="s">
        <v>140</v>
      </c>
      <c r="D35" s="114">
        <f>7+('Hypotheses - Assumptions'!I35*'Hypotheses - Assumptions'!I42)</f>
        <v>7.2</v>
      </c>
      <c r="E35" s="115"/>
      <c r="F35" s="115"/>
      <c r="G35" s="115">
        <v>7.2</v>
      </c>
      <c r="H35" s="115">
        <v>7.2</v>
      </c>
      <c r="I35" s="115">
        <v>7.2</v>
      </c>
      <c r="J35" s="115"/>
      <c r="K35" s="115">
        <v>7.2</v>
      </c>
      <c r="L35" s="115">
        <v>7.2</v>
      </c>
      <c r="M35" s="115">
        <v>7.2</v>
      </c>
      <c r="N35" s="115">
        <v>7.2</v>
      </c>
      <c r="O35" s="115">
        <v>7.2</v>
      </c>
      <c r="P35" s="115">
        <v>7.2</v>
      </c>
      <c r="Q35" s="115"/>
      <c r="R35" s="115">
        <v>7.2</v>
      </c>
      <c r="S35" s="5"/>
    </row>
    <row r="36" spans="1:21" ht="25.5">
      <c r="B36" s="53" t="s">
        <v>258</v>
      </c>
      <c r="D36" s="5">
        <f>D18*(1-'Hypotheses - Assumptions'!I52)</f>
        <v>20391.676252577316</v>
      </c>
      <c r="E36" s="5"/>
      <c r="F36" s="5"/>
      <c r="K36">
        <f>K18*(1-'Hypotheses - Assumptions'!I52)</f>
        <v>5847.0220979381456</v>
      </c>
      <c r="L36">
        <f>L18*(1-'Hypotheses - Assumptions'!I52)</f>
        <v>1751.4190206185558</v>
      </c>
      <c r="O36">
        <f>O18*(1-'Hypotheses - Assumptions'!I52)</f>
        <v>2973.7217319587617</v>
      </c>
      <c r="P36">
        <f>P18*(1-'Hypotheses - Assumptions'!I52)</f>
        <v>5035.9793814432978</v>
      </c>
      <c r="R36">
        <f>R18*(1-'Hypotheses - Assumptions'!I52)</f>
        <v>4783.5340206185556</v>
      </c>
      <c r="S36" s="5"/>
    </row>
    <row r="37" spans="1:21">
      <c r="B37" s="52" t="s">
        <v>102</v>
      </c>
      <c r="D37" s="5">
        <f>D36*D35</f>
        <v>146820.06901855668</v>
      </c>
      <c r="E37" s="5"/>
      <c r="F37" s="5"/>
      <c r="G37" s="5">
        <f t="shared" ref="G37:R37" si="12">G36*G35</f>
        <v>0</v>
      </c>
      <c r="H37" s="5">
        <f t="shared" si="12"/>
        <v>0</v>
      </c>
      <c r="I37" s="5">
        <f t="shared" si="12"/>
        <v>0</v>
      </c>
      <c r="J37" s="5"/>
      <c r="K37" s="5">
        <f t="shared" si="12"/>
        <v>42098.559105154651</v>
      </c>
      <c r="L37" s="5">
        <f t="shared" si="12"/>
        <v>12610.216948453603</v>
      </c>
      <c r="M37" s="5">
        <f t="shared" si="12"/>
        <v>0</v>
      </c>
      <c r="N37" s="5">
        <f t="shared" si="12"/>
        <v>0</v>
      </c>
      <c r="O37" s="5">
        <f t="shared" si="12"/>
        <v>21410.796470103083</v>
      </c>
      <c r="P37" s="5">
        <f t="shared" si="12"/>
        <v>36259.051546391747</v>
      </c>
      <c r="Q37" s="5"/>
      <c r="R37" s="5">
        <f t="shared" si="12"/>
        <v>34441.444948453602</v>
      </c>
      <c r="S37" s="5"/>
    </row>
    <row r="38" spans="1:21">
      <c r="B38" s="52" t="s">
        <v>133</v>
      </c>
      <c r="D38" s="5">
        <f t="shared" ref="D38:R38" si="13">D37-D32-D21</f>
        <v>39595.724440293881</v>
      </c>
      <c r="E38" s="5"/>
      <c r="F38" s="5"/>
      <c r="G38" s="5">
        <f t="shared" si="13"/>
        <v>0</v>
      </c>
      <c r="H38" s="5">
        <f t="shared" si="13"/>
        <v>-72</v>
      </c>
      <c r="I38" s="5">
        <f t="shared" si="13"/>
        <v>-144</v>
      </c>
      <c r="J38" s="5"/>
      <c r="K38" s="5">
        <f t="shared" si="13"/>
        <v>14909.974117513219</v>
      </c>
      <c r="L38" s="5">
        <f t="shared" si="13"/>
        <v>3963.4293361499494</v>
      </c>
      <c r="M38" s="5">
        <f t="shared" si="13"/>
        <v>0</v>
      </c>
      <c r="N38" s="5">
        <f t="shared" si="13"/>
        <v>0</v>
      </c>
      <c r="O38" s="5">
        <f t="shared" si="13"/>
        <v>6778.1082517233317</v>
      </c>
      <c r="P38" s="5">
        <f t="shared" si="13"/>
        <v>9493.9394646672845</v>
      </c>
      <c r="Q38" s="5"/>
      <c r="R38" s="5">
        <f t="shared" si="13"/>
        <v>12208.233317413305</v>
      </c>
      <c r="S38" s="5"/>
    </row>
    <row r="39" spans="1:21">
      <c r="B39" s="50" t="s">
        <v>104</v>
      </c>
      <c r="D39" s="5"/>
      <c r="S39" s="5"/>
    </row>
    <row r="40" spans="1:21">
      <c r="B40" s="52" t="s">
        <v>225</v>
      </c>
      <c r="D40" s="5">
        <f>SUM(F40:R40)</f>
        <v>10938.701116604898</v>
      </c>
      <c r="E40" s="5"/>
      <c r="F40" s="5"/>
      <c r="G40" s="5"/>
      <c r="H40" s="5"/>
      <c r="I40" s="5"/>
      <c r="J40" s="5"/>
      <c r="K40" s="5">
        <f>IF((K38-K39)&gt;0,0.35*(K38-K39)*'Hypotheses - Assumptions'!$I71,)</f>
        <v>3444.2040211455533</v>
      </c>
      <c r="L40" s="5">
        <f>IF((L38-L39)&gt;0,0.35*(L38-L39)*'Hypotheses - Assumptions'!$I71,)</f>
        <v>915.55217665063822</v>
      </c>
      <c r="M40" s="5"/>
      <c r="N40" s="5"/>
      <c r="O40" s="5">
        <f>IF((O38-O39)&gt;0,0.35*(O38-O39)*'Hypotheses - Assumptions'!$I71,)</f>
        <v>1565.7430061480895</v>
      </c>
      <c r="P40" s="5">
        <f>IF((P38-P39)&gt;0,0.35*(P38-P39)*'Hypotheses - Assumptions'!$I71,)</f>
        <v>2193.1000163381427</v>
      </c>
      <c r="Q40" s="5"/>
      <c r="R40" s="5">
        <f>IF((R38-R39)&gt;0,0.35*(R38-R39)*'Hypotheses - Assumptions'!$I71,)</f>
        <v>2820.1018963224737</v>
      </c>
      <c r="S40" s="39"/>
      <c r="T40" s="15"/>
      <c r="U40" s="15"/>
    </row>
    <row r="41" spans="1:21" s="146" customFormat="1">
      <c r="B41" s="147" t="s">
        <v>340</v>
      </c>
      <c r="D41" s="149">
        <f>D38-D39-D40</f>
        <v>28657.023323688984</v>
      </c>
      <c r="E41" s="149"/>
      <c r="F41" s="149"/>
      <c r="G41" s="149"/>
      <c r="H41" s="149"/>
      <c r="I41" s="149"/>
      <c r="J41" s="149"/>
      <c r="K41" s="149">
        <f t="shared" ref="K41:L41" si="14">K38-K39-K40</f>
        <v>11465.770096367665</v>
      </c>
      <c r="L41" s="149">
        <f t="shared" si="14"/>
        <v>3047.8771594993113</v>
      </c>
      <c r="M41" s="149"/>
      <c r="N41" s="149"/>
      <c r="O41" s="149">
        <f>O38-O39-O40</f>
        <v>5212.3652455752417</v>
      </c>
      <c r="P41" s="149">
        <f>P38-P39-P40</f>
        <v>7300.8394483291413</v>
      </c>
      <c r="Q41" s="149"/>
      <c r="R41" s="149">
        <f>R38-R39-R40</f>
        <v>9388.1314210908313</v>
      </c>
      <c r="S41" s="148">
        <f>SUM(F41:R41)</f>
        <v>36414.983370862188</v>
      </c>
    </row>
    <row r="42" spans="1:21">
      <c r="B42" s="54"/>
      <c r="D42" s="5"/>
      <c r="S42" s="15"/>
      <c r="T42" s="15"/>
      <c r="U42" s="15"/>
    </row>
    <row r="43" spans="1:21">
      <c r="B43" s="54"/>
      <c r="D43" s="5"/>
    </row>
    <row r="44" spans="1:21">
      <c r="A44" s="1" t="s">
        <v>339</v>
      </c>
      <c r="B44" s="45" t="s">
        <v>106</v>
      </c>
      <c r="D44" s="5">
        <f>D35</f>
        <v>7.2</v>
      </c>
      <c r="G44">
        <v>7.2</v>
      </c>
      <c r="H44">
        <v>7.2</v>
      </c>
      <c r="I44">
        <v>7.2</v>
      </c>
      <c r="K44">
        <v>7.2</v>
      </c>
      <c r="L44">
        <v>7.2</v>
      </c>
      <c r="M44">
        <v>7.2</v>
      </c>
      <c r="N44">
        <v>7.2</v>
      </c>
      <c r="O44">
        <v>7.2</v>
      </c>
      <c r="P44">
        <v>7.2</v>
      </c>
      <c r="R44">
        <v>7.2</v>
      </c>
    </row>
    <row r="45" spans="1:21">
      <c r="B45" s="45" t="s">
        <v>138</v>
      </c>
      <c r="D45" s="5">
        <f>D36</f>
        <v>20391.676252577316</v>
      </c>
      <c r="E45" s="5">
        <f t="shared" ref="E45:R45" si="15">E36</f>
        <v>0</v>
      </c>
      <c r="F45" s="5"/>
      <c r="G45" s="5">
        <f t="shared" si="15"/>
        <v>0</v>
      </c>
      <c r="H45" s="5">
        <f t="shared" si="15"/>
        <v>0</v>
      </c>
      <c r="I45" s="5">
        <f t="shared" si="15"/>
        <v>0</v>
      </c>
      <c r="J45" s="5"/>
      <c r="K45" s="5">
        <f t="shared" si="15"/>
        <v>5847.0220979381456</v>
      </c>
      <c r="L45" s="5">
        <f t="shared" si="15"/>
        <v>1751.4190206185558</v>
      </c>
      <c r="M45" s="5">
        <f t="shared" si="15"/>
        <v>0</v>
      </c>
      <c r="N45" s="5">
        <f t="shared" si="15"/>
        <v>0</v>
      </c>
      <c r="O45" s="5">
        <f t="shared" si="15"/>
        <v>2973.7217319587617</v>
      </c>
      <c r="P45" s="5">
        <f t="shared" si="15"/>
        <v>5035.9793814432978</v>
      </c>
      <c r="Q45" s="5"/>
      <c r="R45" s="5">
        <f t="shared" si="15"/>
        <v>4783.5340206185556</v>
      </c>
    </row>
    <row r="46" spans="1:21">
      <c r="B46" s="45" t="s">
        <v>107</v>
      </c>
      <c r="D46" s="5">
        <f>D45*D44</f>
        <v>146820.06901855668</v>
      </c>
      <c r="E46" s="5">
        <f t="shared" ref="E46:R46" si="16">E45*E44</f>
        <v>0</v>
      </c>
      <c r="F46" s="5"/>
      <c r="G46" s="5">
        <f t="shared" si="16"/>
        <v>0</v>
      </c>
      <c r="H46" s="5">
        <f t="shared" si="16"/>
        <v>0</v>
      </c>
      <c r="I46" s="5">
        <f t="shared" si="16"/>
        <v>0</v>
      </c>
      <c r="J46" s="5"/>
      <c r="K46" s="5">
        <f t="shared" si="16"/>
        <v>42098.559105154651</v>
      </c>
      <c r="L46" s="5">
        <f t="shared" si="16"/>
        <v>12610.216948453603</v>
      </c>
      <c r="M46" s="5">
        <f t="shared" si="16"/>
        <v>0</v>
      </c>
      <c r="N46" s="5">
        <f t="shared" si="16"/>
        <v>0</v>
      </c>
      <c r="O46" s="5">
        <f t="shared" si="16"/>
        <v>21410.796470103083</v>
      </c>
      <c r="P46" s="5">
        <f t="shared" si="16"/>
        <v>36259.051546391747</v>
      </c>
      <c r="Q46" s="5"/>
      <c r="R46" s="5">
        <f t="shared" si="16"/>
        <v>34441.444948453602</v>
      </c>
    </row>
    <row r="47" spans="1:21">
      <c r="B47" s="51" t="s">
        <v>110</v>
      </c>
      <c r="D47" s="5"/>
      <c r="E47" s="5"/>
      <c r="F47" s="5"/>
      <c r="G47" s="5"/>
      <c r="H47" s="5"/>
      <c r="I47" s="5"/>
      <c r="J47" s="5"/>
      <c r="K47" s="5"/>
      <c r="L47" s="5"/>
      <c r="M47" s="5"/>
      <c r="N47" s="5"/>
      <c r="O47" s="5"/>
      <c r="P47" s="5"/>
      <c r="Q47" s="5"/>
      <c r="R47" s="5"/>
    </row>
    <row r="48" spans="1:21" s="60" customFormat="1">
      <c r="B48" s="50" t="s">
        <v>261</v>
      </c>
      <c r="D48" s="60">
        <f>(D45/240)*25</f>
        <v>2124.1329429768039</v>
      </c>
      <c r="E48" s="60">
        <f>(E45/240)*25</f>
        <v>0</v>
      </c>
      <c r="G48" s="60">
        <f t="shared" ref="G48:R48" si="17">(G45/240)*25</f>
        <v>0</v>
      </c>
      <c r="H48" s="60">
        <f t="shared" si="17"/>
        <v>0</v>
      </c>
      <c r="I48" s="60">
        <f t="shared" si="17"/>
        <v>0</v>
      </c>
      <c r="K48" s="60">
        <f t="shared" si="17"/>
        <v>609.06480186855686</v>
      </c>
      <c r="L48" s="60">
        <f t="shared" si="17"/>
        <v>182.4394813144329</v>
      </c>
      <c r="M48" s="60">
        <f t="shared" si="17"/>
        <v>0</v>
      </c>
      <c r="N48" s="60">
        <f t="shared" si="17"/>
        <v>0</v>
      </c>
      <c r="O48" s="60">
        <f t="shared" si="17"/>
        <v>309.76268041237103</v>
      </c>
      <c r="P48" s="60">
        <f t="shared" si="17"/>
        <v>524.58118556701015</v>
      </c>
      <c r="R48" s="60">
        <f t="shared" si="17"/>
        <v>498.28479381443287</v>
      </c>
    </row>
    <row r="49" spans="2:19" s="60" customFormat="1">
      <c r="B49" s="50" t="s">
        <v>238</v>
      </c>
      <c r="D49" s="60">
        <f>(D45/240)*6</f>
        <v>509.79190631443288</v>
      </c>
      <c r="E49" s="60">
        <f>(E45/240)*6</f>
        <v>0</v>
      </c>
      <c r="G49" s="60">
        <f t="shared" ref="G49:R49" si="18">(G45/240)*6</f>
        <v>0</v>
      </c>
      <c r="H49" s="60">
        <f t="shared" si="18"/>
        <v>0</v>
      </c>
      <c r="I49" s="60">
        <f t="shared" si="18"/>
        <v>0</v>
      </c>
      <c r="K49" s="60">
        <f t="shared" si="18"/>
        <v>146.17555244845363</v>
      </c>
      <c r="L49" s="60">
        <f t="shared" si="18"/>
        <v>43.785475515463901</v>
      </c>
      <c r="M49" s="60">
        <f t="shared" si="18"/>
        <v>0</v>
      </c>
      <c r="N49" s="60">
        <f t="shared" si="18"/>
        <v>0</v>
      </c>
      <c r="O49" s="60">
        <f t="shared" si="18"/>
        <v>74.34304329896905</v>
      </c>
      <c r="P49" s="60">
        <f t="shared" si="18"/>
        <v>125.89948453608244</v>
      </c>
      <c r="R49" s="60">
        <f t="shared" si="18"/>
        <v>119.5883505154639</v>
      </c>
    </row>
    <row r="50" spans="2:19">
      <c r="B50" s="45" t="s">
        <v>139</v>
      </c>
      <c r="D50" s="5"/>
      <c r="G50">
        <v>0.2</v>
      </c>
      <c r="H50">
        <v>0.2</v>
      </c>
      <c r="I50">
        <v>0.2</v>
      </c>
      <c r="K50">
        <v>0.2</v>
      </c>
      <c r="L50">
        <v>0.2</v>
      </c>
      <c r="M50">
        <v>0.2</v>
      </c>
      <c r="N50">
        <v>0.2</v>
      </c>
      <c r="O50">
        <v>0.2</v>
      </c>
      <c r="P50">
        <v>0.2</v>
      </c>
      <c r="R50">
        <v>0.2</v>
      </c>
    </row>
    <row r="51" spans="2:19">
      <c r="B51" s="45" t="s">
        <v>108</v>
      </c>
      <c r="D51" s="5">
        <f>AVERAGE(F51:R51)</f>
        <v>9.5</v>
      </c>
      <c r="E51" s="5">
        <f>Fundamentals!D28+0.5</f>
        <v>12.5</v>
      </c>
      <c r="F51" s="5"/>
      <c r="G51" s="5"/>
      <c r="H51" s="5"/>
      <c r="I51" s="5"/>
      <c r="J51" s="5"/>
      <c r="K51" s="5">
        <f>Fundamentals!J28+K50</f>
        <v>9.1999999999999993</v>
      </c>
      <c r="L51" s="5">
        <f>Fundamentals!K28+L50</f>
        <v>10.199999999999999</v>
      </c>
      <c r="M51" s="5"/>
      <c r="N51" s="5"/>
      <c r="O51" s="5">
        <f>Fundamentals!N28+O50</f>
        <v>9.6999999999999993</v>
      </c>
      <c r="P51" s="5">
        <f>Fundamentals!O28+P50</f>
        <v>9.1999999999999993</v>
      </c>
      <c r="Q51" s="5"/>
      <c r="R51" s="5">
        <f>Fundamentals!Q28+R50</f>
        <v>9.1999999999999993</v>
      </c>
    </row>
    <row r="52" spans="2:19">
      <c r="B52" s="55" t="s">
        <v>134</v>
      </c>
      <c r="D52" s="5">
        <f>D45*(1-'Hypotheses - Assumptions'!I52)</f>
        <v>19372.09243994845</v>
      </c>
      <c r="K52">
        <f>K45*(1-'Hypotheses - Assumptions'!I52)</f>
        <v>5554.670993041238</v>
      </c>
      <c r="L52">
        <f>L45*(1-'Hypotheses - Assumptions'!I52)</f>
        <v>1663.8480695876278</v>
      </c>
      <c r="O52">
        <f>O45*(1-'Hypotheses - Assumptions'!I52)</f>
        <v>2825.0356453608233</v>
      </c>
      <c r="P52">
        <f>P45*(1-'Hypotheses - Assumptions'!I52)</f>
        <v>4784.1804123711327</v>
      </c>
      <c r="R52">
        <f>R45*(1-'Hypotheses - Assumptions'!I52)</f>
        <v>4544.3573195876279</v>
      </c>
    </row>
    <row r="53" spans="2:19">
      <c r="B53" s="45" t="s">
        <v>109</v>
      </c>
      <c r="D53" s="5">
        <f>SUM(F53:R53)</f>
        <v>181299.61633979375</v>
      </c>
      <c r="E53" s="5">
        <f t="shared" ref="E53:R53" si="19">E52*E51</f>
        <v>0</v>
      </c>
      <c r="F53" s="5"/>
      <c r="G53" s="5">
        <f t="shared" si="19"/>
        <v>0</v>
      </c>
      <c r="H53" s="5">
        <f t="shared" si="19"/>
        <v>0</v>
      </c>
      <c r="I53" s="5">
        <f t="shared" si="19"/>
        <v>0</v>
      </c>
      <c r="J53" s="5"/>
      <c r="K53" s="5">
        <f t="shared" si="19"/>
        <v>51102.973135979388</v>
      </c>
      <c r="L53" s="5">
        <f t="shared" si="19"/>
        <v>16971.250309793802</v>
      </c>
      <c r="M53" s="5">
        <f t="shared" si="19"/>
        <v>0</v>
      </c>
      <c r="N53" s="5">
        <f t="shared" si="19"/>
        <v>0</v>
      </c>
      <c r="O53" s="5">
        <f t="shared" si="19"/>
        <v>27402.845759999986</v>
      </c>
      <c r="P53" s="5">
        <f t="shared" si="19"/>
        <v>44014.459793814414</v>
      </c>
      <c r="Q53" s="5"/>
      <c r="R53" s="5">
        <f t="shared" si="19"/>
        <v>41808.087340206177</v>
      </c>
      <c r="S53" s="5"/>
    </row>
    <row r="54" spans="2:19">
      <c r="B54" s="52" t="s">
        <v>103</v>
      </c>
      <c r="D54" s="5">
        <f>D53-D46-D48-D49</f>
        <v>31845.622471945833</v>
      </c>
      <c r="E54" s="5">
        <f>E53-E46-E48-E49</f>
        <v>0</v>
      </c>
      <c r="F54" s="5"/>
      <c r="G54" s="5">
        <f t="shared" ref="G54:R54" si="20">G53-G46-G48-G49</f>
        <v>0</v>
      </c>
      <c r="H54" s="5">
        <f t="shared" si="20"/>
        <v>0</v>
      </c>
      <c r="I54" s="5">
        <f t="shared" si="20"/>
        <v>0</v>
      </c>
      <c r="J54" s="5"/>
      <c r="K54" s="5">
        <f t="shared" si="20"/>
        <v>8249.1736765077258</v>
      </c>
      <c r="L54" s="5">
        <f t="shared" si="20"/>
        <v>4134.8084045103033</v>
      </c>
      <c r="M54" s="5">
        <f t="shared" si="20"/>
        <v>0</v>
      </c>
      <c r="N54" s="5">
        <f t="shared" si="20"/>
        <v>0</v>
      </c>
      <c r="O54" s="5">
        <f t="shared" si="20"/>
        <v>5607.9435661855623</v>
      </c>
      <c r="P54" s="5">
        <f t="shared" si="20"/>
        <v>7104.927577319575</v>
      </c>
      <c r="Q54" s="5"/>
      <c r="R54" s="5">
        <f t="shared" si="20"/>
        <v>6748.7692474226778</v>
      </c>
    </row>
    <row r="55" spans="2:19" s="69" customFormat="1">
      <c r="B55" s="50" t="s">
        <v>104</v>
      </c>
      <c r="D55" s="309">
        <v>0</v>
      </c>
      <c r="E55" s="309">
        <v>0</v>
      </c>
      <c r="F55" s="309"/>
      <c r="G55" s="309">
        <v>0</v>
      </c>
      <c r="H55" s="309">
        <v>0</v>
      </c>
      <c r="I55" s="309">
        <v>0</v>
      </c>
      <c r="J55" s="309"/>
      <c r="K55" s="309">
        <v>0</v>
      </c>
      <c r="L55" s="309">
        <v>0</v>
      </c>
      <c r="M55" s="309">
        <v>0</v>
      </c>
      <c r="N55" s="309">
        <v>0</v>
      </c>
      <c r="O55" s="309">
        <v>0</v>
      </c>
      <c r="P55" s="309">
        <v>0</v>
      </c>
      <c r="Q55" s="309"/>
      <c r="R55" s="309">
        <v>0</v>
      </c>
      <c r="S55" s="60"/>
    </row>
    <row r="56" spans="2:19">
      <c r="B56" s="50" t="s">
        <v>217</v>
      </c>
      <c r="D56" s="5">
        <f>0.35*(D54-D55)*'Hypotheses - Assumptions'!$I69</f>
        <v>3715.3969281794484</v>
      </c>
      <c r="E56" s="5">
        <f>0.35*(E54-E55)*'Hypotheses - Assumptions'!$I69</f>
        <v>0</v>
      </c>
      <c r="F56" s="5"/>
      <c r="G56" s="5">
        <f>0.35*(G54-G55)*'Hypotheses - Assumptions'!$I69</f>
        <v>0</v>
      </c>
      <c r="H56" s="5">
        <f>0.35*(H54-H55)*'Hypotheses - Assumptions'!$I69</f>
        <v>0</v>
      </c>
      <c r="I56" s="5">
        <f>0.35*(I54-I55)*'Hypotheses - Assumptions'!$I69</f>
        <v>0</v>
      </c>
      <c r="J56" s="5"/>
      <c r="K56" s="5">
        <f>0.35*(K54-K55)*'Hypotheses - Assumptions'!$I69</f>
        <v>962.42284366447996</v>
      </c>
      <c r="L56" s="5">
        <f>0.35*(L54-L55)*'Hypotheses - Assumptions'!$I69</f>
        <v>482.40396174581258</v>
      </c>
      <c r="M56" s="5">
        <f>0.35*(M54-M55)*'Hypotheses - Assumptions'!$I69</f>
        <v>0</v>
      </c>
      <c r="N56" s="5">
        <f>0.35*(N54-N55)*'Hypotheses - Assumptions'!$I69</f>
        <v>0</v>
      </c>
      <c r="O56" s="5">
        <f>0.35*(O54-O55)*'Hypotheses - Assumptions'!$I69</f>
        <v>654.27316792330339</v>
      </c>
      <c r="P56" s="5">
        <f>0.35*(P54-P55)*'Hypotheses - Assumptions'!$I69</f>
        <v>828.92479551829751</v>
      </c>
      <c r="Q56" s="5"/>
      <c r="R56" s="5">
        <f>0.35*(R54-R55)*'Hypotheses - Assumptions'!$I69</f>
        <v>787.37215932755646</v>
      </c>
    </row>
    <row r="57" spans="2:19" s="18" customFormat="1" ht="13.5" thickBot="1">
      <c r="B57" s="67" t="s">
        <v>341</v>
      </c>
      <c r="D57" s="68">
        <f t="shared" ref="D57:R57" si="21">D54-D55-D56</f>
        <v>28130.225543766384</v>
      </c>
      <c r="E57" s="68">
        <f t="shared" si="21"/>
        <v>0</v>
      </c>
      <c r="F57" s="68"/>
      <c r="G57" s="68">
        <f t="shared" si="21"/>
        <v>0</v>
      </c>
      <c r="H57" s="68">
        <f t="shared" si="21"/>
        <v>0</v>
      </c>
      <c r="I57" s="68">
        <f t="shared" si="21"/>
        <v>0</v>
      </c>
      <c r="J57" s="68"/>
      <c r="K57" s="68">
        <f t="shared" si="21"/>
        <v>7286.7508328432459</v>
      </c>
      <c r="L57" s="68">
        <f t="shared" si="21"/>
        <v>3652.4044427644908</v>
      </c>
      <c r="M57" s="68">
        <f t="shared" si="21"/>
        <v>0</v>
      </c>
      <c r="N57" s="68">
        <f t="shared" si="21"/>
        <v>0</v>
      </c>
      <c r="O57" s="68">
        <f t="shared" si="21"/>
        <v>4953.6703982622585</v>
      </c>
      <c r="P57" s="68">
        <f t="shared" si="21"/>
        <v>6276.0027818012777</v>
      </c>
      <c r="Q57" s="68"/>
      <c r="R57" s="68">
        <f t="shared" si="21"/>
        <v>5961.397088095121</v>
      </c>
      <c r="S57" s="42"/>
    </row>
    <row r="58" spans="2:19" ht="13.5" thickTop="1">
      <c r="D58" s="5"/>
    </row>
    <row r="59" spans="2:19" s="160" customFormat="1" ht="13.5" thickBot="1">
      <c r="B59" s="159"/>
      <c r="D59" s="161"/>
    </row>
    <row r="60" spans="2:19" s="156" customFormat="1" ht="16.5" thickBot="1">
      <c r="B60" s="155" t="s">
        <v>342</v>
      </c>
      <c r="D60" s="157">
        <f>D57+D41+D15</f>
        <v>78778.531859671872</v>
      </c>
      <c r="E60" s="157"/>
      <c r="F60" s="157"/>
      <c r="G60" s="157"/>
      <c r="H60" s="157"/>
      <c r="I60" s="157"/>
      <c r="J60" s="157"/>
      <c r="K60" s="157">
        <f>K57+K41+K15</f>
        <v>25213.480347432564</v>
      </c>
      <c r="L60" s="157">
        <f>L57+L41+L15</f>
        <v>8920.2052108978205</v>
      </c>
      <c r="M60" s="157"/>
      <c r="N60" s="157"/>
      <c r="O60" s="157">
        <f>O57+O41+O15</f>
        <v>13935.227939095232</v>
      </c>
      <c r="P60" s="157">
        <f>P57+P41+P15</f>
        <v>17832.244807450006</v>
      </c>
      <c r="Q60" s="157"/>
      <c r="R60" s="157">
        <f>R57+R41+R15</f>
        <v>20635.333601969454</v>
      </c>
      <c r="S60" s="158">
        <f>SUM(F60:R60)</f>
        <v>86536.491906845084</v>
      </c>
    </row>
    <row r="62" spans="2:19">
      <c r="B62" s="45" t="s">
        <v>343</v>
      </c>
      <c r="D62" s="8">
        <f>D15/D60</f>
        <v>0.27915324737695735</v>
      </c>
      <c r="E62" s="8"/>
      <c r="F62" s="8"/>
      <c r="G62" s="8"/>
      <c r="H62" s="8"/>
      <c r="I62" s="8"/>
      <c r="J62" s="8"/>
      <c r="K62" s="8">
        <f>K15/K60</f>
        <v>0.25625020144747923</v>
      </c>
      <c r="L62" s="8">
        <f>L15/L60</f>
        <v>0.24886463440571274</v>
      </c>
      <c r="M62" s="8"/>
      <c r="N62" s="8"/>
      <c r="O62" s="8">
        <f>O15/O60</f>
        <v>0.27047941459811187</v>
      </c>
      <c r="P62" s="8">
        <f>P15/P60</f>
        <v>0.23863527128910622</v>
      </c>
      <c r="Q62" s="8"/>
      <c r="R62" s="8">
        <f>R15/R60</f>
        <v>0.25615312040698113</v>
      </c>
    </row>
    <row r="63" spans="2:19">
      <c r="B63" s="45" t="s">
        <v>345</v>
      </c>
      <c r="D63" s="8">
        <f>D41/D60</f>
        <v>0.36376691272611822</v>
      </c>
      <c r="E63" s="8"/>
      <c r="F63" s="8"/>
      <c r="G63" s="8"/>
      <c r="H63" s="8"/>
      <c r="I63" s="8"/>
      <c r="J63" s="8"/>
      <c r="K63" s="8">
        <f>K41/K60</f>
        <v>0.45474761668653174</v>
      </c>
      <c r="L63" s="8">
        <f>L41/L60</f>
        <v>0.34168240387291965</v>
      </c>
      <c r="M63" s="8"/>
      <c r="N63" s="8"/>
      <c r="O63" s="8">
        <f>O41/O60</f>
        <v>0.37404233847886836</v>
      </c>
      <c r="P63" s="8">
        <f>P41/P60</f>
        <v>0.40941785665027297</v>
      </c>
      <c r="Q63" s="8"/>
      <c r="R63" s="8">
        <f>R41/R60</f>
        <v>0.45495418693860223</v>
      </c>
    </row>
    <row r="64" spans="2:19">
      <c r="B64" s="45" t="s">
        <v>177</v>
      </c>
      <c r="D64" s="8">
        <f>D57/D60</f>
        <v>0.35707983989692432</v>
      </c>
      <c r="E64" s="8"/>
      <c r="F64" s="8"/>
      <c r="G64" s="8"/>
      <c r="H64" s="8"/>
      <c r="I64" s="8"/>
      <c r="J64" s="8"/>
      <c r="K64" s="8">
        <f>K57/K60</f>
        <v>0.28900218186598903</v>
      </c>
      <c r="L64" s="8">
        <f>L57/L60</f>
        <v>0.4094529617213678</v>
      </c>
      <c r="M64" s="8"/>
      <c r="N64" s="8"/>
      <c r="O64" s="8">
        <f>O57/O60</f>
        <v>0.35547824692301977</v>
      </c>
      <c r="P64" s="8">
        <f>P57/P60</f>
        <v>0.35194687206062086</v>
      </c>
      <c r="Q64" s="8"/>
      <c r="R64" s="8">
        <f>R57/R60</f>
        <v>0.28889269265441681</v>
      </c>
    </row>
    <row r="65" spans="2:19">
      <c r="D65" s="8"/>
      <c r="E65" s="8"/>
      <c r="F65" s="8"/>
      <c r="G65" s="8"/>
      <c r="H65" s="8"/>
      <c r="I65" s="8"/>
      <c r="J65" s="8"/>
      <c r="K65" s="8"/>
      <c r="L65" s="8"/>
      <c r="M65" s="8"/>
      <c r="N65" s="8"/>
      <c r="O65" s="8"/>
      <c r="P65" s="8"/>
      <c r="Q65" s="8"/>
      <c r="R65" s="8"/>
    </row>
    <row r="66" spans="2:19">
      <c r="B66" s="45" t="s">
        <v>239</v>
      </c>
      <c r="D66" s="5">
        <f>D40+D20+D14+D13+D56</f>
        <v>29924.184121743107</v>
      </c>
      <c r="E66" s="5"/>
      <c r="F66" s="5"/>
      <c r="G66" s="5">
        <f t="shared" ref="G66:R66" si="22">G40+G20+G14+G13+G56</f>
        <v>0</v>
      </c>
      <c r="H66" s="5">
        <f t="shared" si="22"/>
        <v>0</v>
      </c>
      <c r="I66" s="5">
        <f t="shared" si="22"/>
        <v>0</v>
      </c>
      <c r="J66" s="5"/>
      <c r="K66" s="5">
        <f t="shared" si="22"/>
        <v>8888.8309098873542</v>
      </c>
      <c r="L66" s="5">
        <f t="shared" si="22"/>
        <v>2930.6782313088215</v>
      </c>
      <c r="M66" s="5">
        <f t="shared" si="22"/>
        <v>0</v>
      </c>
      <c r="N66" s="5">
        <f t="shared" si="22"/>
        <v>0</v>
      </c>
      <c r="O66" s="5">
        <f t="shared" si="22"/>
        <v>4822.4139687105671</v>
      </c>
      <c r="P66" s="5">
        <f t="shared" si="22"/>
        <v>6007.8304819595314</v>
      </c>
      <c r="Q66" s="5"/>
      <c r="R66" s="5">
        <f t="shared" si="22"/>
        <v>7274.430529876835</v>
      </c>
      <c r="S66" s="5">
        <f>SUM(F66:R66)</f>
        <v>29924.18412174311</v>
      </c>
    </row>
  </sheetData>
  <mergeCells count="3">
    <mergeCell ref="C1:M1"/>
    <mergeCell ref="C4:C5"/>
    <mergeCell ref="A2:I2"/>
  </mergeCells>
  <phoneticPr fontId="6" type="noConversion"/>
  <conditionalFormatting sqref="A2">
    <cfRule type="cellIs" dxfId="7" priority="1" stopIfTrue="1" operator="equal">
      <formula>0</formula>
    </cfRule>
    <cfRule type="cellIs" dxfId="6" priority="2" stopIfTrue="1" operator="notEqual">
      <formula>0</formula>
    </cfRule>
  </conditionalFormatting>
  <pageMargins left="0.75" right="0.75" top="1" bottom="1" header="0.5" footer="0.5"/>
  <pageSetup orientation="portrait" horizontalDpi="4294967293" r:id="rId1"/>
  <headerFooter alignWithMargins="0"/>
  <ignoredErrors>
    <ignoredError sqref="P27 K27:L27 O27 R27" formulaRange="1"/>
    <ignoredError sqref="G42:I65 G24:I30 G66:I66 D51 M37:N39 G37:I39 K40:L40 M40:N40 G40:I40 O40:P40 D40:E40 M42:N65 G41:I41 M41:N41 D41:E41 K41:L41 O41:P41 G19:I23 G31:I32 D24:D30 G33:I36 G15:I18 S19:S32 D11 D13 M66:N66 E53 S60 E45:E46 R40 R41:S41"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User's Guide</vt:lpstr>
      <vt:lpstr>Project Description</vt:lpstr>
      <vt:lpstr>ERR &amp; Sensitivity Analysis</vt:lpstr>
      <vt:lpstr>Cost Benefit Summary</vt:lpstr>
      <vt:lpstr>ERR Summary</vt:lpstr>
      <vt:lpstr>ooc2 DFP</vt:lpstr>
      <vt:lpstr>Hypotheses - Assumptions</vt:lpstr>
      <vt:lpstr>Fundamentals</vt:lpstr>
      <vt:lpstr>Value Chain</vt:lpstr>
      <vt:lpstr>MG Unit Model 2</vt:lpstr>
      <vt:lpstr>Cash Flow</vt:lpstr>
      <vt:lpstr>Disaggregated ERR</vt:lpstr>
      <vt:lpstr>Fundamentals!Print_Area</vt:lpstr>
    </vt:vector>
  </TitlesOfParts>
  <Company>University of Wisconsin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Morocco I: Wholesale Fish Markets</dc:title>
  <dc:creator>Millennium Challenge Corporation</dc:creator>
  <dc:description>Created on 08/24/07 by renaming "wholesale market Final 25June Garber.v 2.No Tan, No Ouj.xls"</dc:description>
  <cp:lastModifiedBy>mcc</cp:lastModifiedBy>
  <cp:lastPrinted>2007-08-03T14:55:37Z</cp:lastPrinted>
  <dcterms:created xsi:type="dcterms:W3CDTF">2007-03-26T14:56:17Z</dcterms:created>
  <dcterms:modified xsi:type="dcterms:W3CDTF">2014-10-16T18:42:01Z</dcterms:modified>
</cp:coreProperties>
</file>