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_divisions\Economic Analysis\Country Work\Morocco\ERR\Web Version Work\14 Oct\"/>
    </mc:Choice>
  </mc:AlternateContent>
  <bookViews>
    <workbookView xWindow="5115" yWindow="-15" windowWidth="5130" windowHeight="7140" tabRatio="879" activeTab="1"/>
  </bookViews>
  <sheets>
    <sheet name="User's Guide" sheetId="21" r:id="rId1"/>
    <sheet name="Project Description" sheetId="16" r:id="rId2"/>
    <sheet name="ERR &amp; Sensitivity Analysis" sheetId="15" r:id="rId3"/>
    <sheet name="Cost Benefit Summary" sheetId="22" r:id="rId4"/>
    <sheet name="ERR" sheetId="8" r:id="rId5"/>
    <sheet name="ooc2 DFP" sheetId="20" r:id="rId6"/>
    <sheet name="july 2013 PPA monthly report" sheetId="19" r:id="rId7"/>
    <sheet name="Summary" sheetId="13" r:id="rId8"/>
    <sheet name="Assumptions" sheetId="9" r:id="rId9"/>
    <sheet name="Value Chain" sheetId="11" r:id="rId10"/>
    <sheet name="Boat Revenues" sheetId="10" r:id="rId11"/>
    <sheet name="Boat Costs" sheetId="14" r:id="rId12"/>
    <sheet name="Equipment Operational Costs" sheetId="12" r:id="rId13"/>
    <sheet name="Investment Breakdown" sheetId="2" r:id="rId14"/>
    <sheet name="Statistics of Interest" sheetId="4" r:id="rId15"/>
  </sheets>
  <externalReferences>
    <externalReference r:id="rId16"/>
  </externalReferences>
  <definedNames>
    <definedName name="CBWorkbookPriority" localSheetId="5" hidden="1">-430245984</definedName>
    <definedName name="CBWorkbookPriority" localSheetId="0" hidden="1">-2100938669</definedName>
    <definedName name="CBWorkbookPriority" hidden="1">-1623304922</definedName>
    <definedName name="wrn.EXPANSION." localSheetId="11" hidden="1">{#N/A,#N/A,FALSE,"INVEST-SUP";#N/A,#N/A,FALSE,"GRILLEC";#N/A,#N/A,FALSE,"HYPER"}</definedName>
    <definedName name="wrn.EXPANSION." localSheetId="6" hidden="1">{#N/A,#N/A,FALSE,"INVEST-SUP";#N/A,#N/A,FALSE,"GRILLEC";#N/A,#N/A,FALSE,"HYPER"}</definedName>
    <definedName name="wrn.EXPANSION." localSheetId="5" hidden="1">{#N/A,#N/A,FALSE,"INVEST-SUP";#N/A,#N/A,FALSE,"GRILLEC";#N/A,#N/A,FALSE,"HYPER"}</definedName>
    <definedName name="wrn.EXPANSION." localSheetId="7" hidden="1">{#N/A,#N/A,FALSE,"INVEST-SUP";#N/A,#N/A,FALSE,"GRILLEC";#N/A,#N/A,FALSE,"HYPER"}</definedName>
    <definedName name="wrn.EXPANSION." localSheetId="0" hidden="1">{#N/A,#N/A,FALSE,"INVEST-SUP";#N/A,#N/A,FALSE,"GRILLEC";#N/A,#N/A,FALSE,"HYPER"}</definedName>
    <definedName name="wrn.EXPANSION." localSheetId="9" hidden="1">{#N/A,#N/A,FALSE,"INVEST-SUP";#N/A,#N/A,FALSE,"GRILLEC";#N/A,#N/A,FALSE,"HYPER"}</definedName>
    <definedName name="wrn.EXPANSION." hidden="1">{#N/A,#N/A,FALSE,"INVEST-SUP";#N/A,#N/A,FALSE,"GRILLEC";#N/A,#N/A,FALSE,"HYPER"}</definedName>
  </definedNames>
  <calcPr calcId="152511"/>
</workbook>
</file>

<file path=xl/calcChain.xml><?xml version="1.0" encoding="utf-8"?>
<calcChain xmlns="http://schemas.openxmlformats.org/spreadsheetml/2006/main">
  <c r="AC555" i="20" l="1"/>
  <c r="AC556" i="20" s="1"/>
  <c r="B22" i="15" l="1"/>
  <c r="D15" i="22" l="1"/>
  <c r="E15" i="22"/>
  <c r="F15" i="22"/>
  <c r="G15" i="22"/>
  <c r="H15" i="22"/>
  <c r="H17" i="22" s="1"/>
  <c r="I15" i="22"/>
  <c r="J15" i="22"/>
  <c r="K15" i="22"/>
  <c r="L15" i="22"/>
  <c r="L17" i="22" s="1"/>
  <c r="M15" i="22"/>
  <c r="N15" i="22"/>
  <c r="O15" i="22"/>
  <c r="P15" i="22"/>
  <c r="P17" i="22" s="1"/>
  <c r="Q15" i="22"/>
  <c r="R15" i="22"/>
  <c r="S15" i="22"/>
  <c r="T15" i="22"/>
  <c r="T17" i="22" s="1"/>
  <c r="U15" i="22"/>
  <c r="V15" i="22"/>
  <c r="C15" i="22"/>
  <c r="J96" i="8"/>
  <c r="K96" i="8"/>
  <c r="L96" i="8"/>
  <c r="M96" i="8"/>
  <c r="N96" i="8" s="1"/>
  <c r="O96" i="8" s="1"/>
  <c r="P96" i="8" s="1"/>
  <c r="Q96" i="8" s="1"/>
  <c r="R96" i="8" s="1"/>
  <c r="S96" i="8" s="1"/>
  <c r="T96" i="8" s="1"/>
  <c r="U96" i="8" s="1"/>
  <c r="V96" i="8" s="1"/>
  <c r="W96" i="8" s="1"/>
  <c r="I96" i="8"/>
  <c r="W91" i="8"/>
  <c r="V17" i="22"/>
  <c r="U17" i="22"/>
  <c r="S17" i="22"/>
  <c r="R17" i="22"/>
  <c r="Q17" i="22"/>
  <c r="O17" i="22"/>
  <c r="N17" i="22"/>
  <c r="M17" i="22"/>
  <c r="K17" i="22"/>
  <c r="J17" i="22"/>
  <c r="I17" i="22"/>
  <c r="B1" i="22"/>
  <c r="D14" i="15" l="1"/>
  <c r="D13" i="15"/>
  <c r="D105" i="8" l="1"/>
  <c r="T16" i="19"/>
  <c r="S16" i="19"/>
  <c r="I392" i="10" l="1"/>
  <c r="I397" i="10"/>
  <c r="I365" i="10" s="1"/>
  <c r="I124" i="8"/>
  <c r="J124" i="8"/>
  <c r="K124" i="8"/>
  <c r="L124" i="8"/>
  <c r="M124" i="8"/>
  <c r="N124" i="8"/>
  <c r="O124" i="8"/>
  <c r="P124" i="8"/>
  <c r="Q124" i="8"/>
  <c r="R124" i="8"/>
  <c r="S124" i="8"/>
  <c r="T124" i="8"/>
  <c r="U124" i="8"/>
  <c r="V124" i="8"/>
  <c r="W124" i="8"/>
  <c r="J122" i="8"/>
  <c r="K122" i="8"/>
  <c r="L122" i="8"/>
  <c r="M122" i="8"/>
  <c r="N122" i="8"/>
  <c r="O122" i="8"/>
  <c r="P122" i="8"/>
  <c r="Q122" i="8"/>
  <c r="R122" i="8"/>
  <c r="S122" i="8"/>
  <c r="T122" i="8"/>
  <c r="U122" i="8"/>
  <c r="V122" i="8"/>
  <c r="W122" i="8"/>
  <c r="I122" i="8"/>
  <c r="B120" i="8"/>
  <c r="B115" i="8"/>
  <c r="E243" i="11"/>
  <c r="F243" i="11"/>
  <c r="G243" i="11"/>
  <c r="H243" i="11"/>
  <c r="I243" i="11"/>
  <c r="J243" i="11"/>
  <c r="K243" i="11"/>
  <c r="L243" i="11"/>
  <c r="M243" i="11"/>
  <c r="N243" i="11"/>
  <c r="O243" i="11"/>
  <c r="D243" i="11"/>
  <c r="G100" i="8" l="1"/>
  <c r="G103" i="8" s="1"/>
  <c r="H100" i="8"/>
  <c r="H103" i="8" s="1"/>
  <c r="B100" i="8"/>
  <c r="E99" i="8"/>
  <c r="E100" i="8" s="1"/>
  <c r="E103" i="8" s="1"/>
  <c r="F99" i="8"/>
  <c r="F100" i="8" s="1"/>
  <c r="F103" i="8" s="1"/>
  <c r="G99" i="8"/>
  <c r="H99" i="8"/>
  <c r="D99" i="8"/>
  <c r="D100" i="8" s="1"/>
  <c r="D103" i="8" s="1"/>
  <c r="AC554" i="20"/>
  <c r="E554" i="20"/>
  <c r="D554" i="20"/>
  <c r="G552" i="20"/>
  <c r="F552" i="20"/>
  <c r="E552" i="20"/>
  <c r="D552" i="20"/>
  <c r="C552" i="20"/>
  <c r="G551" i="20"/>
  <c r="F551" i="20"/>
  <c r="E551" i="20"/>
  <c r="D551" i="20"/>
  <c r="C551" i="20"/>
  <c r="G550" i="20"/>
  <c r="F550" i="20"/>
  <c r="E550" i="20"/>
  <c r="D550" i="20"/>
  <c r="C550" i="20"/>
  <c r="G549" i="20"/>
  <c r="F549" i="20"/>
  <c r="E549" i="20"/>
  <c r="D549" i="20"/>
  <c r="C549" i="20"/>
  <c r="G548" i="20"/>
  <c r="F548" i="20"/>
  <c r="E548" i="20"/>
  <c r="D548" i="20"/>
  <c r="C548" i="20"/>
  <c r="G547" i="20"/>
  <c r="F547" i="20"/>
  <c r="E547" i="20"/>
  <c r="D547" i="20"/>
  <c r="C547" i="20"/>
  <c r="G546" i="20"/>
  <c r="F546" i="20"/>
  <c r="E546" i="20"/>
  <c r="D546" i="20"/>
  <c r="C546" i="20"/>
  <c r="G545" i="20"/>
  <c r="F545" i="20"/>
  <c r="E545" i="20"/>
  <c r="D545" i="20"/>
  <c r="C545" i="20"/>
  <c r="G544" i="20"/>
  <c r="F544" i="20"/>
  <c r="E544" i="20"/>
  <c r="D544" i="20"/>
  <c r="C544" i="20"/>
  <c r="G543" i="20"/>
  <c r="F543" i="20"/>
  <c r="E543" i="20"/>
  <c r="D543" i="20"/>
  <c r="C543" i="20"/>
  <c r="G542" i="20"/>
  <c r="F542" i="20"/>
  <c r="E542" i="20"/>
  <c r="D542" i="20"/>
  <c r="C542" i="20"/>
  <c r="G541" i="20"/>
  <c r="F541" i="20"/>
  <c r="E541" i="20"/>
  <c r="D541" i="20"/>
  <c r="C541" i="20"/>
  <c r="G540" i="20"/>
  <c r="F540" i="20"/>
  <c r="E540" i="20"/>
  <c r="D540" i="20"/>
  <c r="C540" i="20"/>
  <c r="G539" i="20"/>
  <c r="F539" i="20"/>
  <c r="E539" i="20"/>
  <c r="D539" i="20"/>
  <c r="C539" i="20"/>
  <c r="G538" i="20"/>
  <c r="F538" i="20"/>
  <c r="E538" i="20"/>
  <c r="D538" i="20"/>
  <c r="C538" i="20"/>
  <c r="G537" i="20"/>
  <c r="F537" i="20"/>
  <c r="E537" i="20"/>
  <c r="D537" i="20"/>
  <c r="C537" i="20"/>
  <c r="G536" i="20"/>
  <c r="F536" i="20"/>
  <c r="E536" i="20"/>
  <c r="D536" i="20"/>
  <c r="C536" i="20"/>
  <c r="G535" i="20"/>
  <c r="F535" i="20"/>
  <c r="E535" i="20"/>
  <c r="D535" i="20"/>
  <c r="C535" i="20"/>
  <c r="G534" i="20"/>
  <c r="F534" i="20"/>
  <c r="E534" i="20"/>
  <c r="D534" i="20"/>
  <c r="C534" i="20"/>
  <c r="G533" i="20"/>
  <c r="F533" i="20"/>
  <c r="E533" i="20"/>
  <c r="D533" i="20"/>
  <c r="C533" i="20"/>
  <c r="G532" i="20"/>
  <c r="F532" i="20"/>
  <c r="E532" i="20"/>
  <c r="D532" i="20"/>
  <c r="C532" i="20"/>
  <c r="G531" i="20"/>
  <c r="F531" i="20"/>
  <c r="E531" i="20"/>
  <c r="D531" i="20"/>
  <c r="C531" i="20"/>
  <c r="G530" i="20"/>
  <c r="F530" i="20"/>
  <c r="E530" i="20"/>
  <c r="D530" i="20"/>
  <c r="C530" i="20"/>
  <c r="G529" i="20"/>
  <c r="F529" i="20"/>
  <c r="E529" i="20"/>
  <c r="D529" i="20"/>
  <c r="C529" i="20"/>
  <c r="G528" i="20"/>
  <c r="F528" i="20"/>
  <c r="E528" i="20"/>
  <c r="D528" i="20"/>
  <c r="C528" i="20"/>
  <c r="G527" i="20"/>
  <c r="F527" i="20"/>
  <c r="E527" i="20"/>
  <c r="D527" i="20"/>
  <c r="C527" i="20"/>
  <c r="G526" i="20"/>
  <c r="F526" i="20"/>
  <c r="E526" i="20"/>
  <c r="D526" i="20"/>
  <c r="C526" i="20"/>
  <c r="G525" i="20"/>
  <c r="F525" i="20"/>
  <c r="E525" i="20"/>
  <c r="D525" i="20"/>
  <c r="C525" i="20"/>
  <c r="G524" i="20"/>
  <c r="F524" i="20"/>
  <c r="E524" i="20"/>
  <c r="D524" i="20"/>
  <c r="C524" i="20"/>
  <c r="G523" i="20"/>
  <c r="F523" i="20"/>
  <c r="E523" i="20"/>
  <c r="D523" i="20"/>
  <c r="C523" i="20"/>
  <c r="G522" i="20"/>
  <c r="F522" i="20"/>
  <c r="E522" i="20"/>
  <c r="D522" i="20"/>
  <c r="C522" i="20"/>
  <c r="G521" i="20"/>
  <c r="F521" i="20"/>
  <c r="E521" i="20"/>
  <c r="D521" i="20"/>
  <c r="C521" i="20"/>
  <c r="G520" i="20"/>
  <c r="F520" i="20"/>
  <c r="E520" i="20"/>
  <c r="D520" i="20"/>
  <c r="C520" i="20"/>
  <c r="G519" i="20"/>
  <c r="F519" i="20"/>
  <c r="E519" i="20"/>
  <c r="D519" i="20"/>
  <c r="C519" i="20"/>
  <c r="G518" i="20"/>
  <c r="F518" i="20"/>
  <c r="E518" i="20"/>
  <c r="D518" i="20"/>
  <c r="C518" i="20"/>
  <c r="G517" i="20"/>
  <c r="F517" i="20"/>
  <c r="E517" i="20"/>
  <c r="D517" i="20"/>
  <c r="C517" i="20"/>
  <c r="G516" i="20"/>
  <c r="F516" i="20"/>
  <c r="E516" i="20"/>
  <c r="D516" i="20"/>
  <c r="C516" i="20"/>
  <c r="G515" i="20"/>
  <c r="F515" i="20"/>
  <c r="E515" i="20"/>
  <c r="D515" i="20"/>
  <c r="C515" i="20"/>
  <c r="G514" i="20"/>
  <c r="F514" i="20"/>
  <c r="E514" i="20"/>
  <c r="D514" i="20"/>
  <c r="C514" i="20"/>
  <c r="G513" i="20"/>
  <c r="F513" i="20"/>
  <c r="E513" i="20"/>
  <c r="D513" i="20"/>
  <c r="C513" i="20"/>
  <c r="G512" i="20"/>
  <c r="F512" i="20"/>
  <c r="E512" i="20"/>
  <c r="D512" i="20"/>
  <c r="C512" i="20"/>
  <c r="G511" i="20"/>
  <c r="F511" i="20"/>
  <c r="E511" i="20"/>
  <c r="D511" i="20"/>
  <c r="C511" i="20"/>
  <c r="G510" i="20"/>
  <c r="F510" i="20"/>
  <c r="E510" i="20"/>
  <c r="D510" i="20"/>
  <c r="C510" i="20"/>
  <c r="G509" i="20"/>
  <c r="F509" i="20"/>
  <c r="E509" i="20"/>
  <c r="D509" i="20"/>
  <c r="C509" i="20"/>
  <c r="G508" i="20"/>
  <c r="F508" i="20"/>
  <c r="E508" i="20"/>
  <c r="D508" i="20"/>
  <c r="C508" i="20"/>
  <c r="G507" i="20"/>
  <c r="F507" i="20"/>
  <c r="E507" i="20"/>
  <c r="D507" i="20"/>
  <c r="C507" i="20"/>
  <c r="G506" i="20"/>
  <c r="F506" i="20"/>
  <c r="E506" i="20"/>
  <c r="D506" i="20"/>
  <c r="C506" i="20"/>
  <c r="G505" i="20"/>
  <c r="F505" i="20"/>
  <c r="E505" i="20"/>
  <c r="D505" i="20"/>
  <c r="C505" i="20"/>
  <c r="G504" i="20"/>
  <c r="F504" i="20"/>
  <c r="E504" i="20"/>
  <c r="D504" i="20"/>
  <c r="C504" i="20"/>
  <c r="G503" i="20"/>
  <c r="F503" i="20"/>
  <c r="E503" i="20"/>
  <c r="D503" i="20"/>
  <c r="C503" i="20"/>
  <c r="G502" i="20"/>
  <c r="F502" i="20"/>
  <c r="E502" i="20"/>
  <c r="D502" i="20"/>
  <c r="C502" i="20"/>
  <c r="G501" i="20"/>
  <c r="F501" i="20"/>
  <c r="E501" i="20"/>
  <c r="D501" i="20"/>
  <c r="C501" i="20"/>
  <c r="G500" i="20"/>
  <c r="F500" i="20"/>
  <c r="E500" i="20"/>
  <c r="D500" i="20"/>
  <c r="C500" i="20"/>
  <c r="G499" i="20"/>
  <c r="F499" i="20"/>
  <c r="E499" i="20"/>
  <c r="D499" i="20"/>
  <c r="C499" i="20"/>
  <c r="G498" i="20"/>
  <c r="F498" i="20"/>
  <c r="E498" i="20"/>
  <c r="D498" i="20"/>
  <c r="C498" i="20"/>
  <c r="G497" i="20"/>
  <c r="F497" i="20"/>
  <c r="E497" i="20"/>
  <c r="D497" i="20"/>
  <c r="C497" i="20"/>
  <c r="G496" i="20"/>
  <c r="F496" i="20"/>
  <c r="E496" i="20"/>
  <c r="D496" i="20"/>
  <c r="C496" i="20"/>
  <c r="G495" i="20"/>
  <c r="F495" i="20"/>
  <c r="E495" i="20"/>
  <c r="D495" i="20"/>
  <c r="C495" i="20"/>
  <c r="G494" i="20"/>
  <c r="F494" i="20"/>
  <c r="E494" i="20"/>
  <c r="D494" i="20"/>
  <c r="C494" i="20"/>
  <c r="G493" i="20"/>
  <c r="F493" i="20"/>
  <c r="E493" i="20"/>
  <c r="D493" i="20"/>
  <c r="C493" i="20"/>
  <c r="G492" i="20"/>
  <c r="F492" i="20"/>
  <c r="E492" i="20"/>
  <c r="D492" i="20"/>
  <c r="C492" i="20"/>
  <c r="G491" i="20"/>
  <c r="F491" i="20"/>
  <c r="E491" i="20"/>
  <c r="D491" i="20"/>
  <c r="C491" i="20"/>
  <c r="G490" i="20"/>
  <c r="F490" i="20"/>
  <c r="E490" i="20"/>
  <c r="D490" i="20"/>
  <c r="C490" i="20"/>
  <c r="G489" i="20"/>
  <c r="F489" i="20"/>
  <c r="E489" i="20"/>
  <c r="D489" i="20"/>
  <c r="C489" i="20"/>
  <c r="G488" i="20"/>
  <c r="F488" i="20"/>
  <c r="E488" i="20"/>
  <c r="D488" i="20"/>
  <c r="C488" i="20"/>
  <c r="G487" i="20"/>
  <c r="F487" i="20"/>
  <c r="E487" i="20"/>
  <c r="D487" i="20"/>
  <c r="C487" i="20"/>
  <c r="G486" i="20"/>
  <c r="F486" i="20"/>
  <c r="E486" i="20"/>
  <c r="D486" i="20"/>
  <c r="C486" i="20"/>
  <c r="G485" i="20"/>
  <c r="F485" i="20"/>
  <c r="E485" i="20"/>
  <c r="D485" i="20"/>
  <c r="C485" i="20"/>
  <c r="G484" i="20"/>
  <c r="F484" i="20"/>
  <c r="E484" i="20"/>
  <c r="D484" i="20"/>
  <c r="C484" i="20"/>
  <c r="G483" i="20"/>
  <c r="F483" i="20"/>
  <c r="E483" i="20"/>
  <c r="D483" i="20"/>
  <c r="C483" i="20"/>
  <c r="G482" i="20"/>
  <c r="F482" i="20"/>
  <c r="E482" i="20"/>
  <c r="D482" i="20"/>
  <c r="C482" i="20"/>
  <c r="G481" i="20"/>
  <c r="F481" i="20"/>
  <c r="E481" i="20"/>
  <c r="D481" i="20"/>
  <c r="C481" i="20"/>
  <c r="G480" i="20"/>
  <c r="F480" i="20"/>
  <c r="E480" i="20"/>
  <c r="D480" i="20"/>
  <c r="C480" i="20"/>
  <c r="G479" i="20"/>
  <c r="F479" i="20"/>
  <c r="E479" i="20"/>
  <c r="D479" i="20"/>
  <c r="C479" i="20"/>
  <c r="G478" i="20"/>
  <c r="F478" i="20"/>
  <c r="E478" i="20"/>
  <c r="D478" i="20"/>
  <c r="C478" i="20"/>
  <c r="G477" i="20"/>
  <c r="F477" i="20"/>
  <c r="E477" i="20"/>
  <c r="D477" i="20"/>
  <c r="C477" i="20"/>
  <c r="G476" i="20"/>
  <c r="F476" i="20"/>
  <c r="E476" i="20"/>
  <c r="D476" i="20"/>
  <c r="C476" i="20"/>
  <c r="G475" i="20"/>
  <c r="F475" i="20"/>
  <c r="E475" i="20"/>
  <c r="D475" i="20"/>
  <c r="C475" i="20"/>
  <c r="G474" i="20"/>
  <c r="F474" i="20"/>
  <c r="E474" i="20"/>
  <c r="D474" i="20"/>
  <c r="C474" i="20"/>
  <c r="G473" i="20"/>
  <c r="F473" i="20"/>
  <c r="E473" i="20"/>
  <c r="D473" i="20"/>
  <c r="C473" i="20"/>
  <c r="G472" i="20"/>
  <c r="F472" i="20"/>
  <c r="E472" i="20"/>
  <c r="D472" i="20"/>
  <c r="C472" i="20"/>
  <c r="G471" i="20"/>
  <c r="F471" i="20"/>
  <c r="E471" i="20"/>
  <c r="D471" i="20"/>
  <c r="C471" i="20"/>
  <c r="G470" i="20"/>
  <c r="F470" i="20"/>
  <c r="E470" i="20"/>
  <c r="D470" i="20"/>
  <c r="C470" i="20"/>
  <c r="G469" i="20"/>
  <c r="F469" i="20"/>
  <c r="E469" i="20"/>
  <c r="D469" i="20"/>
  <c r="C469" i="20"/>
  <c r="G468" i="20"/>
  <c r="F468" i="20"/>
  <c r="E468" i="20"/>
  <c r="D468" i="20"/>
  <c r="C468" i="20"/>
  <c r="G467" i="20"/>
  <c r="F467" i="20"/>
  <c r="E467" i="20"/>
  <c r="D467" i="20"/>
  <c r="C467" i="20"/>
  <c r="G466" i="20"/>
  <c r="F466" i="20"/>
  <c r="E466" i="20"/>
  <c r="D466" i="20"/>
  <c r="C466" i="20"/>
  <c r="G465" i="20"/>
  <c r="F465" i="20"/>
  <c r="E465" i="20"/>
  <c r="D465" i="20"/>
  <c r="C465" i="20"/>
  <c r="G464" i="20"/>
  <c r="F464" i="20"/>
  <c r="E464" i="20"/>
  <c r="D464" i="20"/>
  <c r="C464" i="20"/>
  <c r="G463" i="20"/>
  <c r="F463" i="20"/>
  <c r="E463" i="20"/>
  <c r="D463" i="20"/>
  <c r="C463" i="20"/>
  <c r="G462" i="20"/>
  <c r="F462" i="20"/>
  <c r="E462" i="20"/>
  <c r="D462" i="20"/>
  <c r="C462" i="20"/>
  <c r="G461" i="20"/>
  <c r="F461" i="20"/>
  <c r="E461" i="20"/>
  <c r="D461" i="20"/>
  <c r="C461" i="20"/>
  <c r="G460" i="20"/>
  <c r="F460" i="20"/>
  <c r="E460" i="20"/>
  <c r="D460" i="20"/>
  <c r="C460" i="20"/>
  <c r="G459" i="20"/>
  <c r="F459" i="20"/>
  <c r="E459" i="20"/>
  <c r="D459" i="20"/>
  <c r="C459" i="20"/>
  <c r="G458" i="20"/>
  <c r="F458" i="20"/>
  <c r="E458" i="20"/>
  <c r="D458" i="20"/>
  <c r="C458" i="20"/>
  <c r="G457" i="20"/>
  <c r="F457" i="20"/>
  <c r="E457" i="20"/>
  <c r="D457" i="20"/>
  <c r="C457" i="20"/>
  <c r="G456" i="20"/>
  <c r="F456" i="20"/>
  <c r="E456" i="20"/>
  <c r="D456" i="20"/>
  <c r="C456" i="20"/>
  <c r="G455" i="20"/>
  <c r="F455" i="20"/>
  <c r="E455" i="20"/>
  <c r="D455" i="20"/>
  <c r="C455" i="20"/>
  <c r="G454" i="20"/>
  <c r="F454" i="20"/>
  <c r="E454" i="20"/>
  <c r="D454" i="20"/>
  <c r="C454" i="20"/>
  <c r="G453" i="20"/>
  <c r="F453" i="20"/>
  <c r="E453" i="20"/>
  <c r="D453" i="20"/>
  <c r="C453" i="20"/>
  <c r="G452" i="20"/>
  <c r="F452" i="20"/>
  <c r="E452" i="20"/>
  <c r="D452" i="20"/>
  <c r="C452" i="20"/>
  <c r="G451" i="20"/>
  <c r="F451" i="20"/>
  <c r="E451" i="20"/>
  <c r="D451" i="20"/>
  <c r="C451" i="20"/>
  <c r="G450" i="20"/>
  <c r="F450" i="20"/>
  <c r="E450" i="20"/>
  <c r="D450" i="20"/>
  <c r="C450" i="20"/>
  <c r="G449" i="20"/>
  <c r="F449" i="20"/>
  <c r="E449" i="20"/>
  <c r="D449" i="20"/>
  <c r="C449" i="20"/>
  <c r="G448" i="20"/>
  <c r="F448" i="20"/>
  <c r="E448" i="20"/>
  <c r="D448" i="20"/>
  <c r="C448" i="20"/>
  <c r="G447" i="20"/>
  <c r="F447" i="20"/>
  <c r="E447" i="20"/>
  <c r="D447" i="20"/>
  <c r="C447" i="20"/>
  <c r="G446" i="20"/>
  <c r="F446" i="20"/>
  <c r="E446" i="20"/>
  <c r="D446" i="20"/>
  <c r="C446" i="20"/>
  <c r="G445" i="20"/>
  <c r="F445" i="20"/>
  <c r="E445" i="20"/>
  <c r="D445" i="20"/>
  <c r="C445" i="20"/>
  <c r="G444" i="20"/>
  <c r="F444" i="20"/>
  <c r="E444" i="20"/>
  <c r="D444" i="20"/>
  <c r="C444" i="20"/>
  <c r="G443" i="20"/>
  <c r="F443" i="20"/>
  <c r="E443" i="20"/>
  <c r="D443" i="20"/>
  <c r="C443" i="20"/>
  <c r="G442" i="20"/>
  <c r="F442" i="20"/>
  <c r="E442" i="20"/>
  <c r="D442" i="20"/>
  <c r="C442" i="20"/>
  <c r="G441" i="20"/>
  <c r="F441" i="20"/>
  <c r="E441" i="20"/>
  <c r="D441" i="20"/>
  <c r="C441" i="20"/>
  <c r="G440" i="20"/>
  <c r="F440" i="20"/>
  <c r="E440" i="20"/>
  <c r="D440" i="20"/>
  <c r="C440" i="20"/>
  <c r="AF439" i="20"/>
  <c r="G439" i="20"/>
  <c r="F439" i="20"/>
  <c r="E439" i="20"/>
  <c r="D439" i="20"/>
  <c r="C439" i="20"/>
  <c r="G438" i="20"/>
  <c r="F438" i="20"/>
  <c r="E438" i="20"/>
  <c r="D438" i="20"/>
  <c r="C438" i="20"/>
  <c r="AF437" i="20"/>
  <c r="G437" i="20"/>
  <c r="F437" i="20"/>
  <c r="E437" i="20"/>
  <c r="D437" i="20"/>
  <c r="C437" i="20"/>
  <c r="G436" i="20"/>
  <c r="F436" i="20"/>
  <c r="E436" i="20"/>
  <c r="D436" i="20"/>
  <c r="C436" i="20"/>
  <c r="AF435" i="20"/>
  <c r="G435" i="20"/>
  <c r="F435" i="20"/>
  <c r="E435" i="20"/>
  <c r="D435" i="20"/>
  <c r="C435" i="20"/>
  <c r="G434" i="20"/>
  <c r="F434" i="20"/>
  <c r="E434" i="20"/>
  <c r="D434" i="20"/>
  <c r="C434" i="20"/>
  <c r="AF433" i="20"/>
  <c r="G433" i="20"/>
  <c r="F433" i="20"/>
  <c r="E433" i="20"/>
  <c r="D433" i="20"/>
  <c r="C433" i="20"/>
  <c r="G432" i="20"/>
  <c r="F432" i="20"/>
  <c r="E432" i="20"/>
  <c r="D432" i="20"/>
  <c r="C432" i="20"/>
  <c r="AF431" i="20"/>
  <c r="G431" i="20"/>
  <c r="F431" i="20"/>
  <c r="E431" i="20"/>
  <c r="D431" i="20"/>
  <c r="C431" i="20"/>
  <c r="G430" i="20"/>
  <c r="F430" i="20"/>
  <c r="E430" i="20"/>
  <c r="D430" i="20"/>
  <c r="C430" i="20"/>
  <c r="AF429" i="20"/>
  <c r="G429" i="20"/>
  <c r="F429" i="20"/>
  <c r="E429" i="20"/>
  <c r="D429" i="20"/>
  <c r="C429" i="20"/>
  <c r="G428" i="20"/>
  <c r="F428" i="20"/>
  <c r="E428" i="20"/>
  <c r="D428" i="20"/>
  <c r="C428" i="20"/>
  <c r="AF427" i="20"/>
  <c r="G427" i="20"/>
  <c r="F427" i="20"/>
  <c r="E427" i="20"/>
  <c r="D427" i="20"/>
  <c r="C427" i="20"/>
  <c r="G426" i="20"/>
  <c r="F426" i="20"/>
  <c r="E426" i="20"/>
  <c r="D426" i="20"/>
  <c r="C426" i="20"/>
  <c r="AF425" i="20"/>
  <c r="G425" i="20"/>
  <c r="F425" i="20"/>
  <c r="E425" i="20"/>
  <c r="D425" i="20"/>
  <c r="C425" i="20"/>
  <c r="G424" i="20"/>
  <c r="F424" i="20"/>
  <c r="E424" i="20"/>
  <c r="D424" i="20"/>
  <c r="C424" i="20"/>
  <c r="AF423" i="20"/>
  <c r="G423" i="20"/>
  <c r="F423" i="20"/>
  <c r="E423" i="20"/>
  <c r="D423" i="20"/>
  <c r="C423" i="20"/>
  <c r="G422" i="20"/>
  <c r="F422" i="20"/>
  <c r="E422" i="20"/>
  <c r="D422" i="20"/>
  <c r="C422" i="20"/>
  <c r="AF421" i="20"/>
  <c r="G421" i="20"/>
  <c r="F421" i="20"/>
  <c r="E421" i="20"/>
  <c r="D421" i="20"/>
  <c r="C421" i="20"/>
  <c r="G420" i="20"/>
  <c r="F420" i="20"/>
  <c r="E420" i="20"/>
  <c r="D420" i="20"/>
  <c r="C420" i="20"/>
  <c r="AF419" i="20"/>
  <c r="G419" i="20"/>
  <c r="F419" i="20"/>
  <c r="E419" i="20"/>
  <c r="D419" i="20"/>
  <c r="C419" i="20"/>
  <c r="G418" i="20"/>
  <c r="F418" i="20"/>
  <c r="E418" i="20"/>
  <c r="D418" i="20"/>
  <c r="C418" i="20"/>
  <c r="AF417" i="20"/>
  <c r="G417" i="20"/>
  <c r="F417" i="20"/>
  <c r="E417" i="20"/>
  <c r="D417" i="20"/>
  <c r="C417" i="20"/>
  <c r="G416" i="20"/>
  <c r="F416" i="20"/>
  <c r="E416" i="20"/>
  <c r="D416" i="20"/>
  <c r="C416" i="20"/>
  <c r="AF415" i="20"/>
  <c r="G415" i="20"/>
  <c r="F415" i="20"/>
  <c r="E415" i="20"/>
  <c r="D415" i="20"/>
  <c r="C415" i="20"/>
  <c r="G414" i="20"/>
  <c r="F414" i="20"/>
  <c r="E414" i="20"/>
  <c r="D414" i="20"/>
  <c r="C414" i="20"/>
  <c r="AF413" i="20"/>
  <c r="G413" i="20"/>
  <c r="F413" i="20"/>
  <c r="E413" i="20"/>
  <c r="D413" i="20"/>
  <c r="C413" i="20"/>
  <c r="G412" i="20"/>
  <c r="F412" i="20"/>
  <c r="E412" i="20"/>
  <c r="D412" i="20"/>
  <c r="C412" i="20"/>
  <c r="AF411" i="20"/>
  <c r="G411" i="20"/>
  <c r="F411" i="20"/>
  <c r="E411" i="20"/>
  <c r="D411" i="20"/>
  <c r="C411" i="20"/>
  <c r="G410" i="20"/>
  <c r="F410" i="20"/>
  <c r="E410" i="20"/>
  <c r="D410" i="20"/>
  <c r="C410" i="20"/>
  <c r="AF409" i="20"/>
  <c r="G409" i="20"/>
  <c r="F409" i="20"/>
  <c r="E409" i="20"/>
  <c r="D409" i="20"/>
  <c r="C409" i="20"/>
  <c r="G408" i="20"/>
  <c r="F408" i="20"/>
  <c r="E408" i="20"/>
  <c r="D408" i="20"/>
  <c r="C408" i="20"/>
  <c r="AF407" i="20"/>
  <c r="G407" i="20"/>
  <c r="F407" i="20"/>
  <c r="E407" i="20"/>
  <c r="D407" i="20"/>
  <c r="C407" i="20"/>
  <c r="G406" i="20"/>
  <c r="F406" i="20"/>
  <c r="E406" i="20"/>
  <c r="D406" i="20"/>
  <c r="C406" i="20"/>
  <c r="AF405" i="20"/>
  <c r="G405" i="20"/>
  <c r="F405" i="20"/>
  <c r="E405" i="20"/>
  <c r="D405" i="20"/>
  <c r="C405" i="20"/>
  <c r="G404" i="20"/>
  <c r="F404" i="20"/>
  <c r="E404" i="20"/>
  <c r="D404" i="20"/>
  <c r="C404" i="20"/>
  <c r="AF403" i="20"/>
  <c r="G403" i="20"/>
  <c r="F403" i="20"/>
  <c r="E403" i="20"/>
  <c r="D403" i="20"/>
  <c r="C403" i="20"/>
  <c r="G402" i="20"/>
  <c r="F402" i="20"/>
  <c r="E402" i="20"/>
  <c r="D402" i="20"/>
  <c r="C402" i="20"/>
  <c r="AF401" i="20"/>
  <c r="G401" i="20"/>
  <c r="F401" i="20"/>
  <c r="E401" i="20"/>
  <c r="D401" i="20"/>
  <c r="C401" i="20"/>
  <c r="G400" i="20"/>
  <c r="F400" i="20"/>
  <c r="E400" i="20"/>
  <c r="D400" i="20"/>
  <c r="C400" i="20"/>
  <c r="AF399" i="20"/>
  <c r="G399" i="20"/>
  <c r="F399" i="20"/>
  <c r="E399" i="20"/>
  <c r="D399" i="20"/>
  <c r="C399" i="20"/>
  <c r="G398" i="20"/>
  <c r="F398" i="20"/>
  <c r="E398" i="20"/>
  <c r="D398" i="20"/>
  <c r="C398" i="20"/>
  <c r="AF397" i="20"/>
  <c r="G397" i="20"/>
  <c r="F397" i="20"/>
  <c r="E397" i="20"/>
  <c r="D397" i="20"/>
  <c r="C397" i="20"/>
  <c r="G396" i="20"/>
  <c r="F396" i="20"/>
  <c r="E396" i="20"/>
  <c r="D396" i="20"/>
  <c r="C396" i="20"/>
  <c r="AF395" i="20"/>
  <c r="G395" i="20"/>
  <c r="F395" i="20"/>
  <c r="E395" i="20"/>
  <c r="D395" i="20"/>
  <c r="C395" i="20"/>
  <c r="G394" i="20"/>
  <c r="F394" i="20"/>
  <c r="E394" i="20"/>
  <c r="D394" i="20"/>
  <c r="C394" i="20"/>
  <c r="AF393" i="20"/>
  <c r="G393" i="20"/>
  <c r="F393" i="20"/>
  <c r="E393" i="20"/>
  <c r="D393" i="20"/>
  <c r="C393" i="20"/>
  <c r="G392" i="20"/>
  <c r="F392" i="20"/>
  <c r="E392" i="20"/>
  <c r="D392" i="20"/>
  <c r="C392" i="20"/>
  <c r="AF391" i="20"/>
  <c r="G391" i="20"/>
  <c r="F391" i="20"/>
  <c r="E391" i="20"/>
  <c r="D391" i="20"/>
  <c r="C391" i="20"/>
  <c r="G390" i="20"/>
  <c r="F390" i="20"/>
  <c r="E390" i="20"/>
  <c r="D390" i="20"/>
  <c r="C390" i="20"/>
  <c r="AF389" i="20"/>
  <c r="G389" i="20"/>
  <c r="F389" i="20"/>
  <c r="E389" i="20"/>
  <c r="D389" i="20"/>
  <c r="C389" i="20"/>
  <c r="G388" i="20"/>
  <c r="F388" i="20"/>
  <c r="E388" i="20"/>
  <c r="D388" i="20"/>
  <c r="C388" i="20"/>
  <c r="AF387" i="20"/>
  <c r="G387" i="20"/>
  <c r="F387" i="20"/>
  <c r="E387" i="20"/>
  <c r="D387" i="20"/>
  <c r="C387" i="20"/>
  <c r="G386" i="20"/>
  <c r="F386" i="20"/>
  <c r="E386" i="20"/>
  <c r="D386" i="20"/>
  <c r="C386" i="20"/>
  <c r="AF385" i="20"/>
  <c r="G385" i="20"/>
  <c r="F385" i="20"/>
  <c r="E385" i="20"/>
  <c r="D385" i="20"/>
  <c r="C385" i="20"/>
  <c r="G384" i="20"/>
  <c r="F384" i="20"/>
  <c r="E384" i="20"/>
  <c r="D384" i="20"/>
  <c r="C384" i="20"/>
  <c r="AF383" i="20"/>
  <c r="G383" i="20"/>
  <c r="F383" i="20"/>
  <c r="E383" i="20"/>
  <c r="D383" i="20"/>
  <c r="C383" i="20"/>
  <c r="G382" i="20"/>
  <c r="F382" i="20"/>
  <c r="E382" i="20"/>
  <c r="D382" i="20"/>
  <c r="C382" i="20"/>
  <c r="AF381" i="20"/>
  <c r="G381" i="20"/>
  <c r="F381" i="20"/>
  <c r="E381" i="20"/>
  <c r="D381" i="20"/>
  <c r="C381" i="20"/>
  <c r="G380" i="20"/>
  <c r="F380" i="20"/>
  <c r="E380" i="20"/>
  <c r="D380" i="20"/>
  <c r="C380" i="20"/>
  <c r="AF379" i="20"/>
  <c r="G379" i="20"/>
  <c r="F379" i="20"/>
  <c r="E379" i="20"/>
  <c r="D379" i="20"/>
  <c r="C379" i="20"/>
  <c r="G378" i="20"/>
  <c r="F378" i="20"/>
  <c r="E378" i="20"/>
  <c r="D378" i="20"/>
  <c r="C378" i="20"/>
  <c r="AF377" i="20"/>
  <c r="G377" i="20"/>
  <c r="F377" i="20"/>
  <c r="E377" i="20"/>
  <c r="D377" i="20"/>
  <c r="C377" i="20"/>
  <c r="G376" i="20"/>
  <c r="F376" i="20"/>
  <c r="E376" i="20"/>
  <c r="D376" i="20"/>
  <c r="C376" i="20"/>
  <c r="AF375" i="20"/>
  <c r="G375" i="20"/>
  <c r="F375" i="20"/>
  <c r="E375" i="20"/>
  <c r="D375" i="20"/>
  <c r="C375" i="20"/>
  <c r="G374" i="20"/>
  <c r="F374" i="20"/>
  <c r="E374" i="20"/>
  <c r="D374" i="20"/>
  <c r="C374" i="20"/>
  <c r="AF373" i="20"/>
  <c r="G373" i="20"/>
  <c r="F373" i="20"/>
  <c r="E373" i="20"/>
  <c r="D373" i="20"/>
  <c r="C373" i="20"/>
  <c r="G372" i="20"/>
  <c r="F372" i="20"/>
  <c r="E372" i="20"/>
  <c r="D372" i="20"/>
  <c r="C372" i="20"/>
  <c r="AF371" i="20"/>
  <c r="G371" i="20"/>
  <c r="F371" i="20"/>
  <c r="E371" i="20"/>
  <c r="D371" i="20"/>
  <c r="C371" i="20"/>
  <c r="G370" i="20"/>
  <c r="F370" i="20"/>
  <c r="E370" i="20"/>
  <c r="D370" i="20"/>
  <c r="C370" i="20"/>
  <c r="AF369" i="20"/>
  <c r="G369" i="20"/>
  <c r="F369" i="20"/>
  <c r="E369" i="20"/>
  <c r="D369" i="20"/>
  <c r="C369" i="20"/>
  <c r="G368" i="20"/>
  <c r="F368" i="20"/>
  <c r="E368" i="20"/>
  <c r="D368" i="20"/>
  <c r="C368" i="20"/>
  <c r="AF367" i="20"/>
  <c r="G367" i="20"/>
  <c r="F367" i="20"/>
  <c r="E367" i="20"/>
  <c r="D367" i="20"/>
  <c r="C367" i="20"/>
  <c r="G366" i="20"/>
  <c r="F366" i="20"/>
  <c r="E366" i="20"/>
  <c r="D366" i="20"/>
  <c r="C366" i="20"/>
  <c r="AF365" i="20"/>
  <c r="G365" i="20"/>
  <c r="F365" i="20"/>
  <c r="E365" i="20"/>
  <c r="D365" i="20"/>
  <c r="C365" i="20"/>
  <c r="G364" i="20"/>
  <c r="F364" i="20"/>
  <c r="E364" i="20"/>
  <c r="D364" i="20"/>
  <c r="C364" i="20"/>
  <c r="AF363" i="20"/>
  <c r="G363" i="20"/>
  <c r="F363" i="20"/>
  <c r="E363" i="20"/>
  <c r="D363" i="20"/>
  <c r="C363" i="20"/>
  <c r="G362" i="20"/>
  <c r="F362" i="20"/>
  <c r="E362" i="20"/>
  <c r="D362" i="20"/>
  <c r="C362" i="20"/>
  <c r="AF361" i="20"/>
  <c r="G361" i="20"/>
  <c r="F361" i="20"/>
  <c r="E361" i="20"/>
  <c r="D361" i="20"/>
  <c r="C361" i="20"/>
  <c r="G360" i="20"/>
  <c r="F360" i="20"/>
  <c r="E360" i="20"/>
  <c r="D360" i="20"/>
  <c r="C360" i="20"/>
  <c r="AF359" i="20"/>
  <c r="G359" i="20"/>
  <c r="F359" i="20"/>
  <c r="E359" i="20"/>
  <c r="D359" i="20"/>
  <c r="C359" i="20"/>
  <c r="G358" i="20"/>
  <c r="F358" i="20"/>
  <c r="E358" i="20"/>
  <c r="D358" i="20"/>
  <c r="C358" i="20"/>
  <c r="AF357" i="20"/>
  <c r="G357" i="20"/>
  <c r="F357" i="20"/>
  <c r="E357" i="20"/>
  <c r="D357" i="20"/>
  <c r="C357" i="20"/>
  <c r="G356" i="20"/>
  <c r="F356" i="20"/>
  <c r="E356" i="20"/>
  <c r="D356" i="20"/>
  <c r="C356" i="20"/>
  <c r="AF355" i="20"/>
  <c r="G355" i="20"/>
  <c r="F355" i="20"/>
  <c r="E355" i="20"/>
  <c r="D355" i="20"/>
  <c r="C355" i="20"/>
  <c r="G354" i="20"/>
  <c r="F354" i="20"/>
  <c r="E354" i="20"/>
  <c r="D354" i="20"/>
  <c r="C354" i="20"/>
  <c r="AF353" i="20"/>
  <c r="G353" i="20"/>
  <c r="F353" i="20"/>
  <c r="E353" i="20"/>
  <c r="D353" i="20"/>
  <c r="C353" i="20"/>
  <c r="G352" i="20"/>
  <c r="F352" i="20"/>
  <c r="E352" i="20"/>
  <c r="D352" i="20"/>
  <c r="C352" i="20"/>
  <c r="AF351" i="20"/>
  <c r="G351" i="20"/>
  <c r="F351" i="20"/>
  <c r="E351" i="20"/>
  <c r="D351" i="20"/>
  <c r="C351" i="20"/>
  <c r="G350" i="20"/>
  <c r="F350" i="20"/>
  <c r="E350" i="20"/>
  <c r="D350" i="20"/>
  <c r="C350" i="20"/>
  <c r="AF349" i="20"/>
  <c r="G349" i="20"/>
  <c r="F349" i="20"/>
  <c r="E349" i="20"/>
  <c r="D349" i="20"/>
  <c r="C349" i="20"/>
  <c r="G348" i="20"/>
  <c r="F348" i="20"/>
  <c r="E348" i="20"/>
  <c r="D348" i="20"/>
  <c r="C348" i="20"/>
  <c r="AF347" i="20"/>
  <c r="G347" i="20"/>
  <c r="F347" i="20"/>
  <c r="E347" i="20"/>
  <c r="D347" i="20"/>
  <c r="C347" i="20"/>
  <c r="G346" i="20"/>
  <c r="F346" i="20"/>
  <c r="E346" i="20"/>
  <c r="D346" i="20"/>
  <c r="C346" i="20"/>
  <c r="AF345" i="20"/>
  <c r="G345" i="20"/>
  <c r="F345" i="20"/>
  <c r="E345" i="20"/>
  <c r="D345" i="20"/>
  <c r="C345" i="20"/>
  <c r="G344" i="20"/>
  <c r="F344" i="20"/>
  <c r="E344" i="20"/>
  <c r="D344" i="20"/>
  <c r="C344" i="20"/>
  <c r="AF343" i="20"/>
  <c r="G343" i="20"/>
  <c r="F343" i="20"/>
  <c r="E343" i="20"/>
  <c r="D343" i="20"/>
  <c r="C343" i="20"/>
  <c r="G342" i="20"/>
  <c r="F342" i="20"/>
  <c r="E342" i="20"/>
  <c r="D342" i="20"/>
  <c r="C342" i="20"/>
  <c r="AF341" i="20"/>
  <c r="G341" i="20"/>
  <c r="F341" i="20"/>
  <c r="E341" i="20"/>
  <c r="D341" i="20"/>
  <c r="C341" i="20"/>
  <c r="G340" i="20"/>
  <c r="F340" i="20"/>
  <c r="E340" i="20"/>
  <c r="D340" i="20"/>
  <c r="C340" i="20"/>
  <c r="AF339" i="20"/>
  <c r="G339" i="20"/>
  <c r="F339" i="20"/>
  <c r="E339" i="20"/>
  <c r="D339" i="20"/>
  <c r="C339" i="20"/>
  <c r="G338" i="20"/>
  <c r="F338" i="20"/>
  <c r="E338" i="20"/>
  <c r="D338" i="20"/>
  <c r="C338" i="20"/>
  <c r="AF337" i="20"/>
  <c r="G337" i="20"/>
  <c r="F337" i="20"/>
  <c r="E337" i="20"/>
  <c r="D337" i="20"/>
  <c r="C337" i="20"/>
  <c r="G336" i="20"/>
  <c r="F336" i="20"/>
  <c r="E336" i="20"/>
  <c r="D336" i="20"/>
  <c r="C336" i="20"/>
  <c r="AF335" i="20"/>
  <c r="G335" i="20"/>
  <c r="F335" i="20"/>
  <c r="E335" i="20"/>
  <c r="D335" i="20"/>
  <c r="C335" i="20"/>
  <c r="G334" i="20"/>
  <c r="F334" i="20"/>
  <c r="E334" i="20"/>
  <c r="D334" i="20"/>
  <c r="C334" i="20"/>
  <c r="AF333" i="20"/>
  <c r="G333" i="20"/>
  <c r="F333" i="20"/>
  <c r="E333" i="20"/>
  <c r="D333" i="20"/>
  <c r="C333" i="20"/>
  <c r="G332" i="20"/>
  <c r="F332" i="20"/>
  <c r="E332" i="20"/>
  <c r="D332" i="20"/>
  <c r="C332" i="20"/>
  <c r="AF331" i="20"/>
  <c r="G331" i="20"/>
  <c r="F331" i="20"/>
  <c r="E331" i="20"/>
  <c r="D331" i="20"/>
  <c r="C331" i="20"/>
  <c r="G330" i="20"/>
  <c r="F330" i="20"/>
  <c r="E330" i="20"/>
  <c r="D330" i="20"/>
  <c r="C330" i="20"/>
  <c r="AF329" i="20"/>
  <c r="G329" i="20"/>
  <c r="F329" i="20"/>
  <c r="E329" i="20"/>
  <c r="D329" i="20"/>
  <c r="C329" i="20"/>
  <c r="G328" i="20"/>
  <c r="F328" i="20"/>
  <c r="E328" i="20"/>
  <c r="D328" i="20"/>
  <c r="C328" i="20"/>
  <c r="AF327" i="20"/>
  <c r="G327" i="20"/>
  <c r="F327" i="20"/>
  <c r="E327" i="20"/>
  <c r="D327" i="20"/>
  <c r="C327" i="20"/>
  <c r="G326" i="20"/>
  <c r="F326" i="20"/>
  <c r="E326" i="20"/>
  <c r="D326" i="20"/>
  <c r="C326" i="20"/>
  <c r="AF325" i="20"/>
  <c r="G325" i="20"/>
  <c r="F325" i="20"/>
  <c r="E325" i="20"/>
  <c r="D325" i="20"/>
  <c r="C325" i="20"/>
  <c r="G324" i="20"/>
  <c r="F324" i="20"/>
  <c r="E324" i="20"/>
  <c r="D324" i="20"/>
  <c r="C324" i="20"/>
  <c r="AF323" i="20"/>
  <c r="G323" i="20"/>
  <c r="F323" i="20"/>
  <c r="E323" i="20"/>
  <c r="D323" i="20"/>
  <c r="C323" i="20"/>
  <c r="G322" i="20"/>
  <c r="F322" i="20"/>
  <c r="E322" i="20"/>
  <c r="D322" i="20"/>
  <c r="C322" i="20"/>
  <c r="AF321" i="20"/>
  <c r="G321" i="20"/>
  <c r="F321" i="20"/>
  <c r="E321" i="20"/>
  <c r="D321" i="20"/>
  <c r="C321" i="20"/>
  <c r="G320" i="20"/>
  <c r="F320" i="20"/>
  <c r="E320" i="20"/>
  <c r="D320" i="20"/>
  <c r="C320" i="20"/>
  <c r="AF319" i="20"/>
  <c r="G319" i="20"/>
  <c r="F319" i="20"/>
  <c r="E319" i="20"/>
  <c r="D319" i="20"/>
  <c r="C319" i="20"/>
  <c r="G318" i="20"/>
  <c r="F318" i="20"/>
  <c r="E318" i="20"/>
  <c r="D318" i="20"/>
  <c r="C318" i="20"/>
  <c r="AF317" i="20"/>
  <c r="G317" i="20"/>
  <c r="F317" i="20"/>
  <c r="E317" i="20"/>
  <c r="D317" i="20"/>
  <c r="C317" i="20"/>
  <c r="G316" i="20"/>
  <c r="F316" i="20"/>
  <c r="E316" i="20"/>
  <c r="D316" i="20"/>
  <c r="C316" i="20"/>
  <c r="AF315" i="20"/>
  <c r="G315" i="20"/>
  <c r="F315" i="20"/>
  <c r="E315" i="20"/>
  <c r="D315" i="20"/>
  <c r="C315" i="20"/>
  <c r="G314" i="20"/>
  <c r="F314" i="20"/>
  <c r="E314" i="20"/>
  <c r="D314" i="20"/>
  <c r="C314" i="20"/>
  <c r="AF313" i="20"/>
  <c r="G313" i="20"/>
  <c r="F313" i="20"/>
  <c r="E313" i="20"/>
  <c r="D313" i="20"/>
  <c r="C313" i="20"/>
  <c r="G312" i="20"/>
  <c r="F312" i="20"/>
  <c r="E312" i="20"/>
  <c r="D312" i="20"/>
  <c r="C312" i="20"/>
  <c r="AF311" i="20"/>
  <c r="G311" i="20"/>
  <c r="F311" i="20"/>
  <c r="E311" i="20"/>
  <c r="D311" i="20"/>
  <c r="C311" i="20"/>
  <c r="G310" i="20"/>
  <c r="F310" i="20"/>
  <c r="E310" i="20"/>
  <c r="D310" i="20"/>
  <c r="C310" i="20"/>
  <c r="AF309" i="20"/>
  <c r="G309" i="20"/>
  <c r="F309" i="20"/>
  <c r="E309" i="20"/>
  <c r="D309" i="20"/>
  <c r="C309" i="20"/>
  <c r="G308" i="20"/>
  <c r="F308" i="20"/>
  <c r="E308" i="20"/>
  <c r="D308" i="20"/>
  <c r="C308" i="20"/>
  <c r="AF307" i="20"/>
  <c r="G307" i="20"/>
  <c r="F307" i="20"/>
  <c r="E307" i="20"/>
  <c r="D307" i="20"/>
  <c r="C307" i="20"/>
  <c r="G306" i="20"/>
  <c r="F306" i="20"/>
  <c r="E306" i="20"/>
  <c r="D306" i="20"/>
  <c r="C306" i="20"/>
  <c r="AF305" i="20"/>
  <c r="G305" i="20"/>
  <c r="F305" i="20"/>
  <c r="E305" i="20"/>
  <c r="D305" i="20"/>
  <c r="C305" i="20"/>
  <c r="G304" i="20"/>
  <c r="F304" i="20"/>
  <c r="E304" i="20"/>
  <c r="D304" i="20"/>
  <c r="C304" i="20"/>
  <c r="AF303" i="20"/>
  <c r="G303" i="20"/>
  <c r="F303" i="20"/>
  <c r="E303" i="20"/>
  <c r="D303" i="20"/>
  <c r="C303" i="20"/>
  <c r="G302" i="20"/>
  <c r="F302" i="20"/>
  <c r="E302" i="20"/>
  <c r="D302" i="20"/>
  <c r="C302" i="20"/>
  <c r="AF301" i="20"/>
  <c r="G301" i="20"/>
  <c r="F301" i="20"/>
  <c r="E301" i="20"/>
  <c r="D301" i="20"/>
  <c r="C301" i="20"/>
  <c r="G300" i="20"/>
  <c r="F300" i="20"/>
  <c r="E300" i="20"/>
  <c r="D300" i="20"/>
  <c r="C300" i="20"/>
  <c r="AF299" i="20"/>
  <c r="G299" i="20"/>
  <c r="F299" i="20"/>
  <c r="E299" i="20"/>
  <c r="D299" i="20"/>
  <c r="C299" i="20"/>
  <c r="G298" i="20"/>
  <c r="F298" i="20"/>
  <c r="E298" i="20"/>
  <c r="D298" i="20"/>
  <c r="C298" i="20"/>
  <c r="AF297" i="20"/>
  <c r="G297" i="20"/>
  <c r="F297" i="20"/>
  <c r="E297" i="20"/>
  <c r="D297" i="20"/>
  <c r="C297" i="20"/>
  <c r="G296" i="20"/>
  <c r="F296" i="20"/>
  <c r="E296" i="20"/>
  <c r="D296" i="20"/>
  <c r="C296" i="20"/>
  <c r="AF295" i="20"/>
  <c r="G295" i="20"/>
  <c r="F295" i="20"/>
  <c r="E295" i="20"/>
  <c r="D295" i="20"/>
  <c r="C295" i="20"/>
  <c r="G294" i="20"/>
  <c r="F294" i="20"/>
  <c r="E294" i="20"/>
  <c r="D294" i="20"/>
  <c r="C294" i="20"/>
  <c r="AF293" i="20"/>
  <c r="G293" i="20"/>
  <c r="F293" i="20"/>
  <c r="E293" i="20"/>
  <c r="D293" i="20"/>
  <c r="C293" i="20"/>
  <c r="G292" i="20"/>
  <c r="F292" i="20"/>
  <c r="E292" i="20"/>
  <c r="D292" i="20"/>
  <c r="C292" i="20"/>
  <c r="AF291" i="20"/>
  <c r="G291" i="20"/>
  <c r="F291" i="20"/>
  <c r="E291" i="20"/>
  <c r="D291" i="20"/>
  <c r="C291" i="20"/>
  <c r="G290" i="20"/>
  <c r="F290" i="20"/>
  <c r="E290" i="20"/>
  <c r="D290" i="20"/>
  <c r="C290" i="20"/>
  <c r="AF289" i="20"/>
  <c r="G289" i="20"/>
  <c r="F289" i="20"/>
  <c r="E289" i="20"/>
  <c r="D289" i="20"/>
  <c r="C289" i="20"/>
  <c r="G288" i="20"/>
  <c r="F288" i="20"/>
  <c r="E288" i="20"/>
  <c r="D288" i="20"/>
  <c r="C288" i="20"/>
  <c r="AF287" i="20"/>
  <c r="G287" i="20"/>
  <c r="F287" i="20"/>
  <c r="E287" i="20"/>
  <c r="D287" i="20"/>
  <c r="C287" i="20"/>
  <c r="G286" i="20"/>
  <c r="F286" i="20"/>
  <c r="E286" i="20"/>
  <c r="D286" i="20"/>
  <c r="C286" i="20"/>
  <c r="AF285" i="20"/>
  <c r="G285" i="20"/>
  <c r="F285" i="20"/>
  <c r="E285" i="20"/>
  <c r="D285" i="20"/>
  <c r="C285" i="20"/>
  <c r="G284" i="20"/>
  <c r="F284" i="20"/>
  <c r="E284" i="20"/>
  <c r="D284" i="20"/>
  <c r="C284" i="20"/>
  <c r="AF283" i="20"/>
  <c r="G283" i="20"/>
  <c r="F283" i="20"/>
  <c r="E283" i="20"/>
  <c r="D283" i="20"/>
  <c r="C283" i="20"/>
  <c r="G282" i="20"/>
  <c r="F282" i="20"/>
  <c r="E282" i="20"/>
  <c r="D282" i="20"/>
  <c r="C282" i="20"/>
  <c r="AF281" i="20"/>
  <c r="G281" i="20"/>
  <c r="F281" i="20"/>
  <c r="E281" i="20"/>
  <c r="D281" i="20"/>
  <c r="C281" i="20"/>
  <c r="G280" i="20"/>
  <c r="F280" i="20"/>
  <c r="E280" i="20"/>
  <c r="D280" i="20"/>
  <c r="C280" i="20"/>
  <c r="AF279" i="20"/>
  <c r="G279" i="20"/>
  <c r="F279" i="20"/>
  <c r="E279" i="20"/>
  <c r="D279" i="20"/>
  <c r="C279" i="20"/>
  <c r="G278" i="20"/>
  <c r="F278" i="20"/>
  <c r="E278" i="20"/>
  <c r="D278" i="20"/>
  <c r="C278" i="20"/>
  <c r="AF277" i="20"/>
  <c r="G277" i="20"/>
  <c r="F277" i="20"/>
  <c r="E277" i="20"/>
  <c r="D277" i="20"/>
  <c r="C277" i="20"/>
  <c r="AF276" i="20"/>
  <c r="G276" i="20"/>
  <c r="F276" i="20"/>
  <c r="E276" i="20"/>
  <c r="D276" i="20"/>
  <c r="C276" i="20"/>
  <c r="AF275" i="20"/>
  <c r="G275" i="20"/>
  <c r="F275" i="20"/>
  <c r="E275" i="20"/>
  <c r="D275" i="20"/>
  <c r="C275" i="20"/>
  <c r="AF274" i="20"/>
  <c r="G274" i="20"/>
  <c r="F274" i="20"/>
  <c r="E274" i="20"/>
  <c r="D274" i="20"/>
  <c r="C274" i="20"/>
  <c r="AF273" i="20"/>
  <c r="G273" i="20"/>
  <c r="F273" i="20"/>
  <c r="E273" i="20"/>
  <c r="D273" i="20"/>
  <c r="C273" i="20"/>
  <c r="AF272" i="20"/>
  <c r="G272" i="20"/>
  <c r="F272" i="20"/>
  <c r="E272" i="20"/>
  <c r="D272" i="20"/>
  <c r="C272" i="20"/>
  <c r="AF271" i="20"/>
  <c r="G271" i="20"/>
  <c r="F271" i="20"/>
  <c r="E271" i="20"/>
  <c r="D271" i="20"/>
  <c r="C271" i="20"/>
  <c r="AF270" i="20"/>
  <c r="G270" i="20"/>
  <c r="F270" i="20"/>
  <c r="E270" i="20"/>
  <c r="D270" i="20"/>
  <c r="C270" i="20"/>
  <c r="AF269" i="20"/>
  <c r="G269" i="20"/>
  <c r="F269" i="20"/>
  <c r="E269" i="20"/>
  <c r="D269" i="20"/>
  <c r="C269" i="20"/>
  <c r="AF268" i="20"/>
  <c r="G268" i="20"/>
  <c r="F268" i="20"/>
  <c r="E268" i="20"/>
  <c r="D268" i="20"/>
  <c r="C268" i="20"/>
  <c r="AF267" i="20"/>
  <c r="G267" i="20"/>
  <c r="F267" i="20"/>
  <c r="E267" i="20"/>
  <c r="D267" i="20"/>
  <c r="C267" i="20"/>
  <c r="AF266" i="20"/>
  <c r="G266" i="20"/>
  <c r="F266" i="20"/>
  <c r="E266" i="20"/>
  <c r="D266" i="20"/>
  <c r="C266" i="20"/>
  <c r="AF265" i="20"/>
  <c r="G265" i="20"/>
  <c r="F265" i="20"/>
  <c r="E265" i="20"/>
  <c r="D265" i="20"/>
  <c r="C265" i="20"/>
  <c r="AF264" i="20"/>
  <c r="G264" i="20"/>
  <c r="F264" i="20"/>
  <c r="E264" i="20"/>
  <c r="D264" i="20"/>
  <c r="C264" i="20"/>
  <c r="AF263" i="20"/>
  <c r="G263" i="20"/>
  <c r="F263" i="20"/>
  <c r="E263" i="20"/>
  <c r="D263" i="20"/>
  <c r="C263" i="20"/>
  <c r="AF262" i="20"/>
  <c r="G262" i="20"/>
  <c r="F262" i="20"/>
  <c r="E262" i="20"/>
  <c r="D262" i="20"/>
  <c r="C262" i="20"/>
  <c r="AF261" i="20"/>
  <c r="G261" i="20"/>
  <c r="F261" i="20"/>
  <c r="E261" i="20"/>
  <c r="D261" i="20"/>
  <c r="C261" i="20"/>
  <c r="AF260" i="20"/>
  <c r="G260" i="20"/>
  <c r="F260" i="20"/>
  <c r="E260" i="20"/>
  <c r="D260" i="20"/>
  <c r="C260" i="20"/>
  <c r="AF259" i="20"/>
  <c r="G259" i="20"/>
  <c r="F259" i="20"/>
  <c r="E259" i="20"/>
  <c r="D259" i="20"/>
  <c r="C259" i="20"/>
  <c r="AF258" i="20"/>
  <c r="G258" i="20"/>
  <c r="F258" i="20"/>
  <c r="E258" i="20"/>
  <c r="D258" i="20"/>
  <c r="C258" i="20"/>
  <c r="AF257" i="20"/>
  <c r="G257" i="20"/>
  <c r="F257" i="20"/>
  <c r="E257" i="20"/>
  <c r="D257" i="20"/>
  <c r="C257" i="20"/>
  <c r="AF256" i="20"/>
  <c r="G256" i="20"/>
  <c r="F256" i="20"/>
  <c r="E256" i="20"/>
  <c r="D256" i="20"/>
  <c r="C256" i="20"/>
  <c r="AF255" i="20"/>
  <c r="G255" i="20"/>
  <c r="F255" i="20"/>
  <c r="E255" i="20"/>
  <c r="D255" i="20"/>
  <c r="C255" i="20"/>
  <c r="AF254" i="20"/>
  <c r="G254" i="20"/>
  <c r="F254" i="20"/>
  <c r="E254" i="20"/>
  <c r="D254" i="20"/>
  <c r="C254" i="20"/>
  <c r="AF253" i="20"/>
  <c r="G253" i="20"/>
  <c r="F253" i="20"/>
  <c r="E253" i="20"/>
  <c r="D253" i="20"/>
  <c r="C253" i="20"/>
  <c r="AF252" i="20"/>
  <c r="G252" i="20"/>
  <c r="F252" i="20"/>
  <c r="E252" i="20"/>
  <c r="D252" i="20"/>
  <c r="C252" i="20"/>
  <c r="AF251" i="20"/>
  <c r="G251" i="20"/>
  <c r="F251" i="20"/>
  <c r="E251" i="20"/>
  <c r="D251" i="20"/>
  <c r="C251" i="20"/>
  <c r="AF250" i="20"/>
  <c r="G250" i="20"/>
  <c r="F250" i="20"/>
  <c r="E250" i="20"/>
  <c r="D250" i="20"/>
  <c r="C250" i="20"/>
  <c r="AF249" i="20"/>
  <c r="G249" i="20"/>
  <c r="F249" i="20"/>
  <c r="E249" i="20"/>
  <c r="D249" i="20"/>
  <c r="C249" i="20"/>
  <c r="AF248" i="20"/>
  <c r="G248" i="20"/>
  <c r="F248" i="20"/>
  <c r="E248" i="20"/>
  <c r="D248" i="20"/>
  <c r="C248" i="20"/>
  <c r="AF247" i="20"/>
  <c r="G247" i="20"/>
  <c r="F247" i="20"/>
  <c r="E247" i="20"/>
  <c r="D247" i="20"/>
  <c r="C247" i="20"/>
  <c r="AF246" i="20"/>
  <c r="G246" i="20"/>
  <c r="F246" i="20"/>
  <c r="E246" i="20"/>
  <c r="D246" i="20"/>
  <c r="C246" i="20"/>
  <c r="AF245" i="20"/>
  <c r="G245" i="20"/>
  <c r="F245" i="20"/>
  <c r="E245" i="20"/>
  <c r="D245" i="20"/>
  <c r="C245" i="20"/>
  <c r="AF244" i="20"/>
  <c r="G244" i="20"/>
  <c r="F244" i="20"/>
  <c r="E244" i="20"/>
  <c r="D244" i="20"/>
  <c r="C244" i="20"/>
  <c r="AF243" i="20"/>
  <c r="G243" i="20"/>
  <c r="F243" i="20"/>
  <c r="E243" i="20"/>
  <c r="D243" i="20"/>
  <c r="C243" i="20"/>
  <c r="AF242" i="20"/>
  <c r="G242" i="20"/>
  <c r="F242" i="20"/>
  <c r="E242" i="20"/>
  <c r="D242" i="20"/>
  <c r="C242" i="20"/>
  <c r="AF241" i="20"/>
  <c r="G241" i="20"/>
  <c r="F241" i="20"/>
  <c r="E241" i="20"/>
  <c r="D241" i="20"/>
  <c r="C241" i="20"/>
  <c r="AF240" i="20"/>
  <c r="G240" i="20"/>
  <c r="F240" i="20"/>
  <c r="E240" i="20"/>
  <c r="D240" i="20"/>
  <c r="C240" i="20"/>
  <c r="AF239" i="20"/>
  <c r="G239" i="20"/>
  <c r="F239" i="20"/>
  <c r="E239" i="20"/>
  <c r="D239" i="20"/>
  <c r="C239" i="20"/>
  <c r="AF238" i="20"/>
  <c r="G238" i="20"/>
  <c r="F238" i="20"/>
  <c r="E238" i="20"/>
  <c r="D238" i="20"/>
  <c r="C238" i="20"/>
  <c r="AF237" i="20"/>
  <c r="G237" i="20"/>
  <c r="F237" i="20"/>
  <c r="E237" i="20"/>
  <c r="D237" i="20"/>
  <c r="C237" i="20"/>
  <c r="AF236" i="20"/>
  <c r="G236" i="20"/>
  <c r="F236" i="20"/>
  <c r="E236" i="20"/>
  <c r="D236" i="20"/>
  <c r="C236" i="20"/>
  <c r="AF235" i="20"/>
  <c r="G235" i="20"/>
  <c r="F235" i="20"/>
  <c r="E235" i="20"/>
  <c r="D235" i="20"/>
  <c r="C235" i="20"/>
  <c r="AF234" i="20"/>
  <c r="G234" i="20"/>
  <c r="F234" i="20"/>
  <c r="E234" i="20"/>
  <c r="D234" i="20"/>
  <c r="C234" i="20"/>
  <c r="AF233" i="20"/>
  <c r="G233" i="20"/>
  <c r="F233" i="20"/>
  <c r="E233" i="20"/>
  <c r="D233" i="20"/>
  <c r="C233" i="20"/>
  <c r="AF232" i="20"/>
  <c r="G232" i="20"/>
  <c r="F232" i="20"/>
  <c r="E232" i="20"/>
  <c r="D232" i="20"/>
  <c r="C232" i="20"/>
  <c r="AF231" i="20"/>
  <c r="G231" i="20"/>
  <c r="F231" i="20"/>
  <c r="E231" i="20"/>
  <c r="D231" i="20"/>
  <c r="C231" i="20"/>
  <c r="AF230" i="20"/>
  <c r="G230" i="20"/>
  <c r="F230" i="20"/>
  <c r="E230" i="20"/>
  <c r="D230" i="20"/>
  <c r="C230" i="20"/>
  <c r="AF229" i="20"/>
  <c r="G229" i="20"/>
  <c r="F229" i="20"/>
  <c r="E229" i="20"/>
  <c r="D229" i="20"/>
  <c r="C229" i="20"/>
  <c r="AF228" i="20"/>
  <c r="G228" i="20"/>
  <c r="F228" i="20"/>
  <c r="E228" i="20"/>
  <c r="D228" i="20"/>
  <c r="C228" i="20"/>
  <c r="AF227" i="20"/>
  <c r="G227" i="20"/>
  <c r="F227" i="20"/>
  <c r="E227" i="20"/>
  <c r="D227" i="20"/>
  <c r="C227" i="20"/>
  <c r="AF226" i="20"/>
  <c r="G226" i="20"/>
  <c r="F226" i="20"/>
  <c r="E226" i="20"/>
  <c r="D226" i="20"/>
  <c r="C226" i="20"/>
  <c r="AF225" i="20"/>
  <c r="G225" i="20"/>
  <c r="F225" i="20"/>
  <c r="E225" i="20"/>
  <c r="D225" i="20"/>
  <c r="C225" i="20"/>
  <c r="AF224" i="20"/>
  <c r="G224" i="20"/>
  <c r="F224" i="20"/>
  <c r="E224" i="20"/>
  <c r="D224" i="20"/>
  <c r="C224" i="20"/>
  <c r="AF223" i="20"/>
  <c r="G223" i="20"/>
  <c r="F223" i="20"/>
  <c r="E223" i="20"/>
  <c r="D223" i="20"/>
  <c r="C223" i="20"/>
  <c r="AF222" i="20"/>
  <c r="G222" i="20"/>
  <c r="F222" i="20"/>
  <c r="E222" i="20"/>
  <c r="D222" i="20"/>
  <c r="C222" i="20"/>
  <c r="AF221" i="20"/>
  <c r="G221" i="20"/>
  <c r="F221" i="20"/>
  <c r="E221" i="20"/>
  <c r="D221" i="20"/>
  <c r="C221" i="20"/>
  <c r="AF220" i="20"/>
  <c r="G220" i="20"/>
  <c r="F220" i="20"/>
  <c r="E220" i="20"/>
  <c r="D220" i="20"/>
  <c r="C220" i="20"/>
  <c r="AF219" i="20"/>
  <c r="G219" i="20"/>
  <c r="F219" i="20"/>
  <c r="E219" i="20"/>
  <c r="D219" i="20"/>
  <c r="C219" i="20"/>
  <c r="AF218" i="20"/>
  <c r="G218" i="20"/>
  <c r="F218" i="20"/>
  <c r="E218" i="20"/>
  <c r="D218" i="20"/>
  <c r="C218" i="20"/>
  <c r="AF217" i="20"/>
  <c r="G217" i="20"/>
  <c r="F217" i="20"/>
  <c r="E217" i="20"/>
  <c r="D217" i="20"/>
  <c r="C217" i="20"/>
  <c r="AF216" i="20"/>
  <c r="G216" i="20"/>
  <c r="F216" i="20"/>
  <c r="E216" i="20"/>
  <c r="D216" i="20"/>
  <c r="C216" i="20"/>
  <c r="AF215" i="20"/>
  <c r="G215" i="20"/>
  <c r="F215" i="20"/>
  <c r="E215" i="20"/>
  <c r="D215" i="20"/>
  <c r="C215" i="20"/>
  <c r="AF214" i="20"/>
  <c r="G214" i="20"/>
  <c r="F214" i="20"/>
  <c r="E214" i="20"/>
  <c r="D214" i="20"/>
  <c r="C214" i="20"/>
  <c r="AF213" i="20"/>
  <c r="G213" i="20"/>
  <c r="F213" i="20"/>
  <c r="E213" i="20"/>
  <c r="D213" i="20"/>
  <c r="C213" i="20"/>
  <c r="AF212" i="20"/>
  <c r="G212" i="20"/>
  <c r="F212" i="20"/>
  <c r="E212" i="20"/>
  <c r="D212" i="20"/>
  <c r="C212" i="20"/>
  <c r="AF211" i="20"/>
  <c r="G211" i="20"/>
  <c r="F211" i="20"/>
  <c r="E211" i="20"/>
  <c r="D211" i="20"/>
  <c r="C211" i="20"/>
  <c r="AF210" i="20"/>
  <c r="G210" i="20"/>
  <c r="F210" i="20"/>
  <c r="E210" i="20"/>
  <c r="D210" i="20"/>
  <c r="C210" i="20"/>
  <c r="AF209" i="20"/>
  <c r="G209" i="20"/>
  <c r="F209" i="20"/>
  <c r="E209" i="20"/>
  <c r="D209" i="20"/>
  <c r="C209" i="20"/>
  <c r="AF208" i="20"/>
  <c r="G208" i="20"/>
  <c r="F208" i="20"/>
  <c r="E208" i="20"/>
  <c r="D208" i="20"/>
  <c r="C208" i="20"/>
  <c r="AF207" i="20"/>
  <c r="G207" i="20"/>
  <c r="F207" i="20"/>
  <c r="E207" i="20"/>
  <c r="D207" i="20"/>
  <c r="C207" i="20"/>
  <c r="AF206" i="20"/>
  <c r="G206" i="20"/>
  <c r="F206" i="20"/>
  <c r="E206" i="20"/>
  <c r="D206" i="20"/>
  <c r="C206" i="20"/>
  <c r="AF205" i="20"/>
  <c r="G205" i="20"/>
  <c r="F205" i="20"/>
  <c r="E205" i="20"/>
  <c r="D205" i="20"/>
  <c r="C205" i="20"/>
  <c r="AF204" i="20"/>
  <c r="G204" i="20"/>
  <c r="F204" i="20"/>
  <c r="E204" i="20"/>
  <c r="D204" i="20"/>
  <c r="C204" i="20"/>
  <c r="AF203" i="20"/>
  <c r="G203" i="20"/>
  <c r="F203" i="20"/>
  <c r="E203" i="20"/>
  <c r="D203" i="20"/>
  <c r="C203" i="20"/>
  <c r="AF202" i="20"/>
  <c r="G202" i="20"/>
  <c r="F202" i="20"/>
  <c r="E202" i="20"/>
  <c r="D202" i="20"/>
  <c r="C202" i="20"/>
  <c r="AF201" i="20"/>
  <c r="G201" i="20"/>
  <c r="F201" i="20"/>
  <c r="E201" i="20"/>
  <c r="D201" i="20"/>
  <c r="C201" i="20"/>
  <c r="AF200" i="20"/>
  <c r="G200" i="20"/>
  <c r="F200" i="20"/>
  <c r="E200" i="20"/>
  <c r="D200" i="20"/>
  <c r="C200" i="20"/>
  <c r="AF199" i="20"/>
  <c r="G199" i="20"/>
  <c r="F199" i="20"/>
  <c r="E199" i="20"/>
  <c r="D199" i="20"/>
  <c r="C199" i="20"/>
  <c r="AF198" i="20"/>
  <c r="G198" i="20"/>
  <c r="F198" i="20"/>
  <c r="E198" i="20"/>
  <c r="D198" i="20"/>
  <c r="C198" i="20"/>
  <c r="AF197" i="20"/>
  <c r="G197" i="20"/>
  <c r="F197" i="20"/>
  <c r="E197" i="20"/>
  <c r="D197" i="20"/>
  <c r="C197" i="20"/>
  <c r="AF196" i="20"/>
  <c r="G196" i="20"/>
  <c r="F196" i="20"/>
  <c r="E196" i="20"/>
  <c r="D196" i="20"/>
  <c r="C196" i="20"/>
  <c r="AF195" i="20"/>
  <c r="G195" i="20"/>
  <c r="F195" i="20"/>
  <c r="E195" i="20"/>
  <c r="D195" i="20"/>
  <c r="C195" i="20"/>
  <c r="AF194" i="20"/>
  <c r="G194" i="20"/>
  <c r="F194" i="20"/>
  <c r="E194" i="20"/>
  <c r="D194" i="20"/>
  <c r="C194" i="20"/>
  <c r="AF193" i="20"/>
  <c r="G193" i="20"/>
  <c r="F193" i="20"/>
  <c r="E193" i="20"/>
  <c r="D193" i="20"/>
  <c r="C193" i="20"/>
  <c r="AF192" i="20"/>
  <c r="G192" i="20"/>
  <c r="F192" i="20"/>
  <c r="E192" i="20"/>
  <c r="D192" i="20"/>
  <c r="C192" i="20"/>
  <c r="AF191" i="20"/>
  <c r="G191" i="20"/>
  <c r="F191" i="20"/>
  <c r="E191" i="20"/>
  <c r="D191" i="20"/>
  <c r="C191" i="20"/>
  <c r="AF190" i="20"/>
  <c r="G190" i="20"/>
  <c r="F190" i="20"/>
  <c r="E190" i="20"/>
  <c r="D190" i="20"/>
  <c r="C190" i="20"/>
  <c r="AF189" i="20"/>
  <c r="G189" i="20"/>
  <c r="F189" i="20"/>
  <c r="E189" i="20"/>
  <c r="D189" i="20"/>
  <c r="C189" i="20"/>
  <c r="AF188" i="20"/>
  <c r="G188" i="20"/>
  <c r="F188" i="20"/>
  <c r="E188" i="20"/>
  <c r="D188" i="20"/>
  <c r="C188" i="20"/>
  <c r="AF187" i="20"/>
  <c r="G187" i="20"/>
  <c r="F187" i="20"/>
  <c r="E187" i="20"/>
  <c r="D187" i="20"/>
  <c r="C187" i="20"/>
  <c r="AF186" i="20"/>
  <c r="G186" i="20"/>
  <c r="F186" i="20"/>
  <c r="E186" i="20"/>
  <c r="D186" i="20"/>
  <c r="C186" i="20"/>
  <c r="AF185" i="20"/>
  <c r="G185" i="20"/>
  <c r="F185" i="20"/>
  <c r="E185" i="20"/>
  <c r="D185" i="20"/>
  <c r="C185" i="20"/>
  <c r="AF184" i="20"/>
  <c r="G184" i="20"/>
  <c r="F184" i="20"/>
  <c r="E184" i="20"/>
  <c r="D184" i="20"/>
  <c r="C184" i="20"/>
  <c r="AF183" i="20"/>
  <c r="G183" i="20"/>
  <c r="F183" i="20"/>
  <c r="E183" i="20"/>
  <c r="D183" i="20"/>
  <c r="C183" i="20"/>
  <c r="AF182" i="20"/>
  <c r="G182" i="20"/>
  <c r="F182" i="20"/>
  <c r="E182" i="20"/>
  <c r="D182" i="20"/>
  <c r="C182" i="20"/>
  <c r="AF181" i="20"/>
  <c r="G181" i="20"/>
  <c r="F181" i="20"/>
  <c r="E181" i="20"/>
  <c r="D181" i="20"/>
  <c r="C181" i="20"/>
  <c r="AF180" i="20"/>
  <c r="G180" i="20"/>
  <c r="F180" i="20"/>
  <c r="E180" i="20"/>
  <c r="D180" i="20"/>
  <c r="C180" i="20"/>
  <c r="AF179" i="20"/>
  <c r="G179" i="20"/>
  <c r="F179" i="20"/>
  <c r="E179" i="20"/>
  <c r="D179" i="20"/>
  <c r="C179" i="20"/>
  <c r="AF178" i="20"/>
  <c r="G178" i="20"/>
  <c r="F178" i="20"/>
  <c r="E178" i="20"/>
  <c r="D178" i="20"/>
  <c r="C178" i="20"/>
  <c r="AF177" i="20"/>
  <c r="G177" i="20"/>
  <c r="F177" i="20"/>
  <c r="E177" i="20"/>
  <c r="D177" i="20"/>
  <c r="C177" i="20"/>
  <c r="AF176" i="20"/>
  <c r="G176" i="20"/>
  <c r="F176" i="20"/>
  <c r="E176" i="20"/>
  <c r="D176" i="20"/>
  <c r="C176" i="20"/>
  <c r="AF175" i="20"/>
  <c r="G175" i="20"/>
  <c r="F175" i="20"/>
  <c r="E175" i="20"/>
  <c r="D175" i="20"/>
  <c r="C175" i="20"/>
  <c r="AF174" i="20"/>
  <c r="G174" i="20"/>
  <c r="F174" i="20"/>
  <c r="E174" i="20"/>
  <c r="D174" i="20"/>
  <c r="C174" i="20"/>
  <c r="AF173" i="20"/>
  <c r="G173" i="20"/>
  <c r="F173" i="20"/>
  <c r="E173" i="20"/>
  <c r="D173" i="20"/>
  <c r="C173" i="20"/>
  <c r="AF172" i="20"/>
  <c r="G172" i="20"/>
  <c r="F172" i="20"/>
  <c r="E172" i="20"/>
  <c r="D172" i="20"/>
  <c r="C172" i="20"/>
  <c r="AF171" i="20"/>
  <c r="G171" i="20"/>
  <c r="F171" i="20"/>
  <c r="E171" i="20"/>
  <c r="D171" i="20"/>
  <c r="C171" i="20"/>
  <c r="AF170" i="20"/>
  <c r="G170" i="20"/>
  <c r="F170" i="20"/>
  <c r="E170" i="20"/>
  <c r="D170" i="20"/>
  <c r="C170" i="20"/>
  <c r="AF169" i="20"/>
  <c r="G169" i="20"/>
  <c r="F169" i="20"/>
  <c r="E169" i="20"/>
  <c r="D169" i="20"/>
  <c r="C169" i="20"/>
  <c r="AF168" i="20"/>
  <c r="G168" i="20"/>
  <c r="F168" i="20"/>
  <c r="E168" i="20"/>
  <c r="D168" i="20"/>
  <c r="C168" i="20"/>
  <c r="AF167" i="20"/>
  <c r="G167" i="20"/>
  <c r="F167" i="20"/>
  <c r="E167" i="20"/>
  <c r="D167" i="20"/>
  <c r="C167" i="20"/>
  <c r="AF166" i="20"/>
  <c r="G166" i="20"/>
  <c r="F166" i="20"/>
  <c r="E166" i="20"/>
  <c r="D166" i="20"/>
  <c r="C166" i="20"/>
  <c r="AF165" i="20"/>
  <c r="G165" i="20"/>
  <c r="F165" i="20"/>
  <c r="E165" i="20"/>
  <c r="D165" i="20"/>
  <c r="C165" i="20"/>
  <c r="AF164" i="20"/>
  <c r="G164" i="20"/>
  <c r="F164" i="20"/>
  <c r="E164" i="20"/>
  <c r="D164" i="20"/>
  <c r="C164" i="20"/>
  <c r="AF163" i="20"/>
  <c r="G163" i="20"/>
  <c r="F163" i="20"/>
  <c r="E163" i="20"/>
  <c r="D163" i="20"/>
  <c r="C163" i="20"/>
  <c r="AF162" i="20"/>
  <c r="G162" i="20"/>
  <c r="F162" i="20"/>
  <c r="E162" i="20"/>
  <c r="D162" i="20"/>
  <c r="C162" i="20"/>
  <c r="AF161" i="20"/>
  <c r="G161" i="20"/>
  <c r="F161" i="20"/>
  <c r="E161" i="20"/>
  <c r="D161" i="20"/>
  <c r="C161" i="20"/>
  <c r="AF160" i="20"/>
  <c r="G160" i="20"/>
  <c r="F160" i="20"/>
  <c r="E160" i="20"/>
  <c r="D160" i="20"/>
  <c r="C160" i="20"/>
  <c r="AF159" i="20"/>
  <c r="G159" i="20"/>
  <c r="F159" i="20"/>
  <c r="E159" i="20"/>
  <c r="D159" i="20"/>
  <c r="C159" i="20"/>
  <c r="AF158" i="20"/>
  <c r="G158" i="20"/>
  <c r="F158" i="20"/>
  <c r="E158" i="20"/>
  <c r="D158" i="20"/>
  <c r="C158" i="20"/>
  <c r="AF157" i="20"/>
  <c r="G157" i="20"/>
  <c r="F157" i="20"/>
  <c r="E157" i="20"/>
  <c r="D157" i="20"/>
  <c r="C157" i="20"/>
  <c r="AF156" i="20"/>
  <c r="G156" i="20"/>
  <c r="F156" i="20"/>
  <c r="E156" i="20"/>
  <c r="D156" i="20"/>
  <c r="C156" i="20"/>
  <c r="AF155" i="20"/>
  <c r="G155" i="20"/>
  <c r="F155" i="20"/>
  <c r="E155" i="20"/>
  <c r="D155" i="20"/>
  <c r="C155" i="20"/>
  <c r="AF154" i="20"/>
  <c r="G154" i="20"/>
  <c r="F154" i="20"/>
  <c r="E154" i="20"/>
  <c r="D154" i="20"/>
  <c r="C154" i="20"/>
  <c r="AF153" i="20"/>
  <c r="G153" i="20"/>
  <c r="F153" i="20"/>
  <c r="E153" i="20"/>
  <c r="D153" i="20"/>
  <c r="C153" i="20"/>
  <c r="AF152" i="20"/>
  <c r="G152" i="20"/>
  <c r="F152" i="20"/>
  <c r="E152" i="20"/>
  <c r="D152" i="20"/>
  <c r="C152" i="20"/>
  <c r="AF151" i="20"/>
  <c r="G151" i="20"/>
  <c r="F151" i="20"/>
  <c r="E151" i="20"/>
  <c r="D151" i="20"/>
  <c r="C151" i="20"/>
  <c r="AF150" i="20"/>
  <c r="G150" i="20"/>
  <c r="F150" i="20"/>
  <c r="E150" i="20"/>
  <c r="D150" i="20"/>
  <c r="C150" i="20"/>
  <c r="AF149" i="20"/>
  <c r="G149" i="20"/>
  <c r="F149" i="20"/>
  <c r="E149" i="20"/>
  <c r="D149" i="20"/>
  <c r="C149" i="20"/>
  <c r="AF148" i="20"/>
  <c r="G148" i="20"/>
  <c r="F148" i="20"/>
  <c r="E148" i="20"/>
  <c r="D148" i="20"/>
  <c r="C148" i="20"/>
  <c r="AF147" i="20"/>
  <c r="G147" i="20"/>
  <c r="F147" i="20"/>
  <c r="E147" i="20"/>
  <c r="D147" i="20"/>
  <c r="C147" i="20"/>
  <c r="AF146" i="20"/>
  <c r="G146" i="20"/>
  <c r="F146" i="20"/>
  <c r="E146" i="20"/>
  <c r="D146" i="20"/>
  <c r="C146" i="20"/>
  <c r="AF145" i="20"/>
  <c r="G145" i="20"/>
  <c r="F145" i="20"/>
  <c r="E145" i="20"/>
  <c r="D145" i="20"/>
  <c r="C145" i="20"/>
  <c r="AF144" i="20"/>
  <c r="G144" i="20"/>
  <c r="F144" i="20"/>
  <c r="E144" i="20"/>
  <c r="D144" i="20"/>
  <c r="C144" i="20"/>
  <c r="AF143" i="20"/>
  <c r="G143" i="20"/>
  <c r="F143" i="20"/>
  <c r="E143" i="20"/>
  <c r="D143" i="20"/>
  <c r="C143" i="20"/>
  <c r="AF142" i="20"/>
  <c r="G142" i="20"/>
  <c r="F142" i="20"/>
  <c r="E142" i="20"/>
  <c r="D142" i="20"/>
  <c r="C142" i="20"/>
  <c r="AF141" i="20"/>
  <c r="G141" i="20"/>
  <c r="F141" i="20"/>
  <c r="E141" i="20"/>
  <c r="D141" i="20"/>
  <c r="C141" i="20"/>
  <c r="AF140" i="20"/>
  <c r="G140" i="20"/>
  <c r="F140" i="20"/>
  <c r="E140" i="20"/>
  <c r="D140" i="20"/>
  <c r="C140" i="20"/>
  <c r="AF139" i="20"/>
  <c r="G139" i="20"/>
  <c r="F139" i="20"/>
  <c r="E139" i="20"/>
  <c r="D139" i="20"/>
  <c r="C139" i="20"/>
  <c r="AF138" i="20"/>
  <c r="G138" i="20"/>
  <c r="F138" i="20"/>
  <c r="E138" i="20"/>
  <c r="D138" i="20"/>
  <c r="C138" i="20"/>
  <c r="AF137" i="20"/>
  <c r="G137" i="20"/>
  <c r="F137" i="20"/>
  <c r="E137" i="20"/>
  <c r="D137" i="20"/>
  <c r="C137" i="20"/>
  <c r="AF136" i="20"/>
  <c r="G136" i="20"/>
  <c r="F136" i="20"/>
  <c r="E136" i="20"/>
  <c r="D136" i="20"/>
  <c r="C136" i="20"/>
  <c r="AF135" i="20"/>
  <c r="G135" i="20"/>
  <c r="F135" i="20"/>
  <c r="E135" i="20"/>
  <c r="D135" i="20"/>
  <c r="C135" i="20"/>
  <c r="AF134" i="20"/>
  <c r="G134" i="20"/>
  <c r="F134" i="20"/>
  <c r="E134" i="20"/>
  <c r="D134" i="20"/>
  <c r="C134" i="20"/>
  <c r="AF133" i="20"/>
  <c r="G133" i="20"/>
  <c r="F133" i="20"/>
  <c r="E133" i="20"/>
  <c r="D133" i="20"/>
  <c r="C133" i="20"/>
  <c r="AF132" i="20"/>
  <c r="G132" i="20"/>
  <c r="F132" i="20"/>
  <c r="E132" i="20"/>
  <c r="D132" i="20"/>
  <c r="C132" i="20"/>
  <c r="AF131" i="20"/>
  <c r="G131" i="20"/>
  <c r="F131" i="20"/>
  <c r="E131" i="20"/>
  <c r="D131" i="20"/>
  <c r="C131" i="20"/>
  <c r="AF130" i="20"/>
  <c r="G130" i="20"/>
  <c r="F130" i="20"/>
  <c r="E130" i="20"/>
  <c r="D130" i="20"/>
  <c r="C130" i="20"/>
  <c r="AF129" i="20"/>
  <c r="G129" i="20"/>
  <c r="F129" i="20"/>
  <c r="E129" i="20"/>
  <c r="D129" i="20"/>
  <c r="C129" i="20"/>
  <c r="AF128" i="20"/>
  <c r="G128" i="20"/>
  <c r="F128" i="20"/>
  <c r="E128" i="20"/>
  <c r="D128" i="20"/>
  <c r="C128" i="20"/>
  <c r="AF127" i="20"/>
  <c r="G127" i="20"/>
  <c r="F127" i="20"/>
  <c r="E127" i="20"/>
  <c r="D127" i="20"/>
  <c r="C127" i="20"/>
  <c r="AF126" i="20"/>
  <c r="G126" i="20"/>
  <c r="F126" i="20"/>
  <c r="E126" i="20"/>
  <c r="D126" i="20"/>
  <c r="C126" i="20"/>
  <c r="AF125" i="20"/>
  <c r="G125" i="20"/>
  <c r="F125" i="20"/>
  <c r="E125" i="20"/>
  <c r="D125" i="20"/>
  <c r="C125" i="20"/>
  <c r="AF124" i="20"/>
  <c r="G124" i="20"/>
  <c r="F124" i="20"/>
  <c r="E124" i="20"/>
  <c r="D124" i="20"/>
  <c r="C124" i="20"/>
  <c r="AF123" i="20"/>
  <c r="G123" i="20"/>
  <c r="F123" i="20"/>
  <c r="E123" i="20"/>
  <c r="D123" i="20"/>
  <c r="C123" i="20"/>
  <c r="AF122" i="20"/>
  <c r="G122" i="20"/>
  <c r="F122" i="20"/>
  <c r="E122" i="20"/>
  <c r="D122" i="20"/>
  <c r="C122" i="20"/>
  <c r="AF121" i="20"/>
  <c r="G121" i="20"/>
  <c r="F121" i="20"/>
  <c r="E121" i="20"/>
  <c r="D121" i="20"/>
  <c r="C121" i="20"/>
  <c r="AF120" i="20"/>
  <c r="G120" i="20"/>
  <c r="F120" i="20"/>
  <c r="E120" i="20"/>
  <c r="D120" i="20"/>
  <c r="C120" i="20"/>
  <c r="AF119" i="20"/>
  <c r="G119" i="20"/>
  <c r="F119" i="20"/>
  <c r="E119" i="20"/>
  <c r="D119" i="20"/>
  <c r="C119" i="20"/>
  <c r="AF118" i="20"/>
  <c r="G118" i="20"/>
  <c r="F118" i="20"/>
  <c r="E118" i="20"/>
  <c r="D118" i="20"/>
  <c r="C118" i="20"/>
  <c r="AF117" i="20"/>
  <c r="G117" i="20"/>
  <c r="F117" i="20"/>
  <c r="E117" i="20"/>
  <c r="D117" i="20"/>
  <c r="C117" i="20"/>
  <c r="AF116" i="20"/>
  <c r="G116" i="20"/>
  <c r="F116" i="20"/>
  <c r="E116" i="20"/>
  <c r="D116" i="20"/>
  <c r="C116" i="20"/>
  <c r="AF115" i="20"/>
  <c r="G115" i="20"/>
  <c r="F115" i="20"/>
  <c r="E115" i="20"/>
  <c r="D115" i="20"/>
  <c r="C115" i="20"/>
  <c r="AF114" i="20"/>
  <c r="G114" i="20"/>
  <c r="F114" i="20"/>
  <c r="E114" i="20"/>
  <c r="D114" i="20"/>
  <c r="C114" i="20"/>
  <c r="AF113" i="20"/>
  <c r="G113" i="20"/>
  <c r="F113" i="20"/>
  <c r="E113" i="20"/>
  <c r="D113" i="20"/>
  <c r="C113" i="20"/>
  <c r="AF112" i="20"/>
  <c r="S20" i="19" s="1"/>
  <c r="G112" i="20"/>
  <c r="F112" i="20"/>
  <c r="E112" i="20"/>
  <c r="D112" i="20"/>
  <c r="C112" i="20"/>
  <c r="AF111" i="20"/>
  <c r="G111" i="20"/>
  <c r="F111" i="20"/>
  <c r="E111" i="20"/>
  <c r="D111" i="20"/>
  <c r="C111" i="20"/>
  <c r="AF110" i="20"/>
  <c r="G110" i="20"/>
  <c r="F110" i="20"/>
  <c r="E110" i="20"/>
  <c r="D110" i="20"/>
  <c r="C110" i="20"/>
  <c r="AF109" i="20"/>
  <c r="G109" i="20"/>
  <c r="F109" i="20"/>
  <c r="E109" i="20"/>
  <c r="D109" i="20"/>
  <c r="C109" i="20"/>
  <c r="AF108" i="20"/>
  <c r="G108" i="20"/>
  <c r="F108" i="20"/>
  <c r="E108" i="20"/>
  <c r="D108" i="20"/>
  <c r="C108" i="20"/>
  <c r="AF107" i="20"/>
  <c r="G107" i="20"/>
  <c r="F107" i="20"/>
  <c r="E107" i="20"/>
  <c r="D107" i="20"/>
  <c r="C107" i="20"/>
  <c r="AF106" i="20"/>
  <c r="G106" i="20"/>
  <c r="F106" i="20"/>
  <c r="E106" i="20"/>
  <c r="D106" i="20"/>
  <c r="C106" i="20"/>
  <c r="AF105" i="20"/>
  <c r="G105" i="20"/>
  <c r="F105" i="20"/>
  <c r="E105" i="20"/>
  <c r="D105" i="20"/>
  <c r="C105" i="20"/>
  <c r="AF104" i="20"/>
  <c r="G104" i="20"/>
  <c r="F104" i="20"/>
  <c r="E104" i="20"/>
  <c r="D104" i="20"/>
  <c r="C104" i="20"/>
  <c r="AF103" i="20"/>
  <c r="G103" i="20"/>
  <c r="F103" i="20"/>
  <c r="E103" i="20"/>
  <c r="D103" i="20"/>
  <c r="C103" i="20"/>
  <c r="AF102" i="20"/>
  <c r="G102" i="20"/>
  <c r="F102" i="20"/>
  <c r="E102" i="20"/>
  <c r="D102" i="20"/>
  <c r="C102" i="20"/>
  <c r="AF101" i="20"/>
  <c r="G101" i="20"/>
  <c r="F101" i="20"/>
  <c r="E101" i="20"/>
  <c r="D101" i="20"/>
  <c r="C101" i="20"/>
  <c r="AF100" i="20"/>
  <c r="G100" i="20"/>
  <c r="F100" i="20"/>
  <c r="E100" i="20"/>
  <c r="D100" i="20"/>
  <c r="C100" i="20"/>
  <c r="AF99" i="20"/>
  <c r="G99" i="20"/>
  <c r="F99" i="20"/>
  <c r="E99" i="20"/>
  <c r="D99" i="20"/>
  <c r="C99" i="20"/>
  <c r="AF98" i="20"/>
  <c r="G98" i="20"/>
  <c r="F98" i="20"/>
  <c r="E98" i="20"/>
  <c r="D98" i="20"/>
  <c r="C98" i="20"/>
  <c r="AF97" i="20"/>
  <c r="G97" i="20"/>
  <c r="F97" i="20"/>
  <c r="E97" i="20"/>
  <c r="D97" i="20"/>
  <c r="C97" i="20"/>
  <c r="AF96" i="20"/>
  <c r="G96" i="20"/>
  <c r="F96" i="20"/>
  <c r="E96" i="20"/>
  <c r="D96" i="20"/>
  <c r="C96" i="20"/>
  <c r="AF95" i="20"/>
  <c r="G95" i="20"/>
  <c r="F95" i="20"/>
  <c r="E95" i="20"/>
  <c r="D95" i="20"/>
  <c r="C95" i="20"/>
  <c r="AF94" i="20"/>
  <c r="G94" i="20"/>
  <c r="F94" i="20"/>
  <c r="E94" i="20"/>
  <c r="D94" i="20"/>
  <c r="C94" i="20"/>
  <c r="AF93" i="20"/>
  <c r="G93" i="20"/>
  <c r="F93" i="20"/>
  <c r="E93" i="20"/>
  <c r="D93" i="20"/>
  <c r="C93" i="20"/>
  <c r="AF92" i="20"/>
  <c r="G92" i="20"/>
  <c r="F92" i="20"/>
  <c r="E92" i="20"/>
  <c r="D92" i="20"/>
  <c r="C92" i="20"/>
  <c r="AF91" i="20"/>
  <c r="G91" i="20"/>
  <c r="F91" i="20"/>
  <c r="E91" i="20"/>
  <c r="D91" i="20"/>
  <c r="C91" i="20"/>
  <c r="AF90" i="20"/>
  <c r="G90" i="20"/>
  <c r="F90" i="20"/>
  <c r="E90" i="20"/>
  <c r="D90" i="20"/>
  <c r="C90" i="20"/>
  <c r="AF89" i="20"/>
  <c r="G89" i="20"/>
  <c r="F89" i="20"/>
  <c r="E89" i="20"/>
  <c r="D89" i="20"/>
  <c r="C89" i="20"/>
  <c r="AF88" i="20"/>
  <c r="G88" i="20"/>
  <c r="F88" i="20"/>
  <c r="E88" i="20"/>
  <c r="D88" i="20"/>
  <c r="C88" i="20"/>
  <c r="AF87" i="20"/>
  <c r="G87" i="20"/>
  <c r="F87" i="20"/>
  <c r="E87" i="20"/>
  <c r="D87" i="20"/>
  <c r="C87" i="20"/>
  <c r="AF86" i="20"/>
  <c r="G86" i="20"/>
  <c r="F86" i="20"/>
  <c r="E86" i="20"/>
  <c r="D86" i="20"/>
  <c r="C86" i="20"/>
  <c r="AF85" i="20"/>
  <c r="G85" i="20"/>
  <c r="F85" i="20"/>
  <c r="E85" i="20"/>
  <c r="D85" i="20"/>
  <c r="C85" i="20"/>
  <c r="AF84" i="20"/>
  <c r="G84" i="20"/>
  <c r="F84" i="20"/>
  <c r="E84" i="20"/>
  <c r="D84" i="20"/>
  <c r="C84" i="20"/>
  <c r="AF83" i="20"/>
  <c r="G83" i="20"/>
  <c r="F83" i="20"/>
  <c r="E83" i="20"/>
  <c r="D83" i="20"/>
  <c r="C83" i="20"/>
  <c r="AF82" i="20"/>
  <c r="G82" i="20"/>
  <c r="F82" i="20"/>
  <c r="E82" i="20"/>
  <c r="D82" i="20"/>
  <c r="C82" i="20"/>
  <c r="AF81" i="20"/>
  <c r="G81" i="20"/>
  <c r="F81" i="20"/>
  <c r="E81" i="20"/>
  <c r="D81" i="20"/>
  <c r="C81" i="20"/>
  <c r="AF80" i="20"/>
  <c r="G80" i="20"/>
  <c r="F80" i="20"/>
  <c r="E80" i="20"/>
  <c r="D80" i="20"/>
  <c r="C80" i="20"/>
  <c r="AF79" i="20"/>
  <c r="G79" i="20"/>
  <c r="F79" i="20"/>
  <c r="E79" i="20"/>
  <c r="D79" i="20"/>
  <c r="C79" i="20"/>
  <c r="AF78" i="20"/>
  <c r="G78" i="20"/>
  <c r="F78" i="20"/>
  <c r="E78" i="20"/>
  <c r="D78" i="20"/>
  <c r="C78" i="20"/>
  <c r="AF77" i="20"/>
  <c r="G77" i="20"/>
  <c r="F77" i="20"/>
  <c r="E77" i="20"/>
  <c r="D77" i="20"/>
  <c r="C77" i="20"/>
  <c r="AF76" i="20"/>
  <c r="G76" i="20"/>
  <c r="F76" i="20"/>
  <c r="E76" i="20"/>
  <c r="D76" i="20"/>
  <c r="C76" i="20"/>
  <c r="AF75" i="20"/>
  <c r="G75" i="20"/>
  <c r="F75" i="20"/>
  <c r="E75" i="20"/>
  <c r="D75" i="20"/>
  <c r="C75" i="20"/>
  <c r="AF74" i="20"/>
  <c r="G74" i="20"/>
  <c r="F74" i="20"/>
  <c r="E74" i="20"/>
  <c r="D74" i="20"/>
  <c r="C74" i="20"/>
  <c r="AF73" i="20"/>
  <c r="G73" i="20"/>
  <c r="F73" i="20"/>
  <c r="E73" i="20"/>
  <c r="D73" i="20"/>
  <c r="C73" i="20"/>
  <c r="AF72" i="20"/>
  <c r="G72" i="20"/>
  <c r="F72" i="20"/>
  <c r="E72" i="20"/>
  <c r="D72" i="20"/>
  <c r="C72" i="20"/>
  <c r="AF71" i="20"/>
  <c r="G71" i="20"/>
  <c r="F71" i="20"/>
  <c r="E71" i="20"/>
  <c r="D71" i="20"/>
  <c r="C71" i="20"/>
  <c r="AF70" i="20"/>
  <c r="G70" i="20"/>
  <c r="F70" i="20"/>
  <c r="E70" i="20"/>
  <c r="D70" i="20"/>
  <c r="C70" i="20"/>
  <c r="AF69" i="20"/>
  <c r="G69" i="20"/>
  <c r="F69" i="20"/>
  <c r="E69" i="20"/>
  <c r="D69" i="20"/>
  <c r="C69" i="20"/>
  <c r="AF68" i="20"/>
  <c r="G68" i="20"/>
  <c r="F68" i="20"/>
  <c r="E68" i="20"/>
  <c r="D68" i="20"/>
  <c r="C68" i="20"/>
  <c r="AF67" i="20"/>
  <c r="G67" i="20"/>
  <c r="F67" i="20"/>
  <c r="E67" i="20"/>
  <c r="D67" i="20"/>
  <c r="C67" i="20"/>
  <c r="AF66" i="20"/>
  <c r="G66" i="20"/>
  <c r="F66" i="20"/>
  <c r="E66" i="20"/>
  <c r="D66" i="20"/>
  <c r="C66" i="20"/>
  <c r="AF65" i="20"/>
  <c r="G65" i="20"/>
  <c r="F65" i="20"/>
  <c r="E65" i="20"/>
  <c r="D65" i="20"/>
  <c r="C65" i="20"/>
  <c r="AF64" i="20"/>
  <c r="G64" i="20"/>
  <c r="F64" i="20"/>
  <c r="E64" i="20"/>
  <c r="D64" i="20"/>
  <c r="C64" i="20"/>
  <c r="AF63" i="20"/>
  <c r="G63" i="20"/>
  <c r="F63" i="20"/>
  <c r="E63" i="20"/>
  <c r="D63" i="20"/>
  <c r="C63" i="20"/>
  <c r="AF62" i="20"/>
  <c r="G62" i="20"/>
  <c r="F62" i="20"/>
  <c r="E62" i="20"/>
  <c r="D62" i="20"/>
  <c r="C62" i="20"/>
  <c r="AF61" i="20"/>
  <c r="G61" i="20"/>
  <c r="F61" i="20"/>
  <c r="E61" i="20"/>
  <c r="D61" i="20"/>
  <c r="C61" i="20"/>
  <c r="AF60" i="20"/>
  <c r="G60" i="20"/>
  <c r="F60" i="20"/>
  <c r="E60" i="20"/>
  <c r="D60" i="20"/>
  <c r="C60" i="20"/>
  <c r="AF59" i="20"/>
  <c r="G59" i="20"/>
  <c r="F59" i="20"/>
  <c r="E59" i="20"/>
  <c r="D59" i="20"/>
  <c r="C59" i="20"/>
  <c r="AF58" i="20"/>
  <c r="G58" i="20"/>
  <c r="F58" i="20"/>
  <c r="E58" i="20"/>
  <c r="D58" i="20"/>
  <c r="C58" i="20"/>
  <c r="AF57" i="20"/>
  <c r="G57" i="20"/>
  <c r="F57" i="20"/>
  <c r="E57" i="20"/>
  <c r="D57" i="20"/>
  <c r="C57" i="20"/>
  <c r="AF56" i="20"/>
  <c r="G56" i="20"/>
  <c r="F56" i="20"/>
  <c r="E56" i="20"/>
  <c r="D56" i="20"/>
  <c r="C56" i="20"/>
  <c r="AF55" i="20"/>
  <c r="G55" i="20"/>
  <c r="F55" i="20"/>
  <c r="E55" i="20"/>
  <c r="D55" i="20"/>
  <c r="C55" i="20"/>
  <c r="AF54" i="20"/>
  <c r="G54" i="20"/>
  <c r="F54" i="20"/>
  <c r="E54" i="20"/>
  <c r="D54" i="20"/>
  <c r="C54" i="20"/>
  <c r="AF53" i="20"/>
  <c r="G53" i="20"/>
  <c r="F53" i="20"/>
  <c r="E53" i="20"/>
  <c r="D53" i="20"/>
  <c r="C53" i="20"/>
  <c r="AF52" i="20"/>
  <c r="G52" i="20"/>
  <c r="F52" i="20"/>
  <c r="E52" i="20"/>
  <c r="D52" i="20"/>
  <c r="C52" i="20"/>
  <c r="AF51" i="20"/>
  <c r="G51" i="20"/>
  <c r="F51" i="20"/>
  <c r="E51" i="20"/>
  <c r="D51" i="20"/>
  <c r="C51" i="20"/>
  <c r="AF50" i="20"/>
  <c r="G50" i="20"/>
  <c r="F50" i="20"/>
  <c r="E50" i="20"/>
  <c r="D50" i="20"/>
  <c r="C50" i="20"/>
  <c r="AF49" i="20"/>
  <c r="G49" i="20"/>
  <c r="F49" i="20"/>
  <c r="E49" i="20"/>
  <c r="D49" i="20"/>
  <c r="C49" i="20"/>
  <c r="AF48" i="20"/>
  <c r="G48" i="20"/>
  <c r="F48" i="20"/>
  <c r="E48" i="20"/>
  <c r="D48" i="20"/>
  <c r="C48" i="20"/>
  <c r="AF47" i="20"/>
  <c r="G47" i="20"/>
  <c r="F47" i="20"/>
  <c r="E47" i="20"/>
  <c r="D47" i="20"/>
  <c r="C47" i="20"/>
  <c r="AF46" i="20"/>
  <c r="G46" i="20"/>
  <c r="F46" i="20"/>
  <c r="E46" i="20"/>
  <c r="D46" i="20"/>
  <c r="C46" i="20"/>
  <c r="AF45" i="20"/>
  <c r="G45" i="20"/>
  <c r="F45" i="20"/>
  <c r="E45" i="20"/>
  <c r="D45" i="20"/>
  <c r="C45" i="20"/>
  <c r="AF44" i="20"/>
  <c r="G44" i="20"/>
  <c r="F44" i="20"/>
  <c r="E44" i="20"/>
  <c r="D44" i="20"/>
  <c r="C44" i="20"/>
  <c r="AF43" i="20"/>
  <c r="G43" i="20"/>
  <c r="F43" i="20"/>
  <c r="E43" i="20"/>
  <c r="D43" i="20"/>
  <c r="C43" i="20"/>
  <c r="AF42" i="20"/>
  <c r="G42" i="20"/>
  <c r="F42" i="20"/>
  <c r="E42" i="20"/>
  <c r="D42" i="20"/>
  <c r="C42" i="20"/>
  <c r="AF41" i="20"/>
  <c r="G41" i="20"/>
  <c r="F41" i="20"/>
  <c r="E41" i="20"/>
  <c r="D41" i="20"/>
  <c r="C41" i="20"/>
  <c r="AF40" i="20"/>
  <c r="G40" i="20"/>
  <c r="F40" i="20"/>
  <c r="E40" i="20"/>
  <c r="D40" i="20"/>
  <c r="C40" i="20"/>
  <c r="AF39" i="20"/>
  <c r="G39" i="20"/>
  <c r="F39" i="20"/>
  <c r="E39" i="20"/>
  <c r="D39" i="20"/>
  <c r="C39" i="20"/>
  <c r="AF38" i="20"/>
  <c r="G38" i="20"/>
  <c r="F38" i="20"/>
  <c r="E38" i="20"/>
  <c r="D38" i="20"/>
  <c r="C38" i="20"/>
  <c r="AF37" i="20"/>
  <c r="G37" i="20"/>
  <c r="F37" i="20"/>
  <c r="E37" i="20"/>
  <c r="D37" i="20"/>
  <c r="C37" i="20"/>
  <c r="AF36" i="20"/>
  <c r="G36" i="20"/>
  <c r="F36" i="20"/>
  <c r="E36" i="20"/>
  <c r="D36" i="20"/>
  <c r="C36" i="20"/>
  <c r="AF35" i="20"/>
  <c r="G35" i="20"/>
  <c r="F35" i="20"/>
  <c r="E35" i="20"/>
  <c r="D35" i="20"/>
  <c r="C35" i="20"/>
  <c r="AF34" i="20"/>
  <c r="G34" i="20"/>
  <c r="F34" i="20"/>
  <c r="E34" i="20"/>
  <c r="D34" i="20"/>
  <c r="C34" i="20"/>
  <c r="AF33" i="20"/>
  <c r="G33" i="20"/>
  <c r="F33" i="20"/>
  <c r="E33" i="20"/>
  <c r="D33" i="20"/>
  <c r="C33" i="20"/>
  <c r="AF32" i="20"/>
  <c r="G32" i="20"/>
  <c r="F32" i="20"/>
  <c r="E32" i="20"/>
  <c r="D32" i="20"/>
  <c r="C32" i="20"/>
  <c r="AF31" i="20"/>
  <c r="G31" i="20"/>
  <c r="F31" i="20"/>
  <c r="E31" i="20"/>
  <c r="D31" i="20"/>
  <c r="C31" i="20"/>
  <c r="AF30" i="20"/>
  <c r="G30" i="20"/>
  <c r="F30" i="20"/>
  <c r="E30" i="20"/>
  <c r="D30" i="20"/>
  <c r="C30" i="20"/>
  <c r="AF29" i="20"/>
  <c r="G29" i="20"/>
  <c r="F29" i="20"/>
  <c r="E29" i="20"/>
  <c r="D29" i="20"/>
  <c r="C29" i="20"/>
  <c r="AF28" i="20"/>
  <c r="G28" i="20"/>
  <c r="F28" i="20"/>
  <c r="E28" i="20"/>
  <c r="D28" i="20"/>
  <c r="C28" i="20"/>
  <c r="AF27" i="20"/>
  <c r="G27" i="20"/>
  <c r="F27" i="20"/>
  <c r="E27" i="20"/>
  <c r="D27" i="20"/>
  <c r="C27" i="20"/>
  <c r="AF26" i="20"/>
  <c r="G26" i="20"/>
  <c r="F26" i="20"/>
  <c r="E26" i="20"/>
  <c r="D26" i="20"/>
  <c r="C26" i="20"/>
  <c r="AF25" i="20"/>
  <c r="G25" i="20"/>
  <c r="F25" i="20"/>
  <c r="E25" i="20"/>
  <c r="D25" i="20"/>
  <c r="C25" i="20"/>
  <c r="AF24" i="20"/>
  <c r="G24" i="20"/>
  <c r="F24" i="20"/>
  <c r="E24" i="20"/>
  <c r="D24" i="20"/>
  <c r="C24" i="20"/>
  <c r="AF23" i="20"/>
  <c r="G23" i="20"/>
  <c r="F23" i="20"/>
  <c r="E23" i="20"/>
  <c r="D23" i="20"/>
  <c r="C23" i="20"/>
  <c r="AF22" i="20"/>
  <c r="G22" i="20"/>
  <c r="F22" i="20"/>
  <c r="E22" i="20"/>
  <c r="D22" i="20"/>
  <c r="C22" i="20"/>
  <c r="AF21" i="20"/>
  <c r="G21" i="20"/>
  <c r="F21" i="20"/>
  <c r="E21" i="20"/>
  <c r="D21" i="20"/>
  <c r="C21" i="20"/>
  <c r="AF20" i="20"/>
  <c r="G20" i="20"/>
  <c r="F20" i="20"/>
  <c r="E20" i="20"/>
  <c r="D20" i="20"/>
  <c r="C20" i="20"/>
  <c r="AF19" i="20"/>
  <c r="G19" i="20"/>
  <c r="F19" i="20"/>
  <c r="E19" i="20"/>
  <c r="D19" i="20"/>
  <c r="C19" i="20"/>
  <c r="AF18" i="20"/>
  <c r="G18" i="20"/>
  <c r="F18" i="20"/>
  <c r="E18" i="20"/>
  <c r="D18" i="20"/>
  <c r="C18" i="20"/>
  <c r="AF17" i="20"/>
  <c r="G17" i="20"/>
  <c r="F17" i="20"/>
  <c r="E17" i="20"/>
  <c r="D17" i="20"/>
  <c r="C17" i="20"/>
  <c r="AF16" i="20"/>
  <c r="G16" i="20"/>
  <c r="F16" i="20"/>
  <c r="E16" i="20"/>
  <c r="D16" i="20"/>
  <c r="C16" i="20"/>
  <c r="AF15" i="20"/>
  <c r="G15" i="20"/>
  <c r="F15" i="20"/>
  <c r="E15" i="20"/>
  <c r="D15" i="20"/>
  <c r="C15" i="20"/>
  <c r="AF14" i="20"/>
  <c r="G14" i="20"/>
  <c r="F14" i="20"/>
  <c r="E14" i="20"/>
  <c r="D14" i="20"/>
  <c r="C14" i="20"/>
  <c r="AF13" i="20"/>
  <c r="G13" i="20"/>
  <c r="F13" i="20"/>
  <c r="E13" i="20"/>
  <c r="D13" i="20"/>
  <c r="C13" i="20"/>
  <c r="AF12" i="20"/>
  <c r="G12" i="20"/>
  <c r="F12" i="20"/>
  <c r="E12" i="20"/>
  <c r="D12" i="20"/>
  <c r="C12" i="20"/>
  <c r="AF11" i="20"/>
  <c r="G11" i="20"/>
  <c r="F11" i="20"/>
  <c r="E11" i="20"/>
  <c r="D11" i="20"/>
  <c r="C11" i="20"/>
  <c r="AF10" i="20"/>
  <c r="G10" i="20"/>
  <c r="F10" i="20"/>
  <c r="E10" i="20"/>
  <c r="D10" i="20"/>
  <c r="C10" i="20"/>
  <c r="AF9" i="20"/>
  <c r="G9" i="20"/>
  <c r="F9" i="20"/>
  <c r="E9" i="20"/>
  <c r="D9" i="20"/>
  <c r="C9" i="20"/>
  <c r="AF8" i="20"/>
  <c r="G8" i="20"/>
  <c r="F8" i="20"/>
  <c r="E8" i="20"/>
  <c r="D8" i="20"/>
  <c r="C8" i="20"/>
  <c r="AF7" i="20"/>
  <c r="G7" i="20"/>
  <c r="F7" i="20"/>
  <c r="E7" i="20"/>
  <c r="D7" i="20"/>
  <c r="C7" i="20"/>
  <c r="AF6" i="20"/>
  <c r="G6" i="20"/>
  <c r="F6" i="20"/>
  <c r="E6" i="20"/>
  <c r="D6" i="20"/>
  <c r="C6" i="20"/>
  <c r="AF5" i="20"/>
  <c r="G5" i="20"/>
  <c r="F5" i="20"/>
  <c r="E5" i="20"/>
  <c r="D5" i="20"/>
  <c r="C5" i="20"/>
  <c r="S17" i="19"/>
  <c r="R31" i="19" s="1"/>
  <c r="B105" i="8" s="1"/>
  <c r="T14" i="19"/>
  <c r="T13" i="19"/>
  <c r="AG12" i="19"/>
  <c r="T12" i="19"/>
  <c r="T11" i="19"/>
  <c r="T10" i="19"/>
  <c r="T9" i="19"/>
  <c r="T8" i="19"/>
  <c r="T7" i="19"/>
  <c r="T6" i="19"/>
  <c r="T5" i="19"/>
  <c r="T4" i="19"/>
  <c r="T3" i="19"/>
  <c r="G105" i="8" l="1"/>
  <c r="H105" i="8"/>
  <c r="E105" i="8"/>
  <c r="F105" i="8"/>
  <c r="F554" i="20"/>
  <c r="C554" i="20"/>
  <c r="G554" i="20"/>
  <c r="AF440" i="20"/>
  <c r="AF438" i="20"/>
  <c r="AF436" i="20"/>
  <c r="AF434" i="20"/>
  <c r="AF432" i="20"/>
  <c r="AF430" i="20"/>
  <c r="AF428" i="20"/>
  <c r="AF426" i="20"/>
  <c r="AF424" i="20"/>
  <c r="AF422" i="20"/>
  <c r="AF420" i="20"/>
  <c r="AF418" i="20"/>
  <c r="AF416" i="20"/>
  <c r="AF414" i="20"/>
  <c r="AF412" i="20"/>
  <c r="AF410" i="20"/>
  <c r="AF408" i="20"/>
  <c r="AF406" i="20"/>
  <c r="AF404" i="20"/>
  <c r="AF402" i="20"/>
  <c r="AF400" i="20"/>
  <c r="AF398" i="20"/>
  <c r="AF396" i="20"/>
  <c r="AF394" i="20"/>
  <c r="AF392" i="20"/>
  <c r="AF390" i="20"/>
  <c r="AF388" i="20"/>
  <c r="AF386" i="20"/>
  <c r="AF384" i="20"/>
  <c r="AF382" i="20"/>
  <c r="AF380" i="20"/>
  <c r="AF378" i="20"/>
  <c r="AF376" i="20"/>
  <c r="AF374" i="20"/>
  <c r="AF372" i="20"/>
  <c r="AF370" i="20"/>
  <c r="AF368" i="20"/>
  <c r="AF366" i="20"/>
  <c r="AF364" i="20"/>
  <c r="AF362" i="20"/>
  <c r="AF360" i="20"/>
  <c r="AF358" i="20"/>
  <c r="AF356" i="20"/>
  <c r="AF354" i="20"/>
  <c r="AF352" i="20"/>
  <c r="AF350" i="20"/>
  <c r="AF348" i="20"/>
  <c r="AF346" i="20"/>
  <c r="AF344" i="20"/>
  <c r="AF342" i="20"/>
  <c r="AF340" i="20"/>
  <c r="AF338" i="20"/>
  <c r="AF336" i="20"/>
  <c r="AF334" i="20"/>
  <c r="AF332" i="20"/>
  <c r="AF330" i="20"/>
  <c r="AF328" i="20"/>
  <c r="AF326" i="20"/>
  <c r="AF324" i="20"/>
  <c r="AF322" i="20"/>
  <c r="AF320" i="20"/>
  <c r="AF318" i="20"/>
  <c r="AF316" i="20"/>
  <c r="AF314" i="20"/>
  <c r="AF312" i="20"/>
  <c r="AF310" i="20"/>
  <c r="AF308" i="20"/>
  <c r="AF306" i="20"/>
  <c r="AF304" i="20"/>
  <c r="AF302" i="20"/>
  <c r="AF300" i="20"/>
  <c r="AF298" i="20"/>
  <c r="AF296" i="20"/>
  <c r="AF294" i="20"/>
  <c r="AF292" i="20"/>
  <c r="AF290" i="20"/>
  <c r="AF288" i="20"/>
  <c r="AF286" i="20"/>
  <c r="AF284" i="20"/>
  <c r="AF282" i="20"/>
  <c r="AF280" i="20"/>
  <c r="AF278" i="20"/>
  <c r="W11" i="19"/>
  <c r="W9" i="19"/>
  <c r="W7" i="19"/>
  <c r="W5" i="19"/>
  <c r="W3" i="19"/>
  <c r="W14" i="19"/>
  <c r="W12" i="19"/>
  <c r="W10" i="19"/>
  <c r="W8" i="19"/>
  <c r="W6" i="19"/>
  <c r="W4" i="19"/>
  <c r="W13" i="19"/>
  <c r="S22" i="19"/>
  <c r="S25" i="19" s="1"/>
  <c r="B104" i="8" s="1"/>
  <c r="H104" i="8" l="1"/>
  <c r="H106" i="8" s="1"/>
  <c r="E104" i="8"/>
  <c r="E106" i="8" s="1"/>
  <c r="D104" i="8"/>
  <c r="D106" i="8" s="1"/>
  <c r="F104" i="8"/>
  <c r="F106" i="8" s="1"/>
  <c r="G104" i="8"/>
  <c r="G106" i="8" s="1"/>
  <c r="B32" i="8"/>
  <c r="D18" i="15"/>
  <c r="J19" i="12"/>
  <c r="H36" i="12" s="1"/>
  <c r="O54" i="12"/>
  <c r="N54" i="12"/>
  <c r="M54" i="12"/>
  <c r="L54" i="12"/>
  <c r="K54" i="12"/>
  <c r="J54" i="12"/>
  <c r="I54" i="12"/>
  <c r="H54" i="12"/>
  <c r="G54" i="12"/>
  <c r="E54" i="12"/>
  <c r="F65" i="12"/>
  <c r="D82" i="12"/>
  <c r="E67" i="12" s="1"/>
  <c r="C87" i="12"/>
  <c r="C77" i="12"/>
  <c r="D77" i="12" s="1"/>
  <c r="C78" i="12"/>
  <c r="D78" i="12" s="1"/>
  <c r="E63" i="12" s="1"/>
  <c r="F63" i="12" s="1"/>
  <c r="C79" i="12"/>
  <c r="D79" i="12" s="1"/>
  <c r="E64" i="12" s="1"/>
  <c r="F64" i="12" s="1"/>
  <c r="C80" i="12"/>
  <c r="D80" i="12" s="1"/>
  <c r="E65" i="12" s="1"/>
  <c r="C81" i="12"/>
  <c r="D81" i="12" s="1"/>
  <c r="E66" i="12" s="1"/>
  <c r="F66" i="12" s="1"/>
  <c r="B38" i="2" s="1"/>
  <c r="C82" i="12"/>
  <c r="C83" i="12"/>
  <c r="D83" i="12" s="1"/>
  <c r="E68" i="12" s="1"/>
  <c r="F68" i="12" s="1"/>
  <c r="C84" i="12"/>
  <c r="D84" i="12" s="1"/>
  <c r="E69" i="12" s="1"/>
  <c r="F69" i="12" s="1"/>
  <c r="C85" i="12"/>
  <c r="D85" i="12" s="1"/>
  <c r="E70" i="12" s="1"/>
  <c r="F70" i="12" s="1"/>
  <c r="B42" i="2" s="1"/>
  <c r="C86" i="12"/>
  <c r="D86" i="12" s="1"/>
  <c r="E71" i="12" s="1"/>
  <c r="F71" i="12" s="1"/>
  <c r="C76" i="12"/>
  <c r="D76" i="12" s="1"/>
  <c r="E61" i="12" s="1"/>
  <c r="F61" i="12" s="1"/>
  <c r="B33" i="2" s="1"/>
  <c r="D17" i="15"/>
  <c r="E17" i="15"/>
  <c r="D16" i="15"/>
  <c r="E16" i="15"/>
  <c r="E20" i="15"/>
  <c r="E15" i="15"/>
  <c r="E14" i="15"/>
  <c r="E13" i="15"/>
  <c r="E40" i="9"/>
  <c r="E39" i="9"/>
  <c r="I74" i="15"/>
  <c r="H74" i="15"/>
  <c r="F74" i="15"/>
  <c r="E74" i="15"/>
  <c r="I72" i="15"/>
  <c r="H72" i="15"/>
  <c r="F72" i="15"/>
  <c r="E72" i="15"/>
  <c r="I70" i="15"/>
  <c r="H70" i="15"/>
  <c r="F70" i="15"/>
  <c r="E70" i="15"/>
  <c r="I68" i="15"/>
  <c r="H68" i="15"/>
  <c r="F68" i="15"/>
  <c r="E68" i="15"/>
  <c r="I66" i="15"/>
  <c r="H66" i="15"/>
  <c r="F66" i="15"/>
  <c r="E66" i="15"/>
  <c r="I64" i="15"/>
  <c r="H64" i="15"/>
  <c r="F64" i="15"/>
  <c r="E64" i="15"/>
  <c r="F62" i="15"/>
  <c r="E62" i="15"/>
  <c r="I62" i="15"/>
  <c r="H62" i="15"/>
  <c r="E41" i="9"/>
  <c r="E42" i="9"/>
  <c r="F42" i="11"/>
  <c r="G42" i="11" s="1"/>
  <c r="H42" i="11" s="1"/>
  <c r="I42" i="11" s="1"/>
  <c r="J42" i="11"/>
  <c r="K42" i="11" s="1"/>
  <c r="L42" i="11" s="1"/>
  <c r="M42" i="11" s="1"/>
  <c r="N42" i="11"/>
  <c r="O42" i="11" s="1"/>
  <c r="E42" i="11"/>
  <c r="C30" i="9"/>
  <c r="D30" i="9"/>
  <c r="E30" i="9"/>
  <c r="F30" i="9"/>
  <c r="G30" i="9"/>
  <c r="H30" i="9"/>
  <c r="I30" i="9"/>
  <c r="J30" i="9"/>
  <c r="K30" i="9"/>
  <c r="L30" i="9"/>
  <c r="M30" i="9"/>
  <c r="B30" i="9"/>
  <c r="D20" i="15"/>
  <c r="D15" i="15"/>
  <c r="B37" i="12"/>
  <c r="N6" i="14"/>
  <c r="N7" i="14" s="1"/>
  <c r="M6" i="14"/>
  <c r="L6" i="14"/>
  <c r="L7" i="14" s="1"/>
  <c r="K6" i="14"/>
  <c r="J6" i="14"/>
  <c r="I6" i="14"/>
  <c r="H6" i="14"/>
  <c r="H7" i="14"/>
  <c r="H42" i="14" s="1"/>
  <c r="G6" i="14"/>
  <c r="F6" i="14"/>
  <c r="F7" i="14"/>
  <c r="E6" i="14"/>
  <c r="D6" i="14"/>
  <c r="D7" i="14" s="1"/>
  <c r="S7" i="10"/>
  <c r="T7" i="10"/>
  <c r="U7" i="10"/>
  <c r="R7" i="10"/>
  <c r="E189" i="11"/>
  <c r="F189" i="11"/>
  <c r="G189" i="11" s="1"/>
  <c r="H189" i="11" s="1"/>
  <c r="I189" i="11" s="1"/>
  <c r="J189" i="11"/>
  <c r="K189" i="11" s="1"/>
  <c r="L189" i="11" s="1"/>
  <c r="M189" i="11" s="1"/>
  <c r="N189" i="11" s="1"/>
  <c r="O189" i="11" s="1"/>
  <c r="E168" i="11"/>
  <c r="F168" i="11" s="1"/>
  <c r="G168" i="11"/>
  <c r="H168" i="11" s="1"/>
  <c r="I168" i="11" s="1"/>
  <c r="J168" i="11" s="1"/>
  <c r="K168" i="11"/>
  <c r="L168" i="11" s="1"/>
  <c r="M168" i="11" s="1"/>
  <c r="N168" i="11" s="1"/>
  <c r="O168" i="11" s="1"/>
  <c r="E147" i="11"/>
  <c r="F147" i="11"/>
  <c r="G147" i="11" s="1"/>
  <c r="H147" i="11"/>
  <c r="I147" i="11" s="1"/>
  <c r="J147" i="11" s="1"/>
  <c r="K147" i="11" s="1"/>
  <c r="L147" i="11" s="1"/>
  <c r="M147" i="11" s="1"/>
  <c r="N147" i="11" s="1"/>
  <c r="O147" i="11" s="1"/>
  <c r="E126" i="11"/>
  <c r="F126" i="11" s="1"/>
  <c r="G126" i="11" s="1"/>
  <c r="H126" i="11" s="1"/>
  <c r="I126" i="11"/>
  <c r="J126" i="11" s="1"/>
  <c r="K126" i="11" s="1"/>
  <c r="L126" i="11" s="1"/>
  <c r="M126" i="11"/>
  <c r="N126" i="11" s="1"/>
  <c r="O126" i="11" s="1"/>
  <c r="E105" i="11"/>
  <c r="F105" i="11"/>
  <c r="G105" i="11" s="1"/>
  <c r="H105" i="11" s="1"/>
  <c r="I105" i="11" s="1"/>
  <c r="J105" i="11"/>
  <c r="K105" i="11" s="1"/>
  <c r="L105" i="11" s="1"/>
  <c r="M105" i="11" s="1"/>
  <c r="N105" i="11"/>
  <c r="O105" i="11" s="1"/>
  <c r="E84" i="11"/>
  <c r="F84" i="11" s="1"/>
  <c r="G84" i="11" s="1"/>
  <c r="H84" i="11" s="1"/>
  <c r="I84" i="11" s="1"/>
  <c r="J84" i="11" s="1"/>
  <c r="K84" i="11" s="1"/>
  <c r="L84" i="11" s="1"/>
  <c r="M84" i="11" s="1"/>
  <c r="N84" i="11" s="1"/>
  <c r="O84" i="11"/>
  <c r="E63" i="11"/>
  <c r="F63" i="11"/>
  <c r="G63" i="11" s="1"/>
  <c r="H63" i="11"/>
  <c r="I63" i="11" s="1"/>
  <c r="J63" i="11" s="1"/>
  <c r="K63" i="11" s="1"/>
  <c r="L63" i="11"/>
  <c r="M63" i="11" s="1"/>
  <c r="N63" i="11" s="1"/>
  <c r="O63" i="11" s="1"/>
  <c r="E21" i="11"/>
  <c r="F21" i="11" s="1"/>
  <c r="G21" i="11" s="1"/>
  <c r="H21" i="11" s="1"/>
  <c r="I21" i="11" s="1"/>
  <c r="J21" i="11" s="1"/>
  <c r="K21" i="11" s="1"/>
  <c r="L21" i="11" s="1"/>
  <c r="M21" i="11" s="1"/>
  <c r="N21" i="11" s="1"/>
  <c r="O21" i="11" s="1"/>
  <c r="C370" i="10"/>
  <c r="C334" i="10"/>
  <c r="C350" i="10" s="1"/>
  <c r="D350" i="10" s="1"/>
  <c r="E350" i="10" s="1"/>
  <c r="F350" i="10" s="1"/>
  <c r="G350" i="10" s="1"/>
  <c r="H350" i="10" s="1"/>
  <c r="I350" i="10" s="1"/>
  <c r="J350" i="10" s="1"/>
  <c r="K350" i="10" s="1"/>
  <c r="L350" i="10" s="1"/>
  <c r="M350" i="10" s="1"/>
  <c r="N350" i="10"/>
  <c r="C298" i="10"/>
  <c r="D298" i="10"/>
  <c r="E298" i="10" s="1"/>
  <c r="F298" i="10"/>
  <c r="G298" i="10" s="1"/>
  <c r="H298" i="10" s="1"/>
  <c r="C262" i="10"/>
  <c r="C226" i="10"/>
  <c r="C190" i="10"/>
  <c r="C154" i="10"/>
  <c r="C170" i="10" s="1"/>
  <c r="C118" i="10"/>
  <c r="C81" i="10"/>
  <c r="C44" i="10"/>
  <c r="C97" i="10"/>
  <c r="C24" i="10"/>
  <c r="E97" i="4"/>
  <c r="C130" i="4"/>
  <c r="D130" i="4"/>
  <c r="F130" i="4" s="1"/>
  <c r="G130" i="4" s="1"/>
  <c r="E130" i="4"/>
  <c r="C131" i="4"/>
  <c r="E131" i="4"/>
  <c r="F131" i="4"/>
  <c r="G131" i="4"/>
  <c r="C132" i="4"/>
  <c r="D132" i="4"/>
  <c r="E132" i="4" s="1"/>
  <c r="C134" i="4"/>
  <c r="E134" i="4"/>
  <c r="F134" i="4"/>
  <c r="C135" i="4"/>
  <c r="E135" i="4"/>
  <c r="F135" i="4"/>
  <c r="G135" i="4" s="1"/>
  <c r="C136" i="4"/>
  <c r="D136" i="4"/>
  <c r="F136" i="4" s="1"/>
  <c r="E136" i="4"/>
  <c r="C138" i="4"/>
  <c r="D138" i="4"/>
  <c r="F138" i="4" s="1"/>
  <c r="E138" i="4"/>
  <c r="C139" i="4"/>
  <c r="D139" i="4"/>
  <c r="F139" i="4" s="1"/>
  <c r="G139" i="4" s="1"/>
  <c r="C140" i="4"/>
  <c r="D140" i="4"/>
  <c r="E140" i="4" s="1"/>
  <c r="D94" i="4"/>
  <c r="J77" i="4"/>
  <c r="E77" i="4"/>
  <c r="H77" i="4" s="1"/>
  <c r="F77" i="4"/>
  <c r="I68" i="4"/>
  <c r="J68" i="4" s="1"/>
  <c r="I69" i="4"/>
  <c r="J69" i="4"/>
  <c r="I70" i="4"/>
  <c r="J70" i="4" s="1"/>
  <c r="I71" i="4"/>
  <c r="J71" i="4"/>
  <c r="I72" i="4"/>
  <c r="J72" i="4" s="1"/>
  <c r="I73" i="4"/>
  <c r="J73" i="4"/>
  <c r="I74" i="4"/>
  <c r="J74" i="4" s="1"/>
  <c r="I75" i="4"/>
  <c r="J75" i="4"/>
  <c r="I76" i="4"/>
  <c r="J76" i="4" s="1"/>
  <c r="C105" i="4" s="1"/>
  <c r="I67" i="4"/>
  <c r="J67" i="4"/>
  <c r="X29" i="10"/>
  <c r="W29" i="10"/>
  <c r="V29" i="10"/>
  <c r="U29" i="10"/>
  <c r="T29" i="10"/>
  <c r="Q29" i="10"/>
  <c r="X28" i="10"/>
  <c r="W28" i="10"/>
  <c r="V28" i="10"/>
  <c r="U28" i="10"/>
  <c r="T28" i="10"/>
  <c r="Q28" i="10"/>
  <c r="X27" i="10"/>
  <c r="W27" i="10"/>
  <c r="V27" i="10"/>
  <c r="U27" i="10"/>
  <c r="T27" i="10"/>
  <c r="Q27" i="10"/>
  <c r="X26" i="10"/>
  <c r="W26" i="10"/>
  <c r="V26" i="10"/>
  <c r="U26" i="10"/>
  <c r="T26" i="10"/>
  <c r="Q26" i="10"/>
  <c r="X25" i="10"/>
  <c r="W25" i="10"/>
  <c r="V25" i="10"/>
  <c r="U25" i="10"/>
  <c r="T25" i="10"/>
  <c r="Q25" i="10"/>
  <c r="X24" i="10"/>
  <c r="W24" i="10"/>
  <c r="V24" i="10"/>
  <c r="U24" i="10"/>
  <c r="T24" i="10"/>
  <c r="Q24" i="10"/>
  <c r="X23" i="10"/>
  <c r="W23" i="10"/>
  <c r="V23" i="10"/>
  <c r="U23" i="10"/>
  <c r="T23" i="10"/>
  <c r="Q23" i="10"/>
  <c r="X22" i="10"/>
  <c r="W22" i="10"/>
  <c r="V22" i="10"/>
  <c r="U22" i="10"/>
  <c r="T22" i="10"/>
  <c r="S22" i="10"/>
  <c r="R22" i="10"/>
  <c r="S38" i="10"/>
  <c r="Q22" i="10"/>
  <c r="X21" i="10"/>
  <c r="W21" i="10"/>
  <c r="V21" i="10"/>
  <c r="U21" i="10"/>
  <c r="T21" i="10"/>
  <c r="S37" i="10"/>
  <c r="Q21" i="10"/>
  <c r="X20" i="10"/>
  <c r="W20" i="10"/>
  <c r="V20" i="10"/>
  <c r="U20" i="10"/>
  <c r="T20" i="10"/>
  <c r="Q20" i="10"/>
  <c r="X19" i="10"/>
  <c r="W19" i="10"/>
  <c r="V19" i="10"/>
  <c r="U19" i="10"/>
  <c r="T19" i="10"/>
  <c r="S19" i="10"/>
  <c r="Q19" i="10"/>
  <c r="P29" i="10"/>
  <c r="P28" i="10"/>
  <c r="P27" i="10"/>
  <c r="P26" i="10"/>
  <c r="P25" i="10"/>
  <c r="P24" i="10"/>
  <c r="P23" i="10"/>
  <c r="P22" i="10"/>
  <c r="P21" i="10"/>
  <c r="P20" i="10"/>
  <c r="P19" i="10"/>
  <c r="E50" i="4"/>
  <c r="S23" i="10" s="1"/>
  <c r="E51" i="4"/>
  <c r="S24" i="10"/>
  <c r="E49" i="4"/>
  <c r="S21" i="10" s="1"/>
  <c r="E48" i="4"/>
  <c r="E47" i="4"/>
  <c r="E44" i="4"/>
  <c r="S28" i="10" s="1"/>
  <c r="E45" i="4"/>
  <c r="E46" i="4"/>
  <c r="E43" i="4"/>
  <c r="S27" i="10"/>
  <c r="E42" i="4"/>
  <c r="D51" i="4"/>
  <c r="R24" i="10"/>
  <c r="S40" i="10"/>
  <c r="D50" i="4"/>
  <c r="R23" i="10" s="1"/>
  <c r="S39" i="10" s="1"/>
  <c r="D49" i="4"/>
  <c r="R21" i="10" s="1"/>
  <c r="D48" i="4"/>
  <c r="R20" i="10" s="1"/>
  <c r="S36" i="10"/>
  <c r="D47" i="4"/>
  <c r="R19" i="10" s="1"/>
  <c r="S35" i="10" s="1"/>
  <c r="D46" i="4"/>
  <c r="R29" i="10"/>
  <c r="S45" i="10" s="1"/>
  <c r="D45" i="4"/>
  <c r="R26" i="10"/>
  <c r="S42" i="10" s="1"/>
  <c r="D44" i="4"/>
  <c r="R28" i="10" s="1"/>
  <c r="S44" i="10"/>
  <c r="D43" i="4"/>
  <c r="D42" i="4"/>
  <c r="R25" i="10"/>
  <c r="S41" i="10" s="1"/>
  <c r="D6" i="4"/>
  <c r="D30" i="11"/>
  <c r="D7" i="4"/>
  <c r="D51" i="11"/>
  <c r="E51" i="11"/>
  <c r="F51" i="11" s="1"/>
  <c r="G51" i="11" s="1"/>
  <c r="H51" i="11" s="1"/>
  <c r="I51" i="11"/>
  <c r="J51" i="11" s="1"/>
  <c r="K51" i="11" s="1"/>
  <c r="L51" i="11" s="1"/>
  <c r="M51" i="11" s="1"/>
  <c r="N51" i="11" s="1"/>
  <c r="O51" i="11" s="1"/>
  <c r="D8" i="4"/>
  <c r="D72" i="11"/>
  <c r="D9" i="4"/>
  <c r="D93" i="11" s="1"/>
  <c r="E93" i="11" s="1"/>
  <c r="F93" i="11" s="1"/>
  <c r="G93" i="11" s="1"/>
  <c r="H93" i="11" s="1"/>
  <c r="D10" i="4"/>
  <c r="D114" i="11"/>
  <c r="D11" i="4"/>
  <c r="D135" i="11" s="1"/>
  <c r="J4" i="14" s="1"/>
  <c r="D12" i="4"/>
  <c r="D156" i="11"/>
  <c r="D13" i="4"/>
  <c r="D177" i="11" s="1"/>
  <c r="D14" i="4"/>
  <c r="D198" i="11" s="1"/>
  <c r="D15" i="4"/>
  <c r="D219" i="11" s="1"/>
  <c r="D5" i="4"/>
  <c r="E139" i="4"/>
  <c r="F140" i="4"/>
  <c r="F132" i="4"/>
  <c r="G132" i="4"/>
  <c r="I77" i="4"/>
  <c r="G77" i="4"/>
  <c r="G136" i="4"/>
  <c r="G140" i="4"/>
  <c r="E105" i="4" s="1"/>
  <c r="D58" i="14"/>
  <c r="E58" i="14"/>
  <c r="F58" i="14"/>
  <c r="G58" i="14"/>
  <c r="H58" i="14"/>
  <c r="I58" i="14"/>
  <c r="J58" i="14"/>
  <c r="K58" i="14"/>
  <c r="L58" i="14"/>
  <c r="M58" i="14"/>
  <c r="N58" i="14"/>
  <c r="C20" i="14"/>
  <c r="C44" i="14" s="1"/>
  <c r="C21" i="14"/>
  <c r="C45" i="14" s="1"/>
  <c r="C42" i="14" s="1"/>
  <c r="C22" i="14"/>
  <c r="C46" i="14" s="1"/>
  <c r="C23" i="14"/>
  <c r="C47" i="14" s="1"/>
  <c r="C24" i="14"/>
  <c r="C48" i="14" s="1"/>
  <c r="C25" i="14"/>
  <c r="C49" i="14" s="1"/>
  <c r="C19" i="14"/>
  <c r="C18" i="14"/>
  <c r="S49" i="14"/>
  <c r="S39" i="14"/>
  <c r="T35" i="14"/>
  <c r="S21" i="14"/>
  <c r="C386" i="10"/>
  <c r="D386" i="10"/>
  <c r="C278" i="10"/>
  <c r="D278" i="10" s="1"/>
  <c r="E278" i="10" s="1"/>
  <c r="F278" i="10"/>
  <c r="G278" i="10" s="1"/>
  <c r="H278" i="10" s="1"/>
  <c r="I278" i="10" s="1"/>
  <c r="J278" i="10" s="1"/>
  <c r="K278" i="10" s="1"/>
  <c r="L278" i="10" s="1"/>
  <c r="M278" i="10" s="1"/>
  <c r="N278" i="10" s="1"/>
  <c r="C242" i="10"/>
  <c r="A392" i="10"/>
  <c r="A387" i="10"/>
  <c r="A386" i="10"/>
  <c r="D370" i="10"/>
  <c r="E370" i="10" s="1"/>
  <c r="F370" i="10"/>
  <c r="G370" i="10"/>
  <c r="H370" i="10" s="1"/>
  <c r="I370" i="10" s="1"/>
  <c r="J370" i="10" s="1"/>
  <c r="K370" i="10" s="1"/>
  <c r="L370" i="10" s="1"/>
  <c r="M370" i="10" s="1"/>
  <c r="N370" i="10" s="1"/>
  <c r="A356" i="10"/>
  <c r="A351" i="10"/>
  <c r="A350" i="10"/>
  <c r="A320" i="10"/>
  <c r="A315" i="10"/>
  <c r="A314" i="10"/>
  <c r="A284" i="10"/>
  <c r="A279" i="10"/>
  <c r="A278" i="10"/>
  <c r="A248" i="10"/>
  <c r="A243" i="10"/>
  <c r="A242" i="10"/>
  <c r="A212" i="10"/>
  <c r="A207" i="10"/>
  <c r="A206" i="10"/>
  <c r="A176" i="10"/>
  <c r="A171" i="10"/>
  <c r="A170" i="10"/>
  <c r="A140" i="10"/>
  <c r="A135" i="10"/>
  <c r="A134" i="10"/>
  <c r="A103" i="10"/>
  <c r="A98" i="10"/>
  <c r="A97" i="10"/>
  <c r="A66" i="10"/>
  <c r="A61" i="10"/>
  <c r="A60" i="10"/>
  <c r="C8" i="10"/>
  <c r="D334" i="10"/>
  <c r="E334" i="10" s="1"/>
  <c r="F334" i="10" s="1"/>
  <c r="G334" i="10"/>
  <c r="H334" i="10" s="1"/>
  <c r="I334" i="10" s="1"/>
  <c r="J334" i="10" s="1"/>
  <c r="K334" i="10" s="1"/>
  <c r="L334" i="10" s="1"/>
  <c r="M334" i="10" s="1"/>
  <c r="N334" i="10" s="1"/>
  <c r="I298" i="10"/>
  <c r="J298" i="10" s="1"/>
  <c r="K298" i="10" s="1"/>
  <c r="L298" i="10" s="1"/>
  <c r="M298" i="10"/>
  <c r="N298" i="10"/>
  <c r="D262" i="10"/>
  <c r="E262" i="10" s="1"/>
  <c r="F262" i="10" s="1"/>
  <c r="G262" i="10" s="1"/>
  <c r="H262" i="10" s="1"/>
  <c r="I262" i="10" s="1"/>
  <c r="J262" i="10" s="1"/>
  <c r="K262" i="10" s="1"/>
  <c r="L262" i="10" s="1"/>
  <c r="M262" i="10" s="1"/>
  <c r="N262" i="10" s="1"/>
  <c r="D226" i="10"/>
  <c r="E226" i="10" s="1"/>
  <c r="F226" i="10" s="1"/>
  <c r="G226" i="10" s="1"/>
  <c r="H226" i="10" s="1"/>
  <c r="I226" i="10" s="1"/>
  <c r="J226" i="10" s="1"/>
  <c r="K226" i="10" s="1"/>
  <c r="L226" i="10" s="1"/>
  <c r="M226" i="10" s="1"/>
  <c r="N226" i="10" s="1"/>
  <c r="D81" i="10"/>
  <c r="D97" i="10"/>
  <c r="U8" i="10"/>
  <c r="T8" i="10"/>
  <c r="C343" i="10" s="1"/>
  <c r="C379" i="10"/>
  <c r="D379" i="10"/>
  <c r="E379" i="10" s="1"/>
  <c r="F379" i="10" s="1"/>
  <c r="G379" i="10" s="1"/>
  <c r="H379" i="10" s="1"/>
  <c r="I379" i="10" s="1"/>
  <c r="J379" i="10" s="1"/>
  <c r="K379" i="10" s="1"/>
  <c r="L379" i="10"/>
  <c r="M379" i="10"/>
  <c r="N379" i="10" s="1"/>
  <c r="S8" i="10"/>
  <c r="R8" i="10"/>
  <c r="U10" i="10"/>
  <c r="T10" i="10"/>
  <c r="T9" i="10" s="1"/>
  <c r="S10" i="10"/>
  <c r="R10" i="10"/>
  <c r="V5" i="10"/>
  <c r="V4" i="10"/>
  <c r="V3" i="10"/>
  <c r="F60" i="4"/>
  <c r="E60" i="4"/>
  <c r="D60" i="4"/>
  <c r="C60" i="4"/>
  <c r="G60" i="4"/>
  <c r="E53" i="4"/>
  <c r="C53" i="4"/>
  <c r="G35" i="4"/>
  <c r="F35" i="4"/>
  <c r="E35" i="4"/>
  <c r="D35" i="4"/>
  <c r="G34" i="4"/>
  <c r="F34" i="4"/>
  <c r="E34" i="4"/>
  <c r="D34" i="4"/>
  <c r="H32" i="4"/>
  <c r="H31" i="4"/>
  <c r="H30" i="4"/>
  <c r="B34" i="2"/>
  <c r="B36" i="2"/>
  <c r="B32" i="2"/>
  <c r="O14" i="12"/>
  <c r="N14" i="12"/>
  <c r="N15" i="12"/>
  <c r="N16" i="12" s="1"/>
  <c r="M14" i="12"/>
  <c r="M15" i="12"/>
  <c r="L14" i="12"/>
  <c r="L19" i="12" s="1"/>
  <c r="J36" i="12" s="1"/>
  <c r="K14" i="12"/>
  <c r="K15" i="12"/>
  <c r="J14" i="12"/>
  <c r="J18" i="12" s="1"/>
  <c r="H35" i="12" s="1"/>
  <c r="I14" i="12"/>
  <c r="H14" i="12"/>
  <c r="G14" i="12"/>
  <c r="F14" i="12"/>
  <c r="E14" i="12"/>
  <c r="F54" i="12"/>
  <c r="O12" i="12"/>
  <c r="N12" i="12"/>
  <c r="N13" i="12" s="1"/>
  <c r="M12" i="12"/>
  <c r="L12" i="12"/>
  <c r="L18" i="12"/>
  <c r="K12" i="12"/>
  <c r="K13" i="12" s="1"/>
  <c r="J12" i="12"/>
  <c r="J13" i="12"/>
  <c r="I12" i="12"/>
  <c r="I13" i="12" s="1"/>
  <c r="H12" i="12"/>
  <c r="H13" i="12"/>
  <c r="H16" i="12" s="1"/>
  <c r="G12" i="12"/>
  <c r="G13" i="12" s="1"/>
  <c r="F12" i="12"/>
  <c r="F13" i="12" s="1"/>
  <c r="E12" i="12"/>
  <c r="E13" i="12" s="1"/>
  <c r="O6" i="12"/>
  <c r="O7" i="12" s="1"/>
  <c r="N6" i="12"/>
  <c r="N7" i="12"/>
  <c r="M6" i="12"/>
  <c r="L6" i="12"/>
  <c r="L7" i="12"/>
  <c r="K6" i="12"/>
  <c r="K7" i="12" s="1"/>
  <c r="J6" i="12"/>
  <c r="J7" i="12"/>
  <c r="I6" i="12"/>
  <c r="I7" i="12" s="1"/>
  <c r="H6" i="12"/>
  <c r="G6" i="12"/>
  <c r="G7" i="12"/>
  <c r="F6" i="12"/>
  <c r="F7" i="12" s="1"/>
  <c r="E6" i="12"/>
  <c r="E7" i="12"/>
  <c r="I10" i="15"/>
  <c r="G10" i="15"/>
  <c r="C18" i="2" s="1"/>
  <c r="C31" i="8" s="1"/>
  <c r="G11" i="15"/>
  <c r="J10" i="2"/>
  <c r="F10" i="2"/>
  <c r="C16" i="4"/>
  <c r="F15" i="12"/>
  <c r="A24" i="10"/>
  <c r="A25" i="10"/>
  <c r="A30" i="10"/>
  <c r="D10" i="2"/>
  <c r="P10" i="2"/>
  <c r="E10" i="2"/>
  <c r="G10" i="2"/>
  <c r="H10" i="2"/>
  <c r="I10" i="2"/>
  <c r="K10" i="2"/>
  <c r="L10" i="2"/>
  <c r="M10" i="2"/>
  <c r="N10" i="2"/>
  <c r="O10" i="2"/>
  <c r="E18" i="12"/>
  <c r="D8" i="10"/>
  <c r="D24" i="10" s="1"/>
  <c r="E81" i="10"/>
  <c r="H34" i="4"/>
  <c r="O50" i="4" s="1"/>
  <c r="D103" i="4" s="1"/>
  <c r="D113" i="4" s="1"/>
  <c r="D101" i="11" s="1"/>
  <c r="E101" i="11" s="1"/>
  <c r="F101" i="11" s="1"/>
  <c r="G101" i="11" s="1"/>
  <c r="H101" i="11" s="1"/>
  <c r="I101" i="11" s="1"/>
  <c r="J101" i="11" s="1"/>
  <c r="K101" i="11" s="1"/>
  <c r="L101" i="11" s="1"/>
  <c r="M101" i="11" s="1"/>
  <c r="N101" i="11" s="1"/>
  <c r="O101" i="11" s="1"/>
  <c r="E36" i="4"/>
  <c r="L42" i="4"/>
  <c r="Z25" i="10" s="1"/>
  <c r="C229" i="10" s="1"/>
  <c r="D229" i="10" s="1"/>
  <c r="E229" i="10"/>
  <c r="F229" i="10" s="1"/>
  <c r="G229" i="10" s="1"/>
  <c r="H229" i="10" s="1"/>
  <c r="I229" i="10" s="1"/>
  <c r="J229" i="10" s="1"/>
  <c r="K229" i="10" s="1"/>
  <c r="L229" i="10" s="1"/>
  <c r="M229" i="10" s="1"/>
  <c r="N229" i="10" s="1"/>
  <c r="L47" i="4"/>
  <c r="Z19" i="10"/>
  <c r="C11" i="10" s="1"/>
  <c r="D11" i="10" s="1"/>
  <c r="E11" i="10" s="1"/>
  <c r="L50" i="4"/>
  <c r="Z23" i="10"/>
  <c r="L43" i="4"/>
  <c r="Z27" i="10" s="1"/>
  <c r="L46" i="4"/>
  <c r="Z29" i="10"/>
  <c r="C373" i="10"/>
  <c r="D373" i="10" s="1"/>
  <c r="E373" i="10" s="1"/>
  <c r="F373" i="10" s="1"/>
  <c r="G373" i="10"/>
  <c r="H373" i="10" s="1"/>
  <c r="I373" i="10" s="1"/>
  <c r="J373" i="10" s="1"/>
  <c r="K373" i="10" s="1"/>
  <c r="L373" i="10" s="1"/>
  <c r="M373" i="10" s="1"/>
  <c r="N373" i="10"/>
  <c r="L51" i="4"/>
  <c r="Z24" i="10" s="1"/>
  <c r="C193" i="10" s="1"/>
  <c r="D193" i="10" s="1"/>
  <c r="L45" i="4"/>
  <c r="Z26" i="10" s="1"/>
  <c r="C265" i="10" s="1"/>
  <c r="D265" i="10" s="1"/>
  <c r="E265" i="10" s="1"/>
  <c r="L44" i="4"/>
  <c r="Z28" i="10" s="1"/>
  <c r="C337" i="10"/>
  <c r="D337" i="10" s="1"/>
  <c r="E337" i="10" s="1"/>
  <c r="F337" i="10" s="1"/>
  <c r="G337" i="10" s="1"/>
  <c r="H337" i="10" s="1"/>
  <c r="I337" i="10" s="1"/>
  <c r="J337" i="10"/>
  <c r="K337" i="10" s="1"/>
  <c r="L337" i="10" s="1"/>
  <c r="M337" i="10" s="1"/>
  <c r="N337" i="10" s="1"/>
  <c r="L48" i="4"/>
  <c r="Z20" i="10" s="1"/>
  <c r="C47" i="10" s="1"/>
  <c r="D47" i="10" s="1"/>
  <c r="E47" i="10" s="1"/>
  <c r="F47" i="10" s="1"/>
  <c r="G47" i="10" s="1"/>
  <c r="H47" i="10" s="1"/>
  <c r="D36" i="4"/>
  <c r="K52" i="4"/>
  <c r="Y22" i="10" s="1"/>
  <c r="K44" i="4"/>
  <c r="Y28" i="10" s="1"/>
  <c r="K51" i="4"/>
  <c r="Y24" i="10"/>
  <c r="C192" i="10" s="1"/>
  <c r="K49" i="4"/>
  <c r="Y21" i="10" s="1"/>
  <c r="K43" i="4"/>
  <c r="Y27" i="10"/>
  <c r="C300" i="10"/>
  <c r="K50" i="4"/>
  <c r="Y23" i="10"/>
  <c r="K47" i="4"/>
  <c r="Y19" i="10" s="1"/>
  <c r="M50" i="4"/>
  <c r="AA23" i="10" s="1"/>
  <c r="C158" i="10" s="1"/>
  <c r="D158" i="10" s="1"/>
  <c r="E158" i="10" s="1"/>
  <c r="F158" i="10" s="1"/>
  <c r="G158" i="10"/>
  <c r="H158" i="10"/>
  <c r="I158" i="10" s="1"/>
  <c r="J158" i="10" s="1"/>
  <c r="K158" i="10" s="1"/>
  <c r="L158" i="10" s="1"/>
  <c r="M158" i="10" s="1"/>
  <c r="N158" i="10" s="1"/>
  <c r="M46" i="4"/>
  <c r="AA29" i="10" s="1"/>
  <c r="C374" i="10" s="1"/>
  <c r="D374" i="10" s="1"/>
  <c r="E374" i="10" s="1"/>
  <c r="F374" i="10"/>
  <c r="G374" i="10"/>
  <c r="H374" i="10" s="1"/>
  <c r="I374" i="10" s="1"/>
  <c r="J374" i="10" s="1"/>
  <c r="K374" i="10" s="1"/>
  <c r="L374" i="10" s="1"/>
  <c r="M374" i="10" s="1"/>
  <c r="N374" i="10" s="1"/>
  <c r="M49" i="4"/>
  <c r="AA21" i="10"/>
  <c r="C85" i="10" s="1"/>
  <c r="D85" i="10" s="1"/>
  <c r="G36" i="4"/>
  <c r="N47" i="4"/>
  <c r="AB19" i="10" s="1"/>
  <c r="C13" i="10"/>
  <c r="D13" i="10" s="1"/>
  <c r="N52" i="4"/>
  <c r="AB22" i="10" s="1"/>
  <c r="C123" i="10" s="1"/>
  <c r="D123" i="10" s="1"/>
  <c r="E123" i="10"/>
  <c r="F123" i="10"/>
  <c r="N51" i="4"/>
  <c r="AB24" i="10" s="1"/>
  <c r="C195" i="10" s="1"/>
  <c r="H35" i="4"/>
  <c r="H36" i="4" s="1"/>
  <c r="T32" i="14"/>
  <c r="T34" i="14"/>
  <c r="T36" i="14"/>
  <c r="T38" i="14"/>
  <c r="T39" i="14"/>
  <c r="T33" i="14"/>
  <c r="T37" i="14"/>
  <c r="T19" i="14"/>
  <c r="C55" i="14"/>
  <c r="C43" i="14"/>
  <c r="T21" i="14"/>
  <c r="K16" i="12"/>
  <c r="H15" i="12"/>
  <c r="G18" i="12"/>
  <c r="F16" i="12"/>
  <c r="F18" i="12"/>
  <c r="J15" i="12"/>
  <c r="K18" i="12"/>
  <c r="M13" i="12"/>
  <c r="J35" i="12"/>
  <c r="J34" i="12" s="1"/>
  <c r="D35" i="12"/>
  <c r="N18" i="12"/>
  <c r="L35" i="12" s="1"/>
  <c r="H7" i="12"/>
  <c r="E15" i="12"/>
  <c r="E16" i="12" s="1"/>
  <c r="L13" i="12"/>
  <c r="F11" i="10"/>
  <c r="G11" i="10" s="1"/>
  <c r="H11" i="10" s="1"/>
  <c r="I11" i="10" s="1"/>
  <c r="J11" i="10" s="1"/>
  <c r="K11" i="10" s="1"/>
  <c r="L11" i="10" s="1"/>
  <c r="M11" i="10" s="1"/>
  <c r="N11" i="10" s="1"/>
  <c r="F265" i="10"/>
  <c r="C60" i="10"/>
  <c r="D60" i="10"/>
  <c r="D44" i="10"/>
  <c r="E44" i="10" s="1"/>
  <c r="F44" i="10" s="1"/>
  <c r="G44" i="10" s="1"/>
  <c r="H44" i="10" s="1"/>
  <c r="I44" i="10" s="1"/>
  <c r="J44" i="10" s="1"/>
  <c r="K44" i="10" s="1"/>
  <c r="L44" i="10" s="1"/>
  <c r="M44" i="10"/>
  <c r="N44" i="10" s="1"/>
  <c r="D190" i="10"/>
  <c r="E190" i="10" s="1"/>
  <c r="F190" i="10" s="1"/>
  <c r="G190" i="10" s="1"/>
  <c r="H190" i="10" s="1"/>
  <c r="I190" i="10" s="1"/>
  <c r="J190" i="10" s="1"/>
  <c r="K190" i="10" s="1"/>
  <c r="L190" i="10" s="1"/>
  <c r="M190" i="10"/>
  <c r="N190" i="10"/>
  <c r="C206" i="10"/>
  <c r="R9" i="10"/>
  <c r="D154" i="10"/>
  <c r="C314" i="10"/>
  <c r="D314" i="10"/>
  <c r="E314" i="10" s="1"/>
  <c r="F314" i="10" s="1"/>
  <c r="G314" i="10" s="1"/>
  <c r="H314" i="10"/>
  <c r="E8" i="10"/>
  <c r="C199" i="10"/>
  <c r="D199" i="10" s="1"/>
  <c r="C271" i="10"/>
  <c r="D271" i="10"/>
  <c r="E271" i="10" s="1"/>
  <c r="F271" i="10" s="1"/>
  <c r="G271" i="10" s="1"/>
  <c r="H271" i="10" s="1"/>
  <c r="I271" i="10" s="1"/>
  <c r="J271" i="10" s="1"/>
  <c r="K271" i="10" s="1"/>
  <c r="L271" i="10"/>
  <c r="M271" i="10" s="1"/>
  <c r="N271" i="10" s="1"/>
  <c r="C308" i="10"/>
  <c r="D308" i="10" s="1"/>
  <c r="C200" i="10"/>
  <c r="D200" i="10" s="1"/>
  <c r="E200" i="10"/>
  <c r="C17" i="10"/>
  <c r="D17" i="10" s="1"/>
  <c r="E17" i="10" s="1"/>
  <c r="F17" i="10" s="1"/>
  <c r="G17" i="10" s="1"/>
  <c r="H17" i="10" s="1"/>
  <c r="C90" i="10"/>
  <c r="D90" i="10" s="1"/>
  <c r="E90" i="10" s="1"/>
  <c r="F90" i="10" s="1"/>
  <c r="G90" i="10"/>
  <c r="H90" i="10" s="1"/>
  <c r="I90" i="10" s="1"/>
  <c r="J90" i="10" s="1"/>
  <c r="K90" i="10" s="1"/>
  <c r="L90" i="10" s="1"/>
  <c r="M90" i="10" s="1"/>
  <c r="N90" i="10" s="1"/>
  <c r="C163" i="10"/>
  <c r="D163" i="10" s="1"/>
  <c r="E163" i="10"/>
  <c r="F163" i="10" s="1"/>
  <c r="G163" i="10"/>
  <c r="H163" i="10" s="1"/>
  <c r="I163" i="10" s="1"/>
  <c r="J163" i="10" s="1"/>
  <c r="K163" i="10" s="1"/>
  <c r="L163" i="10" s="1"/>
  <c r="M163" i="10" s="1"/>
  <c r="N163" i="10" s="1"/>
  <c r="C235" i="10"/>
  <c r="D235" i="10" s="1"/>
  <c r="E235" i="10" s="1"/>
  <c r="F235" i="10" s="1"/>
  <c r="G235" i="10" s="1"/>
  <c r="H235" i="10" s="1"/>
  <c r="I235" i="10" s="1"/>
  <c r="J235" i="10" s="1"/>
  <c r="K235" i="10" s="1"/>
  <c r="L235" i="10" s="1"/>
  <c r="M235" i="10" s="1"/>
  <c r="N235" i="10" s="1"/>
  <c r="C307" i="10"/>
  <c r="D307" i="10" s="1"/>
  <c r="E307" i="10" s="1"/>
  <c r="F307" i="10" s="1"/>
  <c r="G307" i="10" s="1"/>
  <c r="H307" i="10" s="1"/>
  <c r="I307" i="10" s="1"/>
  <c r="J307" i="10" s="1"/>
  <c r="K307" i="10"/>
  <c r="L307" i="10" s="1"/>
  <c r="M307" i="10" s="1"/>
  <c r="N307" i="10" s="1"/>
  <c r="C378" i="10"/>
  <c r="C198" i="10"/>
  <c r="C162" i="10"/>
  <c r="D162" i="10" s="1"/>
  <c r="E162" i="10" s="1"/>
  <c r="F162" i="10"/>
  <c r="G162" i="10" s="1"/>
  <c r="H162" i="10" s="1"/>
  <c r="I162" i="10" s="1"/>
  <c r="J162" i="10" s="1"/>
  <c r="K162" i="10" s="1"/>
  <c r="L162" i="10" s="1"/>
  <c r="M162" i="10" s="1"/>
  <c r="N162" i="10" s="1"/>
  <c r="C126" i="10"/>
  <c r="D126" i="10" s="1"/>
  <c r="E126" i="10"/>
  <c r="F126" i="10" s="1"/>
  <c r="G126" i="10" s="1"/>
  <c r="H126" i="10" s="1"/>
  <c r="I126" i="10" s="1"/>
  <c r="J126" i="10" s="1"/>
  <c r="K126" i="10"/>
  <c r="L126" i="10" s="1"/>
  <c r="M126" i="10" s="1"/>
  <c r="N126" i="10" s="1"/>
  <c r="C89" i="10"/>
  <c r="D343" i="10"/>
  <c r="E343" i="10"/>
  <c r="F343" i="10" s="1"/>
  <c r="G343" i="10" s="1"/>
  <c r="H343" i="10" s="1"/>
  <c r="I343" i="10" s="1"/>
  <c r="J343" i="10" s="1"/>
  <c r="K343" i="10" s="1"/>
  <c r="L343" i="10" s="1"/>
  <c r="M343" i="10" s="1"/>
  <c r="N343" i="10" s="1"/>
  <c r="V8" i="10"/>
  <c r="S9" i="10"/>
  <c r="C15" i="10"/>
  <c r="C51" i="10"/>
  <c r="C88" i="10"/>
  <c r="C125" i="10"/>
  <c r="D125" i="10" s="1"/>
  <c r="C161" i="10"/>
  <c r="C197" i="10"/>
  <c r="C233" i="10"/>
  <c r="C269" i="10"/>
  <c r="D269" i="10" s="1"/>
  <c r="C305" i="10"/>
  <c r="D305" i="10" s="1"/>
  <c r="E305" i="10" s="1"/>
  <c r="F305" i="10" s="1"/>
  <c r="G305" i="10" s="1"/>
  <c r="C341" i="10"/>
  <c r="D341" i="10" s="1"/>
  <c r="C377" i="10"/>
  <c r="J21" i="12"/>
  <c r="D170" i="10"/>
  <c r="E154" i="10"/>
  <c r="E24" i="10"/>
  <c r="F8" i="10"/>
  <c r="F24" i="10" s="1"/>
  <c r="I17" i="10"/>
  <c r="J17" i="10" s="1"/>
  <c r="K17" i="10" s="1"/>
  <c r="L17" i="10" s="1"/>
  <c r="M17" i="10" s="1"/>
  <c r="N17" i="10" s="1"/>
  <c r="E341" i="10"/>
  <c r="F341" i="10"/>
  <c r="G341" i="10" s="1"/>
  <c r="H341" i="10" s="1"/>
  <c r="I341" i="10" s="1"/>
  <c r="J341" i="10" s="1"/>
  <c r="K341" i="10" s="1"/>
  <c r="L341" i="10" s="1"/>
  <c r="M341" i="10"/>
  <c r="N341" i="10" s="1"/>
  <c r="D51" i="10"/>
  <c r="E51" i="10" s="1"/>
  <c r="F51" i="10"/>
  <c r="G51" i="10"/>
  <c r="H51" i="10" s="1"/>
  <c r="I51" i="10" s="1"/>
  <c r="J51" i="10" s="1"/>
  <c r="K51" i="10" s="1"/>
  <c r="L51" i="10" s="1"/>
  <c r="M51" i="10" s="1"/>
  <c r="N51" i="10" s="1"/>
  <c r="D377" i="10"/>
  <c r="E377" i="10" s="1"/>
  <c r="F377" i="10" s="1"/>
  <c r="G377" i="10" s="1"/>
  <c r="H377" i="10" s="1"/>
  <c r="I377" i="10"/>
  <c r="J377" i="10" s="1"/>
  <c r="K377" i="10" s="1"/>
  <c r="L377" i="10"/>
  <c r="M377" i="10" s="1"/>
  <c r="N377" i="10" s="1"/>
  <c r="D233" i="10"/>
  <c r="E233" i="10"/>
  <c r="F233" i="10"/>
  <c r="G233" i="10" s="1"/>
  <c r="H233" i="10" s="1"/>
  <c r="I233" i="10" s="1"/>
  <c r="J233" i="10" s="1"/>
  <c r="K233" i="10" s="1"/>
  <c r="L233" i="10" s="1"/>
  <c r="M233" i="10"/>
  <c r="N233" i="10" s="1"/>
  <c r="D88" i="10"/>
  <c r="E88" i="10" s="1"/>
  <c r="F88" i="10"/>
  <c r="G88" i="10"/>
  <c r="H88" i="10" s="1"/>
  <c r="I88" i="10" s="1"/>
  <c r="J88" i="10" s="1"/>
  <c r="K88" i="10" s="1"/>
  <c r="L88" i="10" s="1"/>
  <c r="M88" i="10" s="1"/>
  <c r="N88" i="10" s="1"/>
  <c r="E269" i="10"/>
  <c r="F269" i="10" s="1"/>
  <c r="G269" i="10" s="1"/>
  <c r="H269" i="10"/>
  <c r="I269" i="10" s="1"/>
  <c r="J269" i="10" s="1"/>
  <c r="K269" i="10" s="1"/>
  <c r="L269" i="10" s="1"/>
  <c r="M269" i="10" s="1"/>
  <c r="N269" i="10" s="1"/>
  <c r="E125" i="10"/>
  <c r="F125" i="10" s="1"/>
  <c r="G125" i="10" s="1"/>
  <c r="H125" i="10" s="1"/>
  <c r="I125" i="10" s="1"/>
  <c r="J125" i="10" s="1"/>
  <c r="K125" i="10" s="1"/>
  <c r="L125" i="10" s="1"/>
  <c r="M125" i="10" s="1"/>
  <c r="N125" i="10" s="1"/>
  <c r="E199" i="10"/>
  <c r="F199" i="10" s="1"/>
  <c r="G199" i="10" s="1"/>
  <c r="H199" i="10" s="1"/>
  <c r="I199" i="10" s="1"/>
  <c r="J199" i="10" s="1"/>
  <c r="K199" i="10" s="1"/>
  <c r="L199" i="10" s="1"/>
  <c r="M199" i="10" s="1"/>
  <c r="N199" i="10" s="1"/>
  <c r="H305" i="10"/>
  <c r="I305" i="10" s="1"/>
  <c r="J305" i="10" s="1"/>
  <c r="K305" i="10" s="1"/>
  <c r="L305" i="10" s="1"/>
  <c r="M305" i="10" s="1"/>
  <c r="N305" i="10" s="1"/>
  <c r="D378" i="10"/>
  <c r="D197" i="10"/>
  <c r="E197" i="10" s="1"/>
  <c r="F197" i="10"/>
  <c r="G197" i="10"/>
  <c r="H197" i="10" s="1"/>
  <c r="I197" i="10" s="1"/>
  <c r="J197" i="10" s="1"/>
  <c r="K197" i="10" s="1"/>
  <c r="L197" i="10" s="1"/>
  <c r="M197" i="10" s="1"/>
  <c r="N197" i="10" s="1"/>
  <c r="F154" i="10"/>
  <c r="E170" i="10"/>
  <c r="G8" i="10"/>
  <c r="E378" i="10"/>
  <c r="F378" i="10" s="1"/>
  <c r="G378" i="10" s="1"/>
  <c r="H378" i="10" s="1"/>
  <c r="I378" i="10" s="1"/>
  <c r="J378" i="10" s="1"/>
  <c r="K378" i="10" s="1"/>
  <c r="L378" i="10" s="1"/>
  <c r="M378" i="10" s="1"/>
  <c r="N378" i="10" s="1"/>
  <c r="G16" i="15"/>
  <c r="C16" i="2"/>
  <c r="C15" i="8" s="1"/>
  <c r="G7" i="14"/>
  <c r="N18" i="14"/>
  <c r="D18" i="14"/>
  <c r="L18" i="14"/>
  <c r="H18" i="14"/>
  <c r="F18" i="14"/>
  <c r="I7" i="14"/>
  <c r="J7" i="14"/>
  <c r="G265" i="10"/>
  <c r="H265" i="10" s="1"/>
  <c r="I265" i="10" s="1"/>
  <c r="J265" i="10"/>
  <c r="K265" i="10" s="1"/>
  <c r="L265" i="10" s="1"/>
  <c r="M265" i="10" s="1"/>
  <c r="N265" i="10" s="1"/>
  <c r="D192" i="10"/>
  <c r="F4" i="14"/>
  <c r="F5" i="14" s="1"/>
  <c r="I47" i="10"/>
  <c r="J47" i="10" s="1"/>
  <c r="K47" i="10" s="1"/>
  <c r="L47" i="10" s="1"/>
  <c r="M47" i="10" s="1"/>
  <c r="N47" i="10" s="1"/>
  <c r="I93" i="11"/>
  <c r="J93" i="11"/>
  <c r="K93" i="11" s="1"/>
  <c r="L93" i="11" s="1"/>
  <c r="M93" i="11"/>
  <c r="N93" i="11"/>
  <c r="O93" i="11" s="1"/>
  <c r="H4" i="14"/>
  <c r="H5" i="14"/>
  <c r="J5" i="14"/>
  <c r="E135" i="11"/>
  <c r="F135" i="11" s="1"/>
  <c r="G135" i="11" s="1"/>
  <c r="H135" i="11" s="1"/>
  <c r="I135" i="11" s="1"/>
  <c r="J135" i="11" s="1"/>
  <c r="K135" i="11"/>
  <c r="L135" i="11" s="1"/>
  <c r="M135" i="11" s="1"/>
  <c r="N135" i="11" s="1"/>
  <c r="O135" i="11" s="1"/>
  <c r="E198" i="11"/>
  <c r="F198" i="11" s="1"/>
  <c r="G198" i="11"/>
  <c r="H198" i="11"/>
  <c r="I198" i="11" s="1"/>
  <c r="J198" i="11" s="1"/>
  <c r="K198" i="11"/>
  <c r="L198" i="11" s="1"/>
  <c r="M198" i="11" s="1"/>
  <c r="N198" i="11" s="1"/>
  <c r="O198" i="11" s="1"/>
  <c r="M4" i="14"/>
  <c r="M5" i="14" s="1"/>
  <c r="G4" i="14"/>
  <c r="G5" i="14"/>
  <c r="E72" i="11"/>
  <c r="F72" i="11"/>
  <c r="G72" i="11" s="1"/>
  <c r="H72" i="11" s="1"/>
  <c r="I72" i="11" s="1"/>
  <c r="J72" i="11" s="1"/>
  <c r="K72" i="11" s="1"/>
  <c r="L72" i="11" s="1"/>
  <c r="M72" i="11" s="1"/>
  <c r="N72" i="11" s="1"/>
  <c r="O72" i="11" s="1"/>
  <c r="E114" i="11"/>
  <c r="F114" i="11"/>
  <c r="G114" i="11"/>
  <c r="H114" i="11" s="1"/>
  <c r="I114" i="11" s="1"/>
  <c r="J114" i="11" s="1"/>
  <c r="K114" i="11"/>
  <c r="L114" i="11" s="1"/>
  <c r="M114" i="11"/>
  <c r="N114" i="11" s="1"/>
  <c r="O114" i="11" s="1"/>
  <c r="I4" i="14"/>
  <c r="I5" i="14"/>
  <c r="E60" i="10"/>
  <c r="F60" i="10" s="1"/>
  <c r="G60" i="10" s="1"/>
  <c r="D206" i="10"/>
  <c r="E206" i="10"/>
  <c r="E386" i="10"/>
  <c r="F386" i="10" s="1"/>
  <c r="G386" i="10" s="1"/>
  <c r="H386" i="10" s="1"/>
  <c r="I386" i="10" s="1"/>
  <c r="H60" i="10"/>
  <c r="I60" i="10" s="1"/>
  <c r="J60" i="10" s="1"/>
  <c r="K60" i="10" s="1"/>
  <c r="L60" i="10" s="1"/>
  <c r="M60" i="10" s="1"/>
  <c r="N60" i="10" s="1"/>
  <c r="G123" i="10"/>
  <c r="H123" i="10" s="1"/>
  <c r="J386" i="10"/>
  <c r="K386" i="10"/>
  <c r="E85" i="10"/>
  <c r="F85" i="10" s="1"/>
  <c r="G85" i="10" s="1"/>
  <c r="H85" i="10" s="1"/>
  <c r="I85" i="10" s="1"/>
  <c r="J85" i="10" s="1"/>
  <c r="K85" i="10" s="1"/>
  <c r="L85" i="10" s="1"/>
  <c r="M85" i="10" s="1"/>
  <c r="N85" i="10" s="1"/>
  <c r="C301" i="10"/>
  <c r="E7" i="14"/>
  <c r="E18" i="14"/>
  <c r="C6" i="14"/>
  <c r="M7" i="14"/>
  <c r="M18" i="14"/>
  <c r="K18" i="14"/>
  <c r="K7" i="14"/>
  <c r="C83" i="10"/>
  <c r="I123" i="10"/>
  <c r="J123" i="10" s="1"/>
  <c r="C120" i="10"/>
  <c r="E192" i="10"/>
  <c r="F192" i="10" s="1"/>
  <c r="G192" i="10" s="1"/>
  <c r="E13" i="10"/>
  <c r="F13" i="10" s="1"/>
  <c r="G13" i="10" s="1"/>
  <c r="H13" i="10" s="1"/>
  <c r="I13" i="10" s="1"/>
  <c r="J13" i="10" s="1"/>
  <c r="C156" i="10"/>
  <c r="N4" i="14"/>
  <c r="N5" i="14" s="1"/>
  <c r="E219" i="11"/>
  <c r="F219" i="11"/>
  <c r="G219" i="11"/>
  <c r="H219" i="11" s="1"/>
  <c r="I219" i="11" s="1"/>
  <c r="J219" i="11" s="1"/>
  <c r="K219" i="11" s="1"/>
  <c r="L219" i="11" s="1"/>
  <c r="M219" i="11" s="1"/>
  <c r="N219" i="11" s="1"/>
  <c r="O219" i="11" s="1"/>
  <c r="L4" i="14"/>
  <c r="E177" i="11"/>
  <c r="F177" i="11"/>
  <c r="G177" i="11"/>
  <c r="H177" i="11" s="1"/>
  <c r="I177" i="11" s="1"/>
  <c r="J177" i="11" s="1"/>
  <c r="K177" i="11" s="1"/>
  <c r="L177" i="11"/>
  <c r="M177" i="11" s="1"/>
  <c r="N177" i="11" s="1"/>
  <c r="O177" i="11"/>
  <c r="I11" i="15"/>
  <c r="A2" i="4" s="1"/>
  <c r="L21" i="12"/>
  <c r="I35" i="12"/>
  <c r="E35" i="12"/>
  <c r="H34" i="12"/>
  <c r="B43" i="2"/>
  <c r="B35" i="2"/>
  <c r="C23" i="2"/>
  <c r="C67" i="8" s="1"/>
  <c r="B41" i="2"/>
  <c r="B37" i="2"/>
  <c r="C24" i="2"/>
  <c r="N42" i="14"/>
  <c r="L42" i="14"/>
  <c r="J42" i="14"/>
  <c r="I42" i="14"/>
  <c r="M42" i="14"/>
  <c r="D301" i="10"/>
  <c r="L5" i="14"/>
  <c r="C7" i="14"/>
  <c r="C30" i="14"/>
  <c r="C54" i="14" s="1"/>
  <c r="D83" i="10"/>
  <c r="K123" i="10"/>
  <c r="E83" i="10"/>
  <c r="F83" i="10" s="1"/>
  <c r="E301" i="10"/>
  <c r="F301" i="10"/>
  <c r="H192" i="10"/>
  <c r="L123" i="10"/>
  <c r="M123" i="10" s="1"/>
  <c r="N123" i="10"/>
  <c r="G301" i="10"/>
  <c r="H301" i="10" s="1"/>
  <c r="I301" i="10" s="1"/>
  <c r="J301" i="10" s="1"/>
  <c r="K301" i="10" s="1"/>
  <c r="L301" i="10" s="1"/>
  <c r="K13" i="10"/>
  <c r="L13" i="10"/>
  <c r="M13" i="10" s="1"/>
  <c r="N13" i="10" s="1"/>
  <c r="M301" i="10"/>
  <c r="N301" i="10" s="1"/>
  <c r="G107" i="8" l="1"/>
  <c r="G124" i="8" s="1"/>
  <c r="F13" i="22"/>
  <c r="F17" i="22" s="1"/>
  <c r="H107" i="8"/>
  <c r="H111" i="8" s="1"/>
  <c r="G13" i="22"/>
  <c r="G17" i="22" s="1"/>
  <c r="F107" i="8"/>
  <c r="F124" i="8" s="1"/>
  <c r="E13" i="22"/>
  <c r="E17" i="22" s="1"/>
  <c r="C13" i="22"/>
  <c r="C17" i="22" s="1"/>
  <c r="D107" i="8"/>
  <c r="D111" i="8" s="1"/>
  <c r="E107" i="8"/>
  <c r="E111" i="8" s="1"/>
  <c r="D13" i="22"/>
  <c r="D17" i="22" s="1"/>
  <c r="C19" i="2"/>
  <c r="C39" i="8" s="1"/>
  <c r="C25" i="2"/>
  <c r="C81" i="8" s="1"/>
  <c r="C20" i="2"/>
  <c r="C46" i="8" s="1"/>
  <c r="C17" i="2"/>
  <c r="C23" i="8" s="1"/>
  <c r="C15" i="2"/>
  <c r="C7" i="8" s="1"/>
  <c r="D124" i="8"/>
  <c r="E124" i="8"/>
  <c r="G111" i="8"/>
  <c r="H124" i="8"/>
  <c r="F111" i="8"/>
  <c r="E97" i="10"/>
  <c r="F81" i="10"/>
  <c r="V7" i="10"/>
  <c r="V10" i="10"/>
  <c r="G24" i="10"/>
  <c r="H8" i="10"/>
  <c r="I314" i="10"/>
  <c r="D156" i="10"/>
  <c r="D120" i="10"/>
  <c r="L386" i="10"/>
  <c r="E193" i="10"/>
  <c r="E308" i="10"/>
  <c r="D242" i="10"/>
  <c r="D9" i="11"/>
  <c r="D16" i="4"/>
  <c r="E156" i="11"/>
  <c r="F156" i="11" s="1"/>
  <c r="G156" i="11" s="1"/>
  <c r="H156" i="11" s="1"/>
  <c r="I156" i="11" s="1"/>
  <c r="J156" i="11" s="1"/>
  <c r="K156" i="11" s="1"/>
  <c r="L156" i="11" s="1"/>
  <c r="M156" i="11" s="1"/>
  <c r="N156" i="11" s="1"/>
  <c r="O156" i="11" s="1"/>
  <c r="K4" i="14"/>
  <c r="K5" i="14" s="1"/>
  <c r="E30" i="11"/>
  <c r="F30" i="11" s="1"/>
  <c r="G30" i="11" s="1"/>
  <c r="H30" i="11" s="1"/>
  <c r="I30" i="11" s="1"/>
  <c r="J30" i="11" s="1"/>
  <c r="K30" i="11" s="1"/>
  <c r="L30" i="11" s="1"/>
  <c r="M30" i="11" s="1"/>
  <c r="N30" i="11" s="1"/>
  <c r="O30" i="11" s="1"/>
  <c r="E4" i="14"/>
  <c r="E5" i="14" s="1"/>
  <c r="R27" i="10"/>
  <c r="S43" i="10" s="1"/>
  <c r="D53" i="4"/>
  <c r="I192" i="10"/>
  <c r="D89" i="10"/>
  <c r="E89" i="10" s="1"/>
  <c r="F89" i="10" s="1"/>
  <c r="G89" i="10" s="1"/>
  <c r="H89" i="10" s="1"/>
  <c r="I89" i="10" s="1"/>
  <c r="J89" i="10" s="1"/>
  <c r="K89" i="10" s="1"/>
  <c r="L89" i="10" s="1"/>
  <c r="M89" i="10" s="1"/>
  <c r="N89" i="10" s="1"/>
  <c r="F200" i="10"/>
  <c r="D195" i="10"/>
  <c r="C157" i="10"/>
  <c r="D157" i="10" s="1"/>
  <c r="E157" i="10" s="1"/>
  <c r="F157" i="10" s="1"/>
  <c r="G157" i="10" s="1"/>
  <c r="H157" i="10" s="1"/>
  <c r="I157" i="10" s="1"/>
  <c r="J157" i="10" s="1"/>
  <c r="K157" i="10" s="1"/>
  <c r="L157" i="10" s="1"/>
  <c r="M157" i="10" s="1"/>
  <c r="N157" i="10" s="1"/>
  <c r="G83" i="10"/>
  <c r="C74" i="8"/>
  <c r="A2" i="2"/>
  <c r="A2" i="9"/>
  <c r="A2" i="12"/>
  <c r="A32" i="12"/>
  <c r="A2" i="11"/>
  <c r="C32" i="14"/>
  <c r="C56" i="14" s="1"/>
  <c r="C29" i="14"/>
  <c r="C53" i="14" s="1"/>
  <c r="C28" i="14"/>
  <c r="F206" i="10"/>
  <c r="D161" i="10"/>
  <c r="E161" i="10" s="1"/>
  <c r="F161" i="10" s="1"/>
  <c r="G161" i="10" s="1"/>
  <c r="H161" i="10" s="1"/>
  <c r="I161" i="10" s="1"/>
  <c r="J161" i="10" s="1"/>
  <c r="K161" i="10" s="1"/>
  <c r="L161" i="10" s="1"/>
  <c r="M161" i="10" s="1"/>
  <c r="N161" i="10" s="1"/>
  <c r="D15" i="10"/>
  <c r="E15" i="10" s="1"/>
  <c r="F15" i="10" s="1"/>
  <c r="G15" i="10" s="1"/>
  <c r="H15" i="10" s="1"/>
  <c r="I15" i="10" s="1"/>
  <c r="J15" i="10" s="1"/>
  <c r="K15" i="10" s="1"/>
  <c r="L15" i="10" s="1"/>
  <c r="M15" i="10" s="1"/>
  <c r="N15" i="10" s="1"/>
  <c r="C14" i="10"/>
  <c r="C10" i="10"/>
  <c r="D300" i="10"/>
  <c r="C134" i="10"/>
  <c r="D118" i="10"/>
  <c r="E118" i="10" s="1"/>
  <c r="F118" i="10" s="1"/>
  <c r="G118" i="10" s="1"/>
  <c r="H118" i="10" s="1"/>
  <c r="I118" i="10" s="1"/>
  <c r="J118" i="10" s="1"/>
  <c r="K118" i="10" s="1"/>
  <c r="L118" i="10" s="1"/>
  <c r="M118" i="10" s="1"/>
  <c r="N118" i="10" s="1"/>
  <c r="B40" i="2"/>
  <c r="C22" i="2"/>
  <c r="F67" i="12"/>
  <c r="E72" i="12"/>
  <c r="C34" i="14"/>
  <c r="G154" i="10"/>
  <c r="F170" i="10"/>
  <c r="E42" i="14"/>
  <c r="K42" i="14"/>
  <c r="G42" i="14"/>
  <c r="D42" i="14"/>
  <c r="F42" i="14"/>
  <c r="D198" i="10"/>
  <c r="E198" i="10" s="1"/>
  <c r="F198" i="10" s="1"/>
  <c r="G198" i="10" s="1"/>
  <c r="H198" i="10" s="1"/>
  <c r="I198" i="10" s="1"/>
  <c r="J198" i="10" s="1"/>
  <c r="K198" i="10" s="1"/>
  <c r="L198" i="10" s="1"/>
  <c r="M198" i="10" s="1"/>
  <c r="N198" i="10" s="1"/>
  <c r="J16" i="12"/>
  <c r="J23" i="12" s="1"/>
  <c r="C336" i="10"/>
  <c r="V9" i="10"/>
  <c r="C380" i="10"/>
  <c r="C54" i="10"/>
  <c r="C164" i="10"/>
  <c r="C91" i="10"/>
  <c r="C344" i="10"/>
  <c r="U9" i="10"/>
  <c r="C18" i="10"/>
  <c r="C236" i="10"/>
  <c r="C128" i="10"/>
  <c r="C272" i="10"/>
  <c r="E21" i="12"/>
  <c r="C35" i="12"/>
  <c r="O13" i="12"/>
  <c r="O18" i="12"/>
  <c r="G19" i="12"/>
  <c r="G15" i="12"/>
  <c r="G16" i="12" s="1"/>
  <c r="N43" i="4"/>
  <c r="AB27" i="10" s="1"/>
  <c r="C303" i="10" s="1"/>
  <c r="N44" i="4"/>
  <c r="AB28" i="10" s="1"/>
  <c r="C339" i="10" s="1"/>
  <c r="D339" i="10" s="1"/>
  <c r="E339" i="10" s="1"/>
  <c r="F339" i="10" s="1"/>
  <c r="G339" i="10" s="1"/>
  <c r="H339" i="10" s="1"/>
  <c r="I339" i="10" s="1"/>
  <c r="J339" i="10" s="1"/>
  <c r="K339" i="10" s="1"/>
  <c r="L339" i="10" s="1"/>
  <c r="M339" i="10" s="1"/>
  <c r="N339" i="10" s="1"/>
  <c r="N49" i="4"/>
  <c r="AB21" i="10" s="1"/>
  <c r="C86" i="10" s="1"/>
  <c r="D86" i="10" s="1"/>
  <c r="E86" i="10" s="1"/>
  <c r="F86" i="10" s="1"/>
  <c r="G86" i="10" s="1"/>
  <c r="H86" i="10" s="1"/>
  <c r="I86" i="10" s="1"/>
  <c r="J86" i="10" s="1"/>
  <c r="K86" i="10" s="1"/>
  <c r="L86" i="10" s="1"/>
  <c r="M86" i="10" s="1"/>
  <c r="N86" i="10" s="1"/>
  <c r="N50" i="4"/>
  <c r="AB23" i="10" s="1"/>
  <c r="C159" i="10" s="1"/>
  <c r="D159" i="10" s="1"/>
  <c r="E159" i="10" s="1"/>
  <c r="F159" i="10" s="1"/>
  <c r="G159" i="10" s="1"/>
  <c r="H159" i="10" s="1"/>
  <c r="I159" i="10" s="1"/>
  <c r="J159" i="10" s="1"/>
  <c r="K159" i="10" s="1"/>
  <c r="L159" i="10" s="1"/>
  <c r="M159" i="10" s="1"/>
  <c r="N159" i="10" s="1"/>
  <c r="N48" i="4"/>
  <c r="AB20" i="10" s="1"/>
  <c r="C49" i="10" s="1"/>
  <c r="D49" i="10" s="1"/>
  <c r="E49" i="10" s="1"/>
  <c r="F49" i="10" s="1"/>
  <c r="G49" i="10" s="1"/>
  <c r="H49" i="10" s="1"/>
  <c r="I49" i="10" s="1"/>
  <c r="J49" i="10" s="1"/>
  <c r="K49" i="10" s="1"/>
  <c r="L49" i="10" s="1"/>
  <c r="M49" i="10" s="1"/>
  <c r="N49" i="10" s="1"/>
  <c r="T18" i="14"/>
  <c r="T16" i="14"/>
  <c r="T17" i="14"/>
  <c r="T20" i="14"/>
  <c r="T15" i="14"/>
  <c r="I18" i="14"/>
  <c r="G18" i="14"/>
  <c r="J18" i="14"/>
  <c r="S25" i="10"/>
  <c r="M42" i="4"/>
  <c r="AA25" i="10" s="1"/>
  <c r="C230" i="10" s="1"/>
  <c r="D230" i="10" s="1"/>
  <c r="E230" i="10" s="1"/>
  <c r="F230" i="10" s="1"/>
  <c r="G230" i="10" s="1"/>
  <c r="H230" i="10" s="1"/>
  <c r="I230" i="10" s="1"/>
  <c r="J230" i="10" s="1"/>
  <c r="K230" i="10" s="1"/>
  <c r="L230" i="10" s="1"/>
  <c r="M230" i="10" s="1"/>
  <c r="N230" i="10" s="1"/>
  <c r="K42" i="4"/>
  <c r="Y25" i="10" s="1"/>
  <c r="N42" i="4"/>
  <c r="AB25" i="10" s="1"/>
  <c r="C231" i="10" s="1"/>
  <c r="D231" i="10" s="1"/>
  <c r="E231" i="10" s="1"/>
  <c r="F231" i="10" s="1"/>
  <c r="G231" i="10" s="1"/>
  <c r="H231" i="10" s="1"/>
  <c r="I231" i="10" s="1"/>
  <c r="J231" i="10" s="1"/>
  <c r="K231" i="10" s="1"/>
  <c r="L231" i="10" s="1"/>
  <c r="M231" i="10" s="1"/>
  <c r="N231" i="10" s="1"/>
  <c r="N45" i="4"/>
  <c r="AB26" i="10" s="1"/>
  <c r="C267" i="10" s="1"/>
  <c r="D267" i="10" s="1"/>
  <c r="E267" i="10" s="1"/>
  <c r="F267" i="10" s="1"/>
  <c r="G267" i="10" s="1"/>
  <c r="H267" i="10" s="1"/>
  <c r="I267" i="10" s="1"/>
  <c r="J267" i="10" s="1"/>
  <c r="K267" i="10" s="1"/>
  <c r="L267" i="10" s="1"/>
  <c r="M267" i="10" s="1"/>
  <c r="N267" i="10" s="1"/>
  <c r="S26" i="10"/>
  <c r="K45" i="4"/>
  <c r="Y26" i="10" s="1"/>
  <c r="M45" i="4"/>
  <c r="AA26" i="10" s="1"/>
  <c r="C266" i="10" s="1"/>
  <c r="D266" i="10" s="1"/>
  <c r="E266" i="10" s="1"/>
  <c r="F266" i="10" s="1"/>
  <c r="G266" i="10" s="1"/>
  <c r="H266" i="10" s="1"/>
  <c r="I266" i="10" s="1"/>
  <c r="J266" i="10" s="1"/>
  <c r="K266" i="10" s="1"/>
  <c r="L266" i="10" s="1"/>
  <c r="M266" i="10" s="1"/>
  <c r="N266" i="10" s="1"/>
  <c r="M7" i="12"/>
  <c r="M16" i="12" s="1"/>
  <c r="M18" i="12"/>
  <c r="L15" i="12"/>
  <c r="L16" i="12" s="1"/>
  <c r="L23" i="12" s="1"/>
  <c r="M51" i="4"/>
  <c r="AA24" i="10" s="1"/>
  <c r="M43" i="4"/>
  <c r="AA27" i="10" s="1"/>
  <c r="M48" i="4"/>
  <c r="AA20" i="10" s="1"/>
  <c r="C48" i="10" s="1"/>
  <c r="D48" i="10" s="1"/>
  <c r="E48" i="10" s="1"/>
  <c r="F48" i="10" s="1"/>
  <c r="G48" i="10" s="1"/>
  <c r="H48" i="10" s="1"/>
  <c r="I48" i="10" s="1"/>
  <c r="J48" i="10" s="1"/>
  <c r="K48" i="10" s="1"/>
  <c r="L48" i="10" s="1"/>
  <c r="M48" i="10" s="1"/>
  <c r="N48" i="10" s="1"/>
  <c r="M47" i="4"/>
  <c r="AA19" i="10" s="1"/>
  <c r="C12" i="10" s="1"/>
  <c r="D12" i="10" s="1"/>
  <c r="E12" i="10" s="1"/>
  <c r="F12" i="10" s="1"/>
  <c r="G12" i="10" s="1"/>
  <c r="H12" i="10" s="1"/>
  <c r="I12" i="10" s="1"/>
  <c r="J12" i="10" s="1"/>
  <c r="K12" i="10" s="1"/>
  <c r="L12" i="10" s="1"/>
  <c r="M12" i="10" s="1"/>
  <c r="N12" i="10" s="1"/>
  <c r="M52" i="4"/>
  <c r="AA22" i="10" s="1"/>
  <c r="C122" i="10" s="1"/>
  <c r="D122" i="10" s="1"/>
  <c r="E122" i="10" s="1"/>
  <c r="F122" i="10" s="1"/>
  <c r="G122" i="10" s="1"/>
  <c r="H122" i="10" s="1"/>
  <c r="I122" i="10" s="1"/>
  <c r="J122" i="10" s="1"/>
  <c r="K122" i="10" s="1"/>
  <c r="L122" i="10" s="1"/>
  <c r="M122" i="10" s="1"/>
  <c r="N122" i="10" s="1"/>
  <c r="M44" i="4"/>
  <c r="AA28" i="10" s="1"/>
  <c r="C338" i="10" s="1"/>
  <c r="D338" i="10" s="1"/>
  <c r="E338" i="10" s="1"/>
  <c r="F338" i="10" s="1"/>
  <c r="G338" i="10" s="1"/>
  <c r="H338" i="10" s="1"/>
  <c r="I338" i="10" s="1"/>
  <c r="J338" i="10" s="1"/>
  <c r="K338" i="10" s="1"/>
  <c r="L338" i="10" s="1"/>
  <c r="M338" i="10" s="1"/>
  <c r="N338" i="10" s="1"/>
  <c r="F36" i="4"/>
  <c r="E19" i="12"/>
  <c r="C36" i="12" s="1"/>
  <c r="I19" i="12"/>
  <c r="G36" i="12" s="1"/>
  <c r="I18" i="12"/>
  <c r="I15" i="12"/>
  <c r="I16" i="12" s="1"/>
  <c r="O19" i="12"/>
  <c r="M36" i="12" s="1"/>
  <c r="O15" i="12"/>
  <c r="O16" i="12" s="1"/>
  <c r="L52" i="4"/>
  <c r="Z22" i="10" s="1"/>
  <c r="C121" i="10" s="1"/>
  <c r="D121" i="10" s="1"/>
  <c r="E121" i="10" s="1"/>
  <c r="F121" i="10" s="1"/>
  <c r="G121" i="10" s="1"/>
  <c r="H121" i="10" s="1"/>
  <c r="I121" i="10" s="1"/>
  <c r="J121" i="10" s="1"/>
  <c r="K121" i="10" s="1"/>
  <c r="L121" i="10" s="1"/>
  <c r="M121" i="10" s="1"/>
  <c r="N121" i="10" s="1"/>
  <c r="L49" i="4"/>
  <c r="Z21" i="10" s="1"/>
  <c r="C84" i="10" s="1"/>
  <c r="C342" i="10"/>
  <c r="D342" i="10" s="1"/>
  <c r="E342" i="10" s="1"/>
  <c r="F342" i="10" s="1"/>
  <c r="G342" i="10" s="1"/>
  <c r="H342" i="10" s="1"/>
  <c r="I342" i="10" s="1"/>
  <c r="J342" i="10" s="1"/>
  <c r="K342" i="10" s="1"/>
  <c r="L342" i="10" s="1"/>
  <c r="M342" i="10" s="1"/>
  <c r="N342" i="10" s="1"/>
  <c r="C306" i="10"/>
  <c r="C270" i="10"/>
  <c r="D270" i="10" s="1"/>
  <c r="E270" i="10" s="1"/>
  <c r="F270" i="10" s="1"/>
  <c r="G270" i="10" s="1"/>
  <c r="H270" i="10" s="1"/>
  <c r="I270" i="10" s="1"/>
  <c r="J270" i="10" s="1"/>
  <c r="K270" i="10" s="1"/>
  <c r="L270" i="10" s="1"/>
  <c r="M270" i="10" s="1"/>
  <c r="N270" i="10" s="1"/>
  <c r="C234" i="10"/>
  <c r="D234" i="10" s="1"/>
  <c r="E234" i="10" s="1"/>
  <c r="F234" i="10" s="1"/>
  <c r="G234" i="10" s="1"/>
  <c r="H234" i="10" s="1"/>
  <c r="I234" i="10" s="1"/>
  <c r="J234" i="10" s="1"/>
  <c r="K234" i="10" s="1"/>
  <c r="L234" i="10" s="1"/>
  <c r="M234" i="10" s="1"/>
  <c r="N234" i="10" s="1"/>
  <c r="C52" i="10"/>
  <c r="D52" i="10" s="1"/>
  <c r="E52" i="10" s="1"/>
  <c r="F52" i="10" s="1"/>
  <c r="G52" i="10" s="1"/>
  <c r="H52" i="10" s="1"/>
  <c r="I52" i="10" s="1"/>
  <c r="J52" i="10" s="1"/>
  <c r="K52" i="10" s="1"/>
  <c r="L52" i="10" s="1"/>
  <c r="M52" i="10" s="1"/>
  <c r="N52" i="10" s="1"/>
  <c r="C16" i="10"/>
  <c r="D16" i="10" s="1"/>
  <c r="E16" i="10" s="1"/>
  <c r="F16" i="10" s="1"/>
  <c r="G16" i="10" s="1"/>
  <c r="H16" i="10" s="1"/>
  <c r="I16" i="10" s="1"/>
  <c r="J16" i="10" s="1"/>
  <c r="K16" i="10" s="1"/>
  <c r="L16" i="10" s="1"/>
  <c r="M16" i="10" s="1"/>
  <c r="N16" i="10" s="1"/>
  <c r="S29" i="10"/>
  <c r="K46" i="4"/>
  <c r="Y29" i="10" s="1"/>
  <c r="C372" i="10" s="1"/>
  <c r="N46" i="4"/>
  <c r="AB29" i="10" s="1"/>
  <c r="C375" i="10" s="1"/>
  <c r="D375" i="10" s="1"/>
  <c r="E375" i="10" s="1"/>
  <c r="F375" i="10" s="1"/>
  <c r="G375" i="10" s="1"/>
  <c r="H375" i="10" s="1"/>
  <c r="I375" i="10" s="1"/>
  <c r="J375" i="10" s="1"/>
  <c r="K375" i="10" s="1"/>
  <c r="L375" i="10" s="1"/>
  <c r="M375" i="10" s="1"/>
  <c r="N375" i="10" s="1"/>
  <c r="S20" i="10"/>
  <c r="K48" i="4"/>
  <c r="Y20" i="10" s="1"/>
  <c r="G20" i="15"/>
  <c r="G14" i="15"/>
  <c r="G18" i="15"/>
  <c r="G17" i="15"/>
  <c r="G15" i="15"/>
  <c r="G13" i="15"/>
  <c r="H19" i="12"/>
  <c r="F36" i="12" s="1"/>
  <c r="H18" i="12"/>
  <c r="N19" i="12"/>
  <c r="F19" i="12"/>
  <c r="K19" i="12"/>
  <c r="M19" i="12"/>
  <c r="K36" i="12" s="1"/>
  <c r="O43" i="4"/>
  <c r="D96" i="4" s="1"/>
  <c r="D117" i="4" s="1"/>
  <c r="D185" i="11" s="1"/>
  <c r="E185" i="11" s="1"/>
  <c r="F185" i="11" s="1"/>
  <c r="G185" i="11" s="1"/>
  <c r="H185" i="11" s="1"/>
  <c r="I185" i="11" s="1"/>
  <c r="J185" i="11" s="1"/>
  <c r="K185" i="11" s="1"/>
  <c r="L185" i="11" s="1"/>
  <c r="M185" i="11" s="1"/>
  <c r="N185" i="11" s="1"/>
  <c r="O185" i="11" s="1"/>
  <c r="O47" i="4"/>
  <c r="O44" i="4"/>
  <c r="D97" i="4" s="1"/>
  <c r="D118" i="4" s="1"/>
  <c r="D206" i="11" s="1"/>
  <c r="E206" i="11" s="1"/>
  <c r="F206" i="11" s="1"/>
  <c r="G206" i="11" s="1"/>
  <c r="H206" i="11" s="1"/>
  <c r="I206" i="11" s="1"/>
  <c r="J206" i="11" s="1"/>
  <c r="K206" i="11" s="1"/>
  <c r="L206" i="11" s="1"/>
  <c r="M206" i="11" s="1"/>
  <c r="N206" i="11" s="1"/>
  <c r="O206" i="11" s="1"/>
  <c r="O48" i="4"/>
  <c r="D101" i="4" s="1"/>
  <c r="D110" i="4" s="1"/>
  <c r="D38" i="11" s="1"/>
  <c r="E38" i="11" s="1"/>
  <c r="F38" i="11" s="1"/>
  <c r="G38" i="11" s="1"/>
  <c r="H38" i="11" s="1"/>
  <c r="I38" i="11" s="1"/>
  <c r="J38" i="11" s="1"/>
  <c r="K38" i="11" s="1"/>
  <c r="L38" i="11" s="1"/>
  <c r="M38" i="11" s="1"/>
  <c r="N38" i="11" s="1"/>
  <c r="O38" i="11" s="1"/>
  <c r="O52" i="4"/>
  <c r="O45" i="4"/>
  <c r="D98" i="4" s="1"/>
  <c r="D116" i="4" s="1"/>
  <c r="D164" i="11" s="1"/>
  <c r="E164" i="11" s="1"/>
  <c r="F164" i="11" s="1"/>
  <c r="G164" i="11" s="1"/>
  <c r="H164" i="11" s="1"/>
  <c r="I164" i="11" s="1"/>
  <c r="J164" i="11" s="1"/>
  <c r="K164" i="11" s="1"/>
  <c r="L164" i="11" s="1"/>
  <c r="M164" i="11" s="1"/>
  <c r="N164" i="11" s="1"/>
  <c r="O164" i="11" s="1"/>
  <c r="O49" i="4"/>
  <c r="D102" i="4" s="1"/>
  <c r="D111" i="4" s="1"/>
  <c r="D59" i="11" s="1"/>
  <c r="E59" i="11" s="1"/>
  <c r="F59" i="11" s="1"/>
  <c r="G59" i="11" s="1"/>
  <c r="H59" i="11" s="1"/>
  <c r="I59" i="11" s="1"/>
  <c r="J59" i="11" s="1"/>
  <c r="K59" i="11" s="1"/>
  <c r="L59" i="11" s="1"/>
  <c r="M59" i="11" s="1"/>
  <c r="N59" i="11" s="1"/>
  <c r="O59" i="11" s="1"/>
  <c r="O51" i="4"/>
  <c r="D104" i="4" s="1"/>
  <c r="D114" i="4" s="1"/>
  <c r="D122" i="11" s="1"/>
  <c r="E122" i="11" s="1"/>
  <c r="F122" i="11" s="1"/>
  <c r="G122" i="11" s="1"/>
  <c r="H122" i="11" s="1"/>
  <c r="I122" i="11" s="1"/>
  <c r="J122" i="11" s="1"/>
  <c r="K122" i="11" s="1"/>
  <c r="L122" i="11" s="1"/>
  <c r="M122" i="11" s="1"/>
  <c r="N122" i="11" s="1"/>
  <c r="O122" i="11" s="1"/>
  <c r="O42" i="4"/>
  <c r="D95" i="4" s="1"/>
  <c r="D115" i="4" s="1"/>
  <c r="D143" i="11" s="1"/>
  <c r="E143" i="11" s="1"/>
  <c r="F143" i="11" s="1"/>
  <c r="G143" i="11" s="1"/>
  <c r="H143" i="11" s="1"/>
  <c r="I143" i="11" s="1"/>
  <c r="J143" i="11" s="1"/>
  <c r="K143" i="11" s="1"/>
  <c r="L143" i="11" s="1"/>
  <c r="M143" i="11" s="1"/>
  <c r="N143" i="11" s="1"/>
  <c r="O143" i="11" s="1"/>
  <c r="O46" i="4"/>
  <c r="D99" i="4" s="1"/>
  <c r="D119" i="4" s="1"/>
  <c r="D227" i="11" s="1"/>
  <c r="E227" i="11" s="1"/>
  <c r="F227" i="11" s="1"/>
  <c r="G227" i="11" s="1"/>
  <c r="H227" i="11" s="1"/>
  <c r="I227" i="11" s="1"/>
  <c r="J227" i="11" s="1"/>
  <c r="K227" i="11" s="1"/>
  <c r="L227" i="11" s="1"/>
  <c r="M227" i="11" s="1"/>
  <c r="N227" i="11" s="1"/>
  <c r="O227" i="11" s="1"/>
  <c r="C53" i="10"/>
  <c r="D53" i="10" s="1"/>
  <c r="E53" i="10" s="1"/>
  <c r="F53" i="10" s="1"/>
  <c r="G53" i="10" s="1"/>
  <c r="H53" i="10" s="1"/>
  <c r="I53" i="10" s="1"/>
  <c r="J53" i="10" s="1"/>
  <c r="K53" i="10" s="1"/>
  <c r="L53" i="10" s="1"/>
  <c r="M53" i="10" s="1"/>
  <c r="N53" i="10" s="1"/>
  <c r="C127" i="10"/>
  <c r="D127" i="10" s="1"/>
  <c r="E127" i="10" s="1"/>
  <c r="F127" i="10" s="1"/>
  <c r="G127" i="10" s="1"/>
  <c r="H127" i="10" s="1"/>
  <c r="I127" i="10" s="1"/>
  <c r="J127" i="10" s="1"/>
  <c r="K127" i="10" s="1"/>
  <c r="L127" i="10" s="1"/>
  <c r="M127" i="10" s="1"/>
  <c r="N127" i="10" s="1"/>
  <c r="G138" i="4"/>
  <c r="G134" i="4"/>
  <c r="E98" i="4"/>
  <c r="E102" i="4"/>
  <c r="E95" i="4"/>
  <c r="D19" i="11" s="1"/>
  <c r="E99" i="4"/>
  <c r="E103" i="4"/>
  <c r="E96" i="4"/>
  <c r="E100" i="4"/>
  <c r="E104" i="4"/>
  <c r="E101" i="4"/>
  <c r="C19" i="22" l="1"/>
  <c r="B126" i="8"/>
  <c r="D40" i="11"/>
  <c r="E19" i="11"/>
  <c r="F19" i="11" s="1"/>
  <c r="G19" i="11" s="1"/>
  <c r="H19" i="11" s="1"/>
  <c r="I19" i="11" s="1"/>
  <c r="J19" i="11" s="1"/>
  <c r="K19" i="11" s="1"/>
  <c r="L19" i="11" s="1"/>
  <c r="M19" i="11" s="1"/>
  <c r="N19" i="11" s="1"/>
  <c r="O19" i="11" s="1"/>
  <c r="C371" i="10"/>
  <c r="C387" i="10" s="1"/>
  <c r="C376" i="10"/>
  <c r="D372" i="10"/>
  <c r="E36" i="12"/>
  <c r="E34" i="12" s="1"/>
  <c r="G21" i="12"/>
  <c r="G23" i="12" s="1"/>
  <c r="E23" i="12"/>
  <c r="C92" i="10"/>
  <c r="D91" i="10"/>
  <c r="C58" i="14"/>
  <c r="C57" i="14" s="1"/>
  <c r="C33" i="14"/>
  <c r="F193" i="10"/>
  <c r="M35" i="12"/>
  <c r="M34" i="12" s="1"/>
  <c r="O21" i="12"/>
  <c r="O23" i="12" s="1"/>
  <c r="D18" i="10"/>
  <c r="C19" i="10"/>
  <c r="C335" i="10"/>
  <c r="C351" i="10" s="1"/>
  <c r="D336" i="10"/>
  <c r="C340" i="10"/>
  <c r="E300" i="10"/>
  <c r="C119" i="10"/>
  <c r="C135" i="10" s="1"/>
  <c r="I36" i="12"/>
  <c r="I34" i="12" s="1"/>
  <c r="K21" i="12"/>
  <c r="K23" i="12" s="1"/>
  <c r="D306" i="10"/>
  <c r="E306" i="10" s="1"/>
  <c r="F306" i="10" s="1"/>
  <c r="G306" i="10" s="1"/>
  <c r="H306" i="10" s="1"/>
  <c r="I306" i="10" s="1"/>
  <c r="J306" i="10" s="1"/>
  <c r="K306" i="10" s="1"/>
  <c r="L306" i="10" s="1"/>
  <c r="M306" i="10" s="1"/>
  <c r="N306" i="10" s="1"/>
  <c r="C194" i="10"/>
  <c r="AC24" i="10"/>
  <c r="D303" i="10"/>
  <c r="C273" i="10"/>
  <c r="D272" i="10"/>
  <c r="D54" i="10"/>
  <c r="C55" i="10"/>
  <c r="AC28" i="10"/>
  <c r="G170" i="10"/>
  <c r="H154" i="10"/>
  <c r="F72" i="12"/>
  <c r="C21" i="2"/>
  <c r="B39" i="2"/>
  <c r="B44" i="2" s="1"/>
  <c r="D134" i="10"/>
  <c r="AC19" i="10"/>
  <c r="C160" i="10"/>
  <c r="F308" i="10"/>
  <c r="M386" i="10"/>
  <c r="N386" i="10" s="1"/>
  <c r="E156" i="10"/>
  <c r="D155" i="10"/>
  <c r="D171" i="10" s="1"/>
  <c r="J314" i="10"/>
  <c r="D108" i="4"/>
  <c r="D105" i="4"/>
  <c r="D112" i="4" s="1"/>
  <c r="D80" i="11" s="1"/>
  <c r="E80" i="11" s="1"/>
  <c r="F80" i="11" s="1"/>
  <c r="G80" i="11" s="1"/>
  <c r="H80" i="11" s="1"/>
  <c r="I80" i="11" s="1"/>
  <c r="J80" i="11" s="1"/>
  <c r="K80" i="11" s="1"/>
  <c r="L80" i="11" s="1"/>
  <c r="M80" i="11" s="1"/>
  <c r="N80" i="11" s="1"/>
  <c r="O80" i="11" s="1"/>
  <c r="L36" i="12"/>
  <c r="L34" i="12" s="1"/>
  <c r="N21" i="12"/>
  <c r="N23" i="12" s="1"/>
  <c r="D84" i="10"/>
  <c r="C82" i="10"/>
  <c r="C98" i="10" s="1"/>
  <c r="K35" i="12"/>
  <c r="K34" i="12" s="1"/>
  <c r="M21" i="12"/>
  <c r="M23" i="12" s="1"/>
  <c r="D236" i="10"/>
  <c r="D14" i="10"/>
  <c r="C30" i="10"/>
  <c r="G200" i="10"/>
  <c r="E120" i="10"/>
  <c r="D119" i="10"/>
  <c r="D135" i="10" s="1"/>
  <c r="F35" i="12"/>
  <c r="F34" i="12" s="1"/>
  <c r="H21" i="12"/>
  <c r="H23" i="12" s="1"/>
  <c r="AC20" i="10"/>
  <c r="C46" i="10"/>
  <c r="I21" i="12"/>
  <c r="I23" i="12" s="1"/>
  <c r="G35" i="12"/>
  <c r="G34" i="12" s="1"/>
  <c r="C302" i="10"/>
  <c r="AC27" i="10"/>
  <c r="D164" i="10"/>
  <c r="C165" i="10"/>
  <c r="G206" i="10"/>
  <c r="H83" i="10"/>
  <c r="E195" i="10"/>
  <c r="C87" i="10"/>
  <c r="J192" i="10"/>
  <c r="E9" i="11"/>
  <c r="F9" i="11" s="1"/>
  <c r="G9" i="11" s="1"/>
  <c r="H9" i="11" s="1"/>
  <c r="I9" i="11" s="1"/>
  <c r="J9" i="11" s="1"/>
  <c r="K9" i="11" s="1"/>
  <c r="L9" i="11" s="1"/>
  <c r="M9" i="11" s="1"/>
  <c r="N9" i="11" s="1"/>
  <c r="O9" i="11" s="1"/>
  <c r="D4" i="14"/>
  <c r="D100" i="4"/>
  <c r="D109" i="4"/>
  <c r="D17" i="11" s="1"/>
  <c r="E17" i="11" s="1"/>
  <c r="F17" i="11" s="1"/>
  <c r="G17" i="11" s="1"/>
  <c r="H17" i="11" s="1"/>
  <c r="I17" i="11" s="1"/>
  <c r="J17" i="11" s="1"/>
  <c r="K17" i="11" s="1"/>
  <c r="L17" i="11" s="1"/>
  <c r="M17" i="11" s="1"/>
  <c r="N17" i="11" s="1"/>
  <c r="O17" i="11" s="1"/>
  <c r="D36" i="12"/>
  <c r="D34" i="12" s="1"/>
  <c r="F21" i="12"/>
  <c r="F23" i="12" s="1"/>
  <c r="B36" i="12"/>
  <c r="AC26" i="10"/>
  <c r="C264" i="10"/>
  <c r="C228" i="10"/>
  <c r="AC25" i="10"/>
  <c r="P16" i="12"/>
  <c r="C34" i="12"/>
  <c r="B35" i="12"/>
  <c r="B34" i="12" s="1"/>
  <c r="B39" i="12" s="1"/>
  <c r="D128" i="10"/>
  <c r="C129" i="10"/>
  <c r="D344" i="10"/>
  <c r="C345" i="10"/>
  <c r="C381" i="10"/>
  <c r="D380" i="10"/>
  <c r="AC21" i="10"/>
  <c r="C60" i="8"/>
  <c r="AC22" i="10"/>
  <c r="D10" i="10"/>
  <c r="C9" i="10"/>
  <c r="C25" i="10" s="1"/>
  <c r="C26" i="14"/>
  <c r="C52" i="14"/>
  <c r="C50" i="14" s="1"/>
  <c r="AC23" i="10"/>
  <c r="E242" i="10"/>
  <c r="C124" i="10"/>
  <c r="C155" i="10"/>
  <c r="C171" i="10" s="1"/>
  <c r="H24" i="10"/>
  <c r="I8" i="10"/>
  <c r="G81" i="10"/>
  <c r="F97" i="10"/>
  <c r="K192" i="10" l="1"/>
  <c r="L57" i="14"/>
  <c r="F57" i="14"/>
  <c r="M57" i="14"/>
  <c r="D57" i="14"/>
  <c r="N57" i="14"/>
  <c r="C59" i="14"/>
  <c r="I57" i="14"/>
  <c r="J57" i="14"/>
  <c r="J59" i="14" s="1"/>
  <c r="G57" i="14"/>
  <c r="H57" i="14"/>
  <c r="E57" i="14"/>
  <c r="K57" i="14"/>
  <c r="K59" i="14" s="1"/>
  <c r="D376" i="10"/>
  <c r="C392" i="10"/>
  <c r="H206" i="10"/>
  <c r="D302" i="10"/>
  <c r="C299" i="10"/>
  <c r="C315" i="10" s="1"/>
  <c r="C176" i="10"/>
  <c r="C181" i="10" s="1"/>
  <c r="D160" i="10"/>
  <c r="E272" i="10"/>
  <c r="D194" i="10"/>
  <c r="C191" i="10"/>
  <c r="C207" i="10" s="1"/>
  <c r="C196" i="10"/>
  <c r="C201" i="10"/>
  <c r="D340" i="10"/>
  <c r="C356" i="10"/>
  <c r="D19" i="10"/>
  <c r="E18" i="10"/>
  <c r="E91" i="10"/>
  <c r="D92" i="10"/>
  <c r="I24" i="10"/>
  <c r="J8" i="10"/>
  <c r="C35" i="10"/>
  <c r="D228" i="10"/>
  <c r="C232" i="10"/>
  <c r="C227" i="10"/>
  <c r="C243" i="10" s="1"/>
  <c r="C4" i="14"/>
  <c r="D5" i="14"/>
  <c r="C5" i="14" s="1"/>
  <c r="D87" i="10"/>
  <c r="C103" i="10"/>
  <c r="E164" i="10"/>
  <c r="D165" i="10"/>
  <c r="C237" i="10"/>
  <c r="C108" i="10"/>
  <c r="C309" i="10"/>
  <c r="C304" i="10"/>
  <c r="D335" i="10"/>
  <c r="D351" i="10" s="1"/>
  <c r="E336" i="10"/>
  <c r="G193" i="10"/>
  <c r="I50" i="14"/>
  <c r="N50" i="14"/>
  <c r="M50" i="14"/>
  <c r="F50" i="14"/>
  <c r="K50" i="14"/>
  <c r="E50" i="14"/>
  <c r="H50" i="14"/>
  <c r="L50" i="14"/>
  <c r="J50" i="14"/>
  <c r="G50" i="14"/>
  <c r="D50" i="14"/>
  <c r="E380" i="10"/>
  <c r="D381" i="10"/>
  <c r="F195" i="10"/>
  <c r="P23" i="12"/>
  <c r="H81" i="10"/>
  <c r="G97" i="10"/>
  <c r="D124" i="10"/>
  <c r="C140" i="10"/>
  <c r="C145" i="10" s="1"/>
  <c r="M26" i="14"/>
  <c r="N26" i="14"/>
  <c r="J26" i="14"/>
  <c r="E26" i="14"/>
  <c r="K26" i="14"/>
  <c r="I26" i="14"/>
  <c r="D26" i="14"/>
  <c r="F26" i="14"/>
  <c r="H26" i="14"/>
  <c r="G26" i="14"/>
  <c r="L26" i="14"/>
  <c r="E128" i="10"/>
  <c r="D129" i="10"/>
  <c r="I83" i="10"/>
  <c r="E119" i="10"/>
  <c r="E135" i="10" s="1"/>
  <c r="F120" i="10"/>
  <c r="E14" i="10"/>
  <c r="D30" i="10"/>
  <c r="K314" i="10"/>
  <c r="C53" i="8"/>
  <c r="C89" i="8" s="1"/>
  <c r="C26" i="2"/>
  <c r="I37" i="12" s="1"/>
  <c r="I39" i="12" s="1"/>
  <c r="B31" i="13" s="1"/>
  <c r="C31" i="13" s="1"/>
  <c r="D31" i="13" s="1"/>
  <c r="E31" i="13" s="1"/>
  <c r="F31" i="13" s="1"/>
  <c r="G31" i="13" s="1"/>
  <c r="H31" i="13" s="1"/>
  <c r="I31" i="13" s="1"/>
  <c r="J31" i="13" s="1"/>
  <c r="K31" i="13" s="1"/>
  <c r="L31" i="13" s="1"/>
  <c r="M31" i="13" s="1"/>
  <c r="C397" i="10"/>
  <c r="F242" i="10"/>
  <c r="D9" i="10"/>
  <c r="D25" i="10" s="1"/>
  <c r="D35" i="10" s="1"/>
  <c r="E10" i="10"/>
  <c r="E344" i="10"/>
  <c r="D345" i="10"/>
  <c r="D264" i="10"/>
  <c r="C263" i="10"/>
  <c r="C279" i="10" s="1"/>
  <c r="C268" i="10"/>
  <c r="C45" i="10"/>
  <c r="C61" i="10" s="1"/>
  <c r="D46" i="10"/>
  <c r="C50" i="10"/>
  <c r="H200" i="10"/>
  <c r="E236" i="10"/>
  <c r="D237" i="10"/>
  <c r="E84" i="10"/>
  <c r="D82" i="10"/>
  <c r="D98" i="10" s="1"/>
  <c r="F156" i="10"/>
  <c r="E155" i="10"/>
  <c r="E171" i="10" s="1"/>
  <c r="G308" i="10"/>
  <c r="E134" i="10"/>
  <c r="H170" i="10"/>
  <c r="I154" i="10"/>
  <c r="E54" i="10"/>
  <c r="D55" i="10"/>
  <c r="E303" i="10"/>
  <c r="D309" i="10"/>
  <c r="F300" i="10"/>
  <c r="C361" i="10"/>
  <c r="N33" i="14"/>
  <c r="N35" i="14" s="1"/>
  <c r="N13" i="14" s="1"/>
  <c r="C382" i="10" s="1"/>
  <c r="D382" i="10" s="1"/>
  <c r="E382" i="10" s="1"/>
  <c r="F382" i="10" s="1"/>
  <c r="G382" i="10" s="1"/>
  <c r="H382" i="10" s="1"/>
  <c r="I382" i="10" s="1"/>
  <c r="J382" i="10" s="1"/>
  <c r="K382" i="10" s="1"/>
  <c r="L382" i="10" s="1"/>
  <c r="M382" i="10" s="1"/>
  <c r="N382" i="10" s="1"/>
  <c r="G33" i="14"/>
  <c r="H33" i="14"/>
  <c r="H35" i="14" s="1"/>
  <c r="H13" i="14" s="1"/>
  <c r="C166" i="10" s="1"/>
  <c r="D166" i="10" s="1"/>
  <c r="E166" i="10" s="1"/>
  <c r="F166" i="10" s="1"/>
  <c r="G166" i="10" s="1"/>
  <c r="H166" i="10" s="1"/>
  <c r="I166" i="10" s="1"/>
  <c r="J166" i="10" s="1"/>
  <c r="K166" i="10" s="1"/>
  <c r="L166" i="10" s="1"/>
  <c r="M166" i="10" s="1"/>
  <c r="N166" i="10" s="1"/>
  <c r="I33" i="14"/>
  <c r="D33" i="14"/>
  <c r="D35" i="14" s="1"/>
  <c r="D13" i="14" s="1"/>
  <c r="C20" i="10" s="1"/>
  <c r="D20" i="10" s="1"/>
  <c r="E20" i="10" s="1"/>
  <c r="F20" i="10" s="1"/>
  <c r="G20" i="10" s="1"/>
  <c r="H20" i="10" s="1"/>
  <c r="I20" i="10" s="1"/>
  <c r="J20" i="10" s="1"/>
  <c r="K20" i="10" s="1"/>
  <c r="L20" i="10" s="1"/>
  <c r="M20" i="10" s="1"/>
  <c r="N20" i="10" s="1"/>
  <c r="M33" i="14"/>
  <c r="M35" i="14" s="1"/>
  <c r="M13" i="14" s="1"/>
  <c r="C346" i="10" s="1"/>
  <c r="D346" i="10" s="1"/>
  <c r="E346" i="10" s="1"/>
  <c r="F346" i="10" s="1"/>
  <c r="G346" i="10" s="1"/>
  <c r="H346" i="10" s="1"/>
  <c r="I346" i="10" s="1"/>
  <c r="J346" i="10" s="1"/>
  <c r="K346" i="10" s="1"/>
  <c r="L346" i="10" s="1"/>
  <c r="M346" i="10" s="1"/>
  <c r="N346" i="10" s="1"/>
  <c r="K33" i="14"/>
  <c r="K35" i="14" s="1"/>
  <c r="K13" i="14" s="1"/>
  <c r="C274" i="10" s="1"/>
  <c r="D274" i="10" s="1"/>
  <c r="E274" i="10" s="1"/>
  <c r="F274" i="10" s="1"/>
  <c r="G274" i="10" s="1"/>
  <c r="H274" i="10" s="1"/>
  <c r="I274" i="10" s="1"/>
  <c r="J274" i="10" s="1"/>
  <c r="K274" i="10" s="1"/>
  <c r="L274" i="10" s="1"/>
  <c r="M274" i="10" s="1"/>
  <c r="N274" i="10" s="1"/>
  <c r="C35" i="14"/>
  <c r="E33" i="14"/>
  <c r="E35" i="14" s="1"/>
  <c r="E13" i="14" s="1"/>
  <c r="C56" i="10" s="1"/>
  <c r="D56" i="10" s="1"/>
  <c r="E56" i="10" s="1"/>
  <c r="F56" i="10" s="1"/>
  <c r="G56" i="10" s="1"/>
  <c r="H56" i="10" s="1"/>
  <c r="I56" i="10" s="1"/>
  <c r="J56" i="10" s="1"/>
  <c r="K56" i="10" s="1"/>
  <c r="L56" i="10" s="1"/>
  <c r="M56" i="10" s="1"/>
  <c r="N56" i="10" s="1"/>
  <c r="L33" i="14"/>
  <c r="L35" i="14" s="1"/>
  <c r="L13" i="14" s="1"/>
  <c r="C310" i="10" s="1"/>
  <c r="D310" i="10" s="1"/>
  <c r="E310" i="10" s="1"/>
  <c r="F310" i="10" s="1"/>
  <c r="G310" i="10" s="1"/>
  <c r="H310" i="10" s="1"/>
  <c r="I310" i="10" s="1"/>
  <c r="J310" i="10" s="1"/>
  <c r="K310" i="10" s="1"/>
  <c r="L310" i="10" s="1"/>
  <c r="M310" i="10" s="1"/>
  <c r="N310" i="10" s="1"/>
  <c r="F33" i="14"/>
  <c r="F35" i="14" s="1"/>
  <c r="F13" i="14" s="1"/>
  <c r="C93" i="10" s="1"/>
  <c r="D93" i="10" s="1"/>
  <c r="E93" i="10" s="1"/>
  <c r="F93" i="10" s="1"/>
  <c r="G93" i="10" s="1"/>
  <c r="H93" i="10" s="1"/>
  <c r="I93" i="10" s="1"/>
  <c r="J93" i="10" s="1"/>
  <c r="K93" i="10" s="1"/>
  <c r="L93" i="10" s="1"/>
  <c r="M93" i="10" s="1"/>
  <c r="N93" i="10" s="1"/>
  <c r="J33" i="14"/>
  <c r="J35" i="14" s="1"/>
  <c r="J13" i="14" s="1"/>
  <c r="C238" i="10" s="1"/>
  <c r="D238" i="10" s="1"/>
  <c r="E238" i="10" s="1"/>
  <c r="F238" i="10" s="1"/>
  <c r="G238" i="10" s="1"/>
  <c r="H238" i="10" s="1"/>
  <c r="I238" i="10" s="1"/>
  <c r="J238" i="10" s="1"/>
  <c r="K238" i="10" s="1"/>
  <c r="L238" i="10" s="1"/>
  <c r="M238" i="10" s="1"/>
  <c r="N238" i="10" s="1"/>
  <c r="P21" i="12"/>
  <c r="D371" i="10"/>
  <c r="D387" i="10" s="1"/>
  <c r="E372" i="10"/>
  <c r="D61" i="11"/>
  <c r="E40" i="11"/>
  <c r="F40" i="11" s="1"/>
  <c r="G40" i="11" s="1"/>
  <c r="H40" i="11" s="1"/>
  <c r="I40" i="11" s="1"/>
  <c r="J40" i="11" s="1"/>
  <c r="K40" i="11" s="1"/>
  <c r="L40" i="11" s="1"/>
  <c r="M40" i="11" s="1"/>
  <c r="N40" i="11" s="1"/>
  <c r="O40" i="11" s="1"/>
  <c r="J83" i="10" l="1"/>
  <c r="E340" i="10"/>
  <c r="D356" i="10"/>
  <c r="D59" i="14"/>
  <c r="D397" i="10"/>
  <c r="G35" i="14"/>
  <c r="G13" i="14" s="1"/>
  <c r="C130" i="10" s="1"/>
  <c r="D130" i="10" s="1"/>
  <c r="E130" i="10" s="1"/>
  <c r="F130" i="10" s="1"/>
  <c r="G130" i="10" s="1"/>
  <c r="H130" i="10" s="1"/>
  <c r="I130" i="10" s="1"/>
  <c r="J130" i="10" s="1"/>
  <c r="K130" i="10" s="1"/>
  <c r="L130" i="10" s="1"/>
  <c r="M130" i="10" s="1"/>
  <c r="N130" i="10" s="1"/>
  <c r="C66" i="10"/>
  <c r="D50" i="10"/>
  <c r="C284" i="10"/>
  <c r="C289" i="10" s="1"/>
  <c r="C257" i="10" s="1"/>
  <c r="D158" i="11" s="1"/>
  <c r="D268" i="10"/>
  <c r="G242" i="10"/>
  <c r="G37" i="12"/>
  <c r="G39" i="12" s="1"/>
  <c r="B29" i="13" s="1"/>
  <c r="C29" i="13" s="1"/>
  <c r="D29" i="13" s="1"/>
  <c r="E29" i="13" s="1"/>
  <c r="F29" i="13" s="1"/>
  <c r="G29" i="13" s="1"/>
  <c r="H29" i="13" s="1"/>
  <c r="I29" i="13" s="1"/>
  <c r="J29" i="13" s="1"/>
  <c r="K29" i="13" s="1"/>
  <c r="L29" i="13" s="1"/>
  <c r="M29" i="13" s="1"/>
  <c r="H37" i="12"/>
  <c r="H39" i="12" s="1"/>
  <c r="B30" i="13" s="1"/>
  <c r="C30" i="13" s="1"/>
  <c r="D30" i="13" s="1"/>
  <c r="E30" i="13" s="1"/>
  <c r="F30" i="13" s="1"/>
  <c r="G30" i="13" s="1"/>
  <c r="H30" i="13" s="1"/>
  <c r="I30" i="13" s="1"/>
  <c r="J30" i="13" s="1"/>
  <c r="K30" i="13" s="1"/>
  <c r="L30" i="13" s="1"/>
  <c r="M30" i="13" s="1"/>
  <c r="K37" i="12"/>
  <c r="K39" i="12" s="1"/>
  <c r="B33" i="13" s="1"/>
  <c r="C33" i="13" s="1"/>
  <c r="D33" i="13" s="1"/>
  <c r="E33" i="13" s="1"/>
  <c r="F33" i="13" s="1"/>
  <c r="G33" i="13" s="1"/>
  <c r="H33" i="13" s="1"/>
  <c r="I33" i="13" s="1"/>
  <c r="J33" i="13" s="1"/>
  <c r="K33" i="13" s="1"/>
  <c r="L33" i="13" s="1"/>
  <c r="M33" i="13" s="1"/>
  <c r="D37" i="12"/>
  <c r="D39" i="12" s="1"/>
  <c r="B26" i="13" s="1"/>
  <c r="C26" i="13" s="1"/>
  <c r="D26" i="13" s="1"/>
  <c r="E26" i="13" s="1"/>
  <c r="F26" i="13" s="1"/>
  <c r="G26" i="13" s="1"/>
  <c r="H26" i="13" s="1"/>
  <c r="I26" i="13" s="1"/>
  <c r="J26" i="13" s="1"/>
  <c r="K26" i="13" s="1"/>
  <c r="L26" i="13" s="1"/>
  <c r="M26" i="13" s="1"/>
  <c r="F37" i="12"/>
  <c r="F39" i="12" s="1"/>
  <c r="B28" i="13" s="1"/>
  <c r="C28" i="13" s="1"/>
  <c r="D28" i="13" s="1"/>
  <c r="E28" i="13" s="1"/>
  <c r="F28" i="13" s="1"/>
  <c r="G28" i="13" s="1"/>
  <c r="H28" i="13" s="1"/>
  <c r="I28" i="13" s="1"/>
  <c r="J28" i="13" s="1"/>
  <c r="K28" i="13" s="1"/>
  <c r="L28" i="13" s="1"/>
  <c r="M28" i="13" s="1"/>
  <c r="M37" i="12"/>
  <c r="M39" i="12" s="1"/>
  <c r="B35" i="13" s="1"/>
  <c r="C35" i="13" s="1"/>
  <c r="D35" i="13" s="1"/>
  <c r="E35" i="13" s="1"/>
  <c r="F35" i="13" s="1"/>
  <c r="G35" i="13" s="1"/>
  <c r="H35" i="13" s="1"/>
  <c r="I35" i="13" s="1"/>
  <c r="J35" i="13" s="1"/>
  <c r="K35" i="13" s="1"/>
  <c r="L35" i="13" s="1"/>
  <c r="M35" i="13" s="1"/>
  <c r="C37" i="12"/>
  <c r="C39" i="12" s="1"/>
  <c r="B25" i="13" s="1"/>
  <c r="C25" i="13" s="1"/>
  <c r="D25" i="13" s="1"/>
  <c r="E25" i="13" s="1"/>
  <c r="F25" i="13" s="1"/>
  <c r="G25" i="13" s="1"/>
  <c r="H25" i="13" s="1"/>
  <c r="I25" i="13" s="1"/>
  <c r="J25" i="13" s="1"/>
  <c r="K25" i="13" s="1"/>
  <c r="L25" i="13" s="1"/>
  <c r="M25" i="13" s="1"/>
  <c r="E37" i="12"/>
  <c r="E39" i="12" s="1"/>
  <c r="B27" i="13" s="1"/>
  <c r="C27" i="13" s="1"/>
  <c r="D27" i="13" s="1"/>
  <c r="E27" i="13" s="1"/>
  <c r="F27" i="13" s="1"/>
  <c r="G27" i="13" s="1"/>
  <c r="H27" i="13" s="1"/>
  <c r="I27" i="13" s="1"/>
  <c r="J27" i="13" s="1"/>
  <c r="K27" i="13" s="1"/>
  <c r="L27" i="13" s="1"/>
  <c r="M27" i="13" s="1"/>
  <c r="L37" i="12"/>
  <c r="L39" i="12" s="1"/>
  <c r="B34" i="13" s="1"/>
  <c r="C34" i="13" s="1"/>
  <c r="D34" i="13" s="1"/>
  <c r="E34" i="13" s="1"/>
  <c r="F34" i="13" s="1"/>
  <c r="G34" i="13" s="1"/>
  <c r="H34" i="13" s="1"/>
  <c r="I34" i="13" s="1"/>
  <c r="J34" i="13" s="1"/>
  <c r="K34" i="13" s="1"/>
  <c r="L34" i="13" s="1"/>
  <c r="J37" i="12"/>
  <c r="J39" i="12" s="1"/>
  <c r="B32" i="13" s="1"/>
  <c r="C32" i="13" s="1"/>
  <c r="D32" i="13" s="1"/>
  <c r="E32" i="13" s="1"/>
  <c r="F32" i="13" s="1"/>
  <c r="G32" i="13" s="1"/>
  <c r="H32" i="13" s="1"/>
  <c r="I32" i="13" s="1"/>
  <c r="J32" i="13" s="1"/>
  <c r="K32" i="13" s="1"/>
  <c r="L32" i="13" s="1"/>
  <c r="M32" i="13" s="1"/>
  <c r="L314" i="10"/>
  <c r="F14" i="10"/>
  <c r="E30" i="10"/>
  <c r="D140" i="10"/>
  <c r="D145" i="10" s="1"/>
  <c r="E124" i="10"/>
  <c r="E381" i="10"/>
  <c r="F380" i="10"/>
  <c r="F336" i="10"/>
  <c r="E335" i="10"/>
  <c r="E351" i="10" s="1"/>
  <c r="E228" i="10"/>
  <c r="D227" i="10"/>
  <c r="D243" i="10" s="1"/>
  <c r="E160" i="10"/>
  <c r="D176" i="10"/>
  <c r="D181" i="10" s="1"/>
  <c r="D392" i="10"/>
  <c r="E376" i="10"/>
  <c r="G59" i="14"/>
  <c r="N59" i="14"/>
  <c r="L59" i="14"/>
  <c r="F54" i="10"/>
  <c r="E55" i="10"/>
  <c r="F134" i="10"/>
  <c r="F236" i="10"/>
  <c r="F344" i="10"/>
  <c r="E345" i="10"/>
  <c r="F119" i="10"/>
  <c r="F135" i="10" s="1"/>
  <c r="G120" i="10"/>
  <c r="D361" i="10"/>
  <c r="E194" i="10"/>
  <c r="D191" i="10"/>
  <c r="D207" i="10" s="1"/>
  <c r="D201" i="10"/>
  <c r="I206" i="10"/>
  <c r="J14" i="14"/>
  <c r="C254" i="10" s="1"/>
  <c r="D254" i="10" s="1"/>
  <c r="E254" i="10" s="1"/>
  <c r="F254" i="10" s="1"/>
  <c r="G254" i="10" s="1"/>
  <c r="H254" i="10" s="1"/>
  <c r="I254" i="10" s="1"/>
  <c r="J254" i="10" s="1"/>
  <c r="K254" i="10" s="1"/>
  <c r="L254" i="10" s="1"/>
  <c r="M254" i="10" s="1"/>
  <c r="N254" i="10" s="1"/>
  <c r="J12" i="14"/>
  <c r="C74" i="14" s="1"/>
  <c r="D74" i="14" s="1"/>
  <c r="E74" i="14" s="1"/>
  <c r="F74" i="14" s="1"/>
  <c r="G74" i="14" s="1"/>
  <c r="H74" i="14" s="1"/>
  <c r="I74" i="14" s="1"/>
  <c r="J74" i="14" s="1"/>
  <c r="K74" i="14" s="1"/>
  <c r="L74" i="14" s="1"/>
  <c r="M74" i="14" s="1"/>
  <c r="N74" i="14" s="1"/>
  <c r="D82" i="11"/>
  <c r="E61" i="11"/>
  <c r="F61" i="11" s="1"/>
  <c r="G61" i="11" s="1"/>
  <c r="H61" i="11" s="1"/>
  <c r="I61" i="11" s="1"/>
  <c r="J61" i="11" s="1"/>
  <c r="K61" i="11" s="1"/>
  <c r="L61" i="11" s="1"/>
  <c r="M61" i="11" s="1"/>
  <c r="N61" i="11" s="1"/>
  <c r="O61" i="11" s="1"/>
  <c r="I35" i="14"/>
  <c r="I13" i="14" s="1"/>
  <c r="C202" i="10" s="1"/>
  <c r="D202" i="10" s="1"/>
  <c r="E202" i="10" s="1"/>
  <c r="F202" i="10" s="1"/>
  <c r="G202" i="10" s="1"/>
  <c r="H202" i="10" s="1"/>
  <c r="I202" i="10" s="1"/>
  <c r="J202" i="10" s="1"/>
  <c r="K202" i="10" s="1"/>
  <c r="L202" i="10" s="1"/>
  <c r="M202" i="10" s="1"/>
  <c r="N202" i="10" s="1"/>
  <c r="J154" i="10"/>
  <c r="I170" i="10"/>
  <c r="C71" i="10"/>
  <c r="D263" i="10"/>
  <c r="D279" i="10" s="1"/>
  <c r="E264" i="10"/>
  <c r="F10" i="10"/>
  <c r="E9" i="10"/>
  <c r="E25" i="10" s="1"/>
  <c r="E35" i="10" s="1"/>
  <c r="H97" i="10"/>
  <c r="I81" i="10"/>
  <c r="G195" i="10"/>
  <c r="C320" i="10"/>
  <c r="D304" i="10"/>
  <c r="J24" i="10"/>
  <c r="K8" i="10"/>
  <c r="F18" i="10"/>
  <c r="E19" i="10"/>
  <c r="E273" i="10"/>
  <c r="F272" i="10"/>
  <c r="C325" i="10"/>
  <c r="E59" i="14"/>
  <c r="I59" i="14"/>
  <c r="M59" i="14"/>
  <c r="G300" i="10"/>
  <c r="G156" i="10"/>
  <c r="F155" i="10"/>
  <c r="F171" i="10" s="1"/>
  <c r="D45" i="10"/>
  <c r="D61" i="10" s="1"/>
  <c r="E46" i="10"/>
  <c r="F164" i="10"/>
  <c r="E165" i="10"/>
  <c r="F91" i="10"/>
  <c r="E92" i="10"/>
  <c r="K14" i="14"/>
  <c r="C290" i="10" s="1"/>
  <c r="D290" i="10" s="1"/>
  <c r="E290" i="10" s="1"/>
  <c r="F290" i="10" s="1"/>
  <c r="G290" i="10" s="1"/>
  <c r="H290" i="10" s="1"/>
  <c r="I290" i="10" s="1"/>
  <c r="J290" i="10" s="1"/>
  <c r="K290" i="10" s="1"/>
  <c r="L290" i="10" s="1"/>
  <c r="M290" i="10" s="1"/>
  <c r="N290" i="10" s="1"/>
  <c r="K12" i="14"/>
  <c r="C75" i="14" s="1"/>
  <c r="D75" i="14" s="1"/>
  <c r="E75" i="14" s="1"/>
  <c r="F75" i="14" s="1"/>
  <c r="G75" i="14" s="1"/>
  <c r="H75" i="14" s="1"/>
  <c r="I75" i="14" s="1"/>
  <c r="J75" i="14" s="1"/>
  <c r="K75" i="14" s="1"/>
  <c r="L75" i="14" s="1"/>
  <c r="M75" i="14" s="1"/>
  <c r="N75" i="14" s="1"/>
  <c r="L192" i="10"/>
  <c r="E371" i="10"/>
  <c r="E387" i="10" s="1"/>
  <c r="F372" i="10"/>
  <c r="F303" i="10"/>
  <c r="H308" i="10"/>
  <c r="E82" i="10"/>
  <c r="E98" i="10" s="1"/>
  <c r="F84" i="10"/>
  <c r="I200" i="10"/>
  <c r="F128" i="10"/>
  <c r="E129" i="10"/>
  <c r="H193" i="10"/>
  <c r="E87" i="10"/>
  <c r="D103" i="10"/>
  <c r="D108" i="10" s="1"/>
  <c r="C248" i="10"/>
  <c r="C253" i="10" s="1"/>
  <c r="C221" i="10" s="1"/>
  <c r="D137" i="11" s="1"/>
  <c r="D232" i="10"/>
  <c r="C212" i="10"/>
  <c r="C217" i="10" s="1"/>
  <c r="D196" i="10"/>
  <c r="D273" i="10"/>
  <c r="E302" i="10"/>
  <c r="E309" i="10" s="1"/>
  <c r="D299" i="10"/>
  <c r="D315" i="10" s="1"/>
  <c r="H59" i="14"/>
  <c r="F59" i="14"/>
  <c r="D140" i="11" l="1"/>
  <c r="D138" i="11"/>
  <c r="D139" i="11"/>
  <c r="D159" i="11"/>
  <c r="D161" i="11"/>
  <c r="D160" i="11"/>
  <c r="H14" i="14"/>
  <c r="C182" i="10" s="1"/>
  <c r="H12" i="14"/>
  <c r="C72" i="14" s="1"/>
  <c r="D72" i="14" s="1"/>
  <c r="E72" i="14" s="1"/>
  <c r="F72" i="14" s="1"/>
  <c r="G72" i="14" s="1"/>
  <c r="H72" i="14" s="1"/>
  <c r="I72" i="14" s="1"/>
  <c r="J72" i="14" s="1"/>
  <c r="K72" i="14" s="1"/>
  <c r="L72" i="14" s="1"/>
  <c r="M72" i="14" s="1"/>
  <c r="N72" i="14" s="1"/>
  <c r="D212" i="10"/>
  <c r="D217" i="10" s="1"/>
  <c r="D185" i="10" s="1"/>
  <c r="E116" i="11" s="1"/>
  <c r="E196" i="10"/>
  <c r="I193" i="10"/>
  <c r="G303" i="10"/>
  <c r="M192" i="10"/>
  <c r="J170" i="10"/>
  <c r="K154" i="10"/>
  <c r="F30" i="10"/>
  <c r="G14" i="10"/>
  <c r="I308" i="10"/>
  <c r="F46" i="10"/>
  <c r="E45" i="10"/>
  <c r="E61" i="10" s="1"/>
  <c r="E140" i="10"/>
  <c r="E145" i="10" s="1"/>
  <c r="F124" i="10"/>
  <c r="D66" i="10"/>
  <c r="E50" i="10"/>
  <c r="F12" i="14"/>
  <c r="C70" i="14" s="1"/>
  <c r="D70" i="14" s="1"/>
  <c r="E70" i="14" s="1"/>
  <c r="F70" i="14" s="1"/>
  <c r="G70" i="14" s="1"/>
  <c r="H70" i="14" s="1"/>
  <c r="I70" i="14" s="1"/>
  <c r="J70" i="14" s="1"/>
  <c r="K70" i="14" s="1"/>
  <c r="L70" i="14" s="1"/>
  <c r="M70" i="14" s="1"/>
  <c r="N70" i="14" s="1"/>
  <c r="F14" i="14"/>
  <c r="C109" i="10" s="1"/>
  <c r="D248" i="10"/>
  <c r="E232" i="10"/>
  <c r="E108" i="10"/>
  <c r="G164" i="10"/>
  <c r="F165" i="10"/>
  <c r="M14" i="14"/>
  <c r="C362" i="10" s="1"/>
  <c r="M12" i="14"/>
  <c r="C77" i="14" s="1"/>
  <c r="D77" i="14" s="1"/>
  <c r="E77" i="14" s="1"/>
  <c r="F77" i="14" s="1"/>
  <c r="G77" i="14" s="1"/>
  <c r="H77" i="14" s="1"/>
  <c r="I77" i="14" s="1"/>
  <c r="J77" i="14" s="1"/>
  <c r="K77" i="14" s="1"/>
  <c r="L77" i="14" s="1"/>
  <c r="M77" i="14" s="1"/>
  <c r="N77" i="14" s="1"/>
  <c r="G272" i="10"/>
  <c r="F273" i="10"/>
  <c r="K24" i="10"/>
  <c r="L8" i="10"/>
  <c r="E263" i="10"/>
  <c r="E279" i="10" s="1"/>
  <c r="F264" i="10"/>
  <c r="E82" i="11"/>
  <c r="F82" i="11" s="1"/>
  <c r="G82" i="11" s="1"/>
  <c r="H82" i="11" s="1"/>
  <c r="I82" i="11" s="1"/>
  <c r="J82" i="11" s="1"/>
  <c r="K82" i="11" s="1"/>
  <c r="L82" i="11" s="1"/>
  <c r="M82" i="11" s="1"/>
  <c r="N82" i="11" s="1"/>
  <c r="O82" i="11" s="1"/>
  <c r="D103" i="11"/>
  <c r="L14" i="14"/>
  <c r="C326" i="10" s="1"/>
  <c r="D326" i="10" s="1"/>
  <c r="E326" i="10" s="1"/>
  <c r="F326" i="10" s="1"/>
  <c r="G326" i="10" s="1"/>
  <c r="H326" i="10" s="1"/>
  <c r="I326" i="10" s="1"/>
  <c r="J326" i="10" s="1"/>
  <c r="K326" i="10" s="1"/>
  <c r="L326" i="10" s="1"/>
  <c r="M326" i="10" s="1"/>
  <c r="N326" i="10" s="1"/>
  <c r="L12" i="14"/>
  <c r="C76" i="14" s="1"/>
  <c r="D76" i="14" s="1"/>
  <c r="E76" i="14" s="1"/>
  <c r="F76" i="14" s="1"/>
  <c r="G76" i="14" s="1"/>
  <c r="H76" i="14" s="1"/>
  <c r="I76" i="14" s="1"/>
  <c r="J76" i="14" s="1"/>
  <c r="K76" i="14" s="1"/>
  <c r="L76" i="14" s="1"/>
  <c r="M76" i="14" s="1"/>
  <c r="N76" i="14" s="1"/>
  <c r="D253" i="10"/>
  <c r="D221" i="10" s="1"/>
  <c r="E137" i="11" s="1"/>
  <c r="G380" i="10"/>
  <c r="F381" i="10"/>
  <c r="E268" i="10"/>
  <c r="D284" i="10"/>
  <c r="D289" i="10" s="1"/>
  <c r="D257" i="10" s="1"/>
  <c r="E158" i="11" s="1"/>
  <c r="K83" i="10"/>
  <c r="J200" i="10"/>
  <c r="H156" i="10"/>
  <c r="G155" i="10"/>
  <c r="G171" i="10" s="1"/>
  <c r="I12" i="14"/>
  <c r="C73" i="14" s="1"/>
  <c r="D73" i="14" s="1"/>
  <c r="E73" i="14" s="1"/>
  <c r="F73" i="14" s="1"/>
  <c r="G73" i="14" s="1"/>
  <c r="H73" i="14" s="1"/>
  <c r="I73" i="14" s="1"/>
  <c r="J73" i="14" s="1"/>
  <c r="K73" i="14" s="1"/>
  <c r="L73" i="14" s="1"/>
  <c r="M73" i="14" s="1"/>
  <c r="N73" i="14" s="1"/>
  <c r="I14" i="14"/>
  <c r="C218" i="10" s="1"/>
  <c r="D218" i="10" s="1"/>
  <c r="E218" i="10" s="1"/>
  <c r="F218" i="10" s="1"/>
  <c r="G218" i="10" s="1"/>
  <c r="H218" i="10" s="1"/>
  <c r="I218" i="10" s="1"/>
  <c r="J218" i="10" s="1"/>
  <c r="K218" i="10" s="1"/>
  <c r="L218" i="10" s="1"/>
  <c r="M218" i="10" s="1"/>
  <c r="N218" i="10" s="1"/>
  <c r="G344" i="10"/>
  <c r="F345" i="10"/>
  <c r="G134" i="10"/>
  <c r="N12" i="14"/>
  <c r="C78" i="14" s="1"/>
  <c r="D78" i="14" s="1"/>
  <c r="E78" i="14" s="1"/>
  <c r="F78" i="14" s="1"/>
  <c r="G78" i="14" s="1"/>
  <c r="H78" i="14" s="1"/>
  <c r="I78" i="14" s="1"/>
  <c r="J78" i="14" s="1"/>
  <c r="K78" i="14" s="1"/>
  <c r="L78" i="14" s="1"/>
  <c r="M78" i="14" s="1"/>
  <c r="N78" i="14" s="1"/>
  <c r="N14" i="14"/>
  <c r="C398" i="10" s="1"/>
  <c r="E227" i="10"/>
  <c r="E243" i="10" s="1"/>
  <c r="F228" i="10"/>
  <c r="F237" i="10" s="1"/>
  <c r="R74" i="8"/>
  <c r="S74" i="8"/>
  <c r="P74" i="8"/>
  <c r="M34" i="13"/>
  <c r="U74" i="8"/>
  <c r="T74" i="8"/>
  <c r="V74" i="8"/>
  <c r="W74" i="8"/>
  <c r="Q74" i="8"/>
  <c r="F340" i="10"/>
  <c r="E356" i="10"/>
  <c r="E361" i="10" s="1"/>
  <c r="F92" i="10"/>
  <c r="G91" i="10"/>
  <c r="H300" i="10"/>
  <c r="E14" i="14"/>
  <c r="C72" i="10" s="1"/>
  <c r="D72" i="10" s="1"/>
  <c r="E72" i="10" s="1"/>
  <c r="F72" i="10" s="1"/>
  <c r="G72" i="10" s="1"/>
  <c r="H72" i="10" s="1"/>
  <c r="I72" i="10" s="1"/>
  <c r="J72" i="10" s="1"/>
  <c r="K72" i="10" s="1"/>
  <c r="L72" i="10" s="1"/>
  <c r="M72" i="10" s="1"/>
  <c r="N72" i="10" s="1"/>
  <c r="E12" i="14"/>
  <c r="C69" i="14" s="1"/>
  <c r="D69" i="14" s="1"/>
  <c r="E69" i="14" s="1"/>
  <c r="F69" i="14" s="1"/>
  <c r="G69" i="14" s="1"/>
  <c r="H69" i="14" s="1"/>
  <c r="I69" i="14" s="1"/>
  <c r="J69" i="14" s="1"/>
  <c r="K69" i="14" s="1"/>
  <c r="L69" i="14" s="1"/>
  <c r="M69" i="14" s="1"/>
  <c r="N69" i="14" s="1"/>
  <c r="H195" i="10"/>
  <c r="G119" i="10"/>
  <c r="G135" i="10" s="1"/>
  <c r="H120" i="10"/>
  <c r="E237" i="10"/>
  <c r="G12" i="14"/>
  <c r="C71" i="14" s="1"/>
  <c r="D71" i="14" s="1"/>
  <c r="E71" i="14" s="1"/>
  <c r="F71" i="14" s="1"/>
  <c r="G71" i="14" s="1"/>
  <c r="H71" i="14" s="1"/>
  <c r="I71" i="14" s="1"/>
  <c r="J71" i="14" s="1"/>
  <c r="K71" i="14" s="1"/>
  <c r="L71" i="14" s="1"/>
  <c r="M71" i="14" s="1"/>
  <c r="N71" i="14" s="1"/>
  <c r="G14" i="14"/>
  <c r="C146" i="10" s="1"/>
  <c r="F160" i="10"/>
  <c r="E176" i="10"/>
  <c r="E181" i="10" s="1"/>
  <c r="F302" i="10"/>
  <c r="E299" i="10"/>
  <c r="E315" i="10" s="1"/>
  <c r="E103" i="10"/>
  <c r="F87" i="10"/>
  <c r="G128" i="10"/>
  <c r="F129" i="10"/>
  <c r="G84" i="10"/>
  <c r="F82" i="10"/>
  <c r="F98" i="10" s="1"/>
  <c r="F371" i="10"/>
  <c r="F387" i="10" s="1"/>
  <c r="G372" i="10"/>
  <c r="D71" i="10"/>
  <c r="C293" i="10"/>
  <c r="D179" i="11" s="1"/>
  <c r="F19" i="10"/>
  <c r="G18" i="10"/>
  <c r="D320" i="10"/>
  <c r="D325" i="10" s="1"/>
  <c r="D293" i="10" s="1"/>
  <c r="E179" i="11" s="1"/>
  <c r="E304" i="10"/>
  <c r="J81" i="10"/>
  <c r="I97" i="10"/>
  <c r="G10" i="10"/>
  <c r="F9" i="10"/>
  <c r="F25" i="10" s="1"/>
  <c r="F35" i="10" s="1"/>
  <c r="J206" i="10"/>
  <c r="F194" i="10"/>
  <c r="E191" i="10"/>
  <c r="E207" i="10" s="1"/>
  <c r="E201" i="10"/>
  <c r="G236" i="10"/>
  <c r="G54" i="10"/>
  <c r="F55" i="10"/>
  <c r="F376" i="10"/>
  <c r="E392" i="10"/>
  <c r="E397" i="10" s="1"/>
  <c r="G336" i="10"/>
  <c r="F335" i="10"/>
  <c r="F351" i="10" s="1"/>
  <c r="M314" i="10"/>
  <c r="N314" i="10" s="1"/>
  <c r="H242" i="10"/>
  <c r="D14" i="14"/>
  <c r="C36" i="10" s="1"/>
  <c r="D12" i="14"/>
  <c r="C68" i="14" s="1"/>
  <c r="D68" i="14" s="1"/>
  <c r="E68" i="14" s="1"/>
  <c r="F68" i="14" s="1"/>
  <c r="G68" i="14" s="1"/>
  <c r="H68" i="14" s="1"/>
  <c r="I68" i="14" s="1"/>
  <c r="J68" i="14" s="1"/>
  <c r="K68" i="14" s="1"/>
  <c r="L68" i="14" s="1"/>
  <c r="M68" i="14" s="1"/>
  <c r="N68" i="14" s="1"/>
  <c r="E118" i="11" l="1"/>
  <c r="E119" i="11"/>
  <c r="E123" i="11" s="1"/>
  <c r="E117" i="11"/>
  <c r="E159" i="11"/>
  <c r="E160" i="11"/>
  <c r="E161" i="11"/>
  <c r="E165" i="11" s="1"/>
  <c r="E182" i="11"/>
  <c r="E186" i="11" s="1"/>
  <c r="E180" i="11"/>
  <c r="E181" i="11"/>
  <c r="G376" i="10"/>
  <c r="F392" i="10"/>
  <c r="H18" i="10"/>
  <c r="G19" i="10"/>
  <c r="G371" i="10"/>
  <c r="G387" i="10" s="1"/>
  <c r="H372" i="10"/>
  <c r="I156" i="10"/>
  <c r="H155" i="10"/>
  <c r="H171" i="10" s="1"/>
  <c r="G381" i="10"/>
  <c r="H380" i="10"/>
  <c r="F140" i="10"/>
  <c r="F145" i="10" s="1"/>
  <c r="G124" i="10"/>
  <c r="D165" i="11"/>
  <c r="F397" i="10"/>
  <c r="H128" i="10"/>
  <c r="G129" i="10"/>
  <c r="G302" i="10"/>
  <c r="F299" i="10"/>
  <c r="F315" i="10" s="1"/>
  <c r="D36" i="10"/>
  <c r="C3" i="10"/>
  <c r="D11" i="11" s="1"/>
  <c r="G194" i="10"/>
  <c r="F191" i="10"/>
  <c r="F207" i="10" s="1"/>
  <c r="F201" i="10"/>
  <c r="G9" i="10"/>
  <c r="G25" i="10" s="1"/>
  <c r="G35" i="10" s="1"/>
  <c r="H10" i="10"/>
  <c r="D39" i="10"/>
  <c r="E32" i="11" s="1"/>
  <c r="H84" i="10"/>
  <c r="G82" i="10"/>
  <c r="G98" i="10" s="1"/>
  <c r="G160" i="10"/>
  <c r="F176" i="10"/>
  <c r="F181" i="10" s="1"/>
  <c r="H119" i="10"/>
  <c r="H135" i="10" s="1"/>
  <c r="I120" i="10"/>
  <c r="I195" i="10"/>
  <c r="F356" i="10"/>
  <c r="F361" i="10" s="1"/>
  <c r="G340" i="10"/>
  <c r="D398" i="10"/>
  <c r="C365" i="10"/>
  <c r="D221" i="11" s="1"/>
  <c r="L83" i="10"/>
  <c r="F263" i="10"/>
  <c r="F279" i="10" s="1"/>
  <c r="G264" i="10"/>
  <c r="D362" i="10"/>
  <c r="C329" i="10"/>
  <c r="D200" i="11" s="1"/>
  <c r="D109" i="10"/>
  <c r="C76" i="10"/>
  <c r="D53" i="11" s="1"/>
  <c r="F309" i="10"/>
  <c r="E212" i="10"/>
  <c r="F196" i="10"/>
  <c r="I242" i="10"/>
  <c r="H236" i="10"/>
  <c r="J308" i="10"/>
  <c r="H303" i="10"/>
  <c r="G309" i="10"/>
  <c r="C39" i="10"/>
  <c r="D32" i="11" s="1"/>
  <c r="F227" i="10"/>
  <c r="F243" i="10" s="1"/>
  <c r="G228" i="10"/>
  <c r="E138" i="11"/>
  <c r="E140" i="11"/>
  <c r="E144" i="11" s="1"/>
  <c r="E139" i="11"/>
  <c r="H272" i="10"/>
  <c r="G273" i="10"/>
  <c r="F232" i="10"/>
  <c r="E248" i="10"/>
  <c r="E253" i="10" s="1"/>
  <c r="E221" i="10" s="1"/>
  <c r="F137" i="11" s="1"/>
  <c r="L154" i="10"/>
  <c r="K170" i="10"/>
  <c r="N192" i="10"/>
  <c r="D146" i="10"/>
  <c r="C113" i="10"/>
  <c r="D74" i="11" s="1"/>
  <c r="H91" i="10"/>
  <c r="G92" i="10"/>
  <c r="H344" i="10"/>
  <c r="G345" i="10"/>
  <c r="E103" i="11"/>
  <c r="F103" i="11" s="1"/>
  <c r="G103" i="11" s="1"/>
  <c r="H103" i="11" s="1"/>
  <c r="I103" i="11" s="1"/>
  <c r="J103" i="11" s="1"/>
  <c r="K103" i="11" s="1"/>
  <c r="L103" i="11" s="1"/>
  <c r="M103" i="11" s="1"/>
  <c r="N103" i="11" s="1"/>
  <c r="O103" i="11" s="1"/>
  <c r="D124" i="11"/>
  <c r="D144" i="11"/>
  <c r="K206" i="10"/>
  <c r="K81" i="10"/>
  <c r="J97" i="10"/>
  <c r="H336" i="10"/>
  <c r="G335" i="10"/>
  <c r="G351" i="10" s="1"/>
  <c r="H54" i="10"/>
  <c r="G55" i="10"/>
  <c r="E217" i="10"/>
  <c r="E185" i="10" s="1"/>
  <c r="F116" i="11" s="1"/>
  <c r="E320" i="10"/>
  <c r="E325" i="10" s="1"/>
  <c r="E293" i="10" s="1"/>
  <c r="F179" i="11" s="1"/>
  <c r="F304" i="10"/>
  <c r="D180" i="11"/>
  <c r="D182" i="11"/>
  <c r="D181" i="11"/>
  <c r="G87" i="10"/>
  <c r="F103" i="10"/>
  <c r="F108" i="10" s="1"/>
  <c r="I300" i="10"/>
  <c r="H134" i="10"/>
  <c r="K200" i="10"/>
  <c r="F268" i="10"/>
  <c r="E284" i="10"/>
  <c r="E289" i="10" s="1"/>
  <c r="E257" i="10" s="1"/>
  <c r="F158" i="11" s="1"/>
  <c r="M8" i="10"/>
  <c r="L24" i="10"/>
  <c r="H164" i="10"/>
  <c r="G165" i="10"/>
  <c r="E66" i="10"/>
  <c r="E71" i="10" s="1"/>
  <c r="E39" i="10" s="1"/>
  <c r="F32" i="11" s="1"/>
  <c r="F50" i="10"/>
  <c r="F45" i="10"/>
  <c r="F61" i="10" s="1"/>
  <c r="G46" i="10"/>
  <c r="H14" i="10"/>
  <c r="G30" i="10"/>
  <c r="J193" i="10"/>
  <c r="D182" i="10"/>
  <c r="C149" i="10"/>
  <c r="D95" i="11" s="1"/>
  <c r="C185" i="10"/>
  <c r="D116" i="11" s="1"/>
  <c r="F161" i="11" l="1"/>
  <c r="F159" i="11"/>
  <c r="F160" i="11"/>
  <c r="F138" i="11"/>
  <c r="F139" i="11"/>
  <c r="F140" i="11"/>
  <c r="F35" i="11"/>
  <c r="F33" i="11"/>
  <c r="F34" i="11"/>
  <c r="F181" i="11"/>
  <c r="F180" i="11"/>
  <c r="F182" i="11"/>
  <c r="F186" i="11" s="1"/>
  <c r="D98" i="11"/>
  <c r="D97" i="11"/>
  <c r="D96" i="11"/>
  <c r="I164" i="10"/>
  <c r="H165" i="10"/>
  <c r="G268" i="10"/>
  <c r="F284" i="10"/>
  <c r="I134" i="10"/>
  <c r="I54" i="10"/>
  <c r="H55" i="10"/>
  <c r="L81" i="10"/>
  <c r="K97" i="10"/>
  <c r="D148" i="11"/>
  <c r="I344" i="10"/>
  <c r="H345" i="10"/>
  <c r="E146" i="10"/>
  <c r="D113" i="10"/>
  <c r="E74" i="11" s="1"/>
  <c r="I236" i="10"/>
  <c r="D201" i="11"/>
  <c r="D203" i="11"/>
  <c r="D202" i="11"/>
  <c r="F289" i="10"/>
  <c r="F257" i="10" s="1"/>
  <c r="G158" i="11" s="1"/>
  <c r="D222" i="11"/>
  <c r="D224" i="11"/>
  <c r="D223" i="11"/>
  <c r="E34" i="11"/>
  <c r="E35" i="11"/>
  <c r="E33" i="11"/>
  <c r="H124" i="10"/>
  <c r="G140" i="10"/>
  <c r="G145" i="10" s="1"/>
  <c r="I380" i="10"/>
  <c r="H381" i="10"/>
  <c r="I372" i="10"/>
  <c r="H371" i="10"/>
  <c r="H387" i="10" s="1"/>
  <c r="E182" i="10"/>
  <c r="D149" i="10"/>
  <c r="E95" i="11" s="1"/>
  <c r="G50" i="10"/>
  <c r="F66" i="10"/>
  <c r="F71" i="10" s="1"/>
  <c r="F39" i="10" s="1"/>
  <c r="G32" i="11" s="1"/>
  <c r="D186" i="11"/>
  <c r="D145" i="11"/>
  <c r="E124" i="11"/>
  <c r="F124" i="11" s="1"/>
  <c r="G124" i="11" s="1"/>
  <c r="H124" i="11" s="1"/>
  <c r="I124" i="11" s="1"/>
  <c r="J124" i="11" s="1"/>
  <c r="K124" i="11" s="1"/>
  <c r="L124" i="11" s="1"/>
  <c r="M124" i="11" s="1"/>
  <c r="N124" i="11" s="1"/>
  <c r="O124" i="11" s="1"/>
  <c r="L170" i="10"/>
  <c r="M154" i="10"/>
  <c r="N154" i="10" s="1"/>
  <c r="G232" i="10"/>
  <c r="F248" i="10"/>
  <c r="F253" i="10" s="1"/>
  <c r="F221" i="10" s="1"/>
  <c r="G137" i="11" s="1"/>
  <c r="E148" i="11"/>
  <c r="D34" i="11"/>
  <c r="D33" i="11"/>
  <c r="D35" i="11"/>
  <c r="K308" i="10"/>
  <c r="E362" i="10"/>
  <c r="D329" i="10"/>
  <c r="E200" i="11" s="1"/>
  <c r="E398" i="10"/>
  <c r="D365" i="10"/>
  <c r="E221" i="11" s="1"/>
  <c r="J195" i="10"/>
  <c r="G176" i="10"/>
  <c r="G181" i="10" s="1"/>
  <c r="H160" i="10"/>
  <c r="H9" i="10"/>
  <c r="H25" i="10" s="1"/>
  <c r="I10" i="10"/>
  <c r="H194" i="10"/>
  <c r="G191" i="10"/>
  <c r="G207" i="10" s="1"/>
  <c r="G201" i="10"/>
  <c r="H302" i="10"/>
  <c r="G299" i="10"/>
  <c r="G315" i="10" s="1"/>
  <c r="H376" i="10"/>
  <c r="G392" i="10"/>
  <c r="G397" i="10" s="1"/>
  <c r="E190" i="11"/>
  <c r="H30" i="10"/>
  <c r="I14" i="10"/>
  <c r="N8" i="10"/>
  <c r="N24" i="10" s="1"/>
  <c r="M24" i="10"/>
  <c r="L200" i="10"/>
  <c r="H87" i="10"/>
  <c r="G103" i="10"/>
  <c r="F119" i="11"/>
  <c r="F123" i="11" s="1"/>
  <c r="F117" i="11"/>
  <c r="F118" i="11"/>
  <c r="I336" i="10"/>
  <c r="H335" i="10"/>
  <c r="H351" i="10" s="1"/>
  <c r="L206" i="10"/>
  <c r="I91" i="10"/>
  <c r="H92" i="10"/>
  <c r="J242" i="10"/>
  <c r="D56" i="11"/>
  <c r="D54" i="11"/>
  <c r="D55" i="11"/>
  <c r="M83" i="10"/>
  <c r="H340" i="10"/>
  <c r="G356" i="10"/>
  <c r="G361" i="10" s="1"/>
  <c r="J120" i="10"/>
  <c r="I119" i="10"/>
  <c r="I135" i="10" s="1"/>
  <c r="G108" i="10"/>
  <c r="D13" i="11"/>
  <c r="D12" i="11"/>
  <c r="D14" i="11"/>
  <c r="E169" i="11"/>
  <c r="D118" i="11"/>
  <c r="D119" i="11"/>
  <c r="D117" i="11"/>
  <c r="K193" i="10"/>
  <c r="H46" i="10"/>
  <c r="G45" i="10"/>
  <c r="G61" i="10" s="1"/>
  <c r="J300" i="10"/>
  <c r="G304" i="10"/>
  <c r="F320" i="10"/>
  <c r="F325" i="10" s="1"/>
  <c r="F293" i="10" s="1"/>
  <c r="G179" i="11" s="1"/>
  <c r="D76" i="11"/>
  <c r="D75" i="11"/>
  <c r="D77" i="11"/>
  <c r="I272" i="10"/>
  <c r="H273" i="10"/>
  <c r="H228" i="10"/>
  <c r="G227" i="10"/>
  <c r="G243" i="10" s="1"/>
  <c r="I303" i="10"/>
  <c r="G237" i="10"/>
  <c r="F212" i="10"/>
  <c r="F217" i="10" s="1"/>
  <c r="F185" i="10" s="1"/>
  <c r="G116" i="11" s="1"/>
  <c r="G196" i="10"/>
  <c r="E109" i="10"/>
  <c r="D76" i="10"/>
  <c r="E53" i="11" s="1"/>
  <c r="H264" i="10"/>
  <c r="G263" i="10"/>
  <c r="G279" i="10" s="1"/>
  <c r="I84" i="10"/>
  <c r="H82" i="10"/>
  <c r="H98" i="10" s="1"/>
  <c r="E36" i="10"/>
  <c r="D3" i="10"/>
  <c r="E11" i="11" s="1"/>
  <c r="I128" i="10"/>
  <c r="H129" i="10"/>
  <c r="D169" i="11"/>
  <c r="J156" i="10"/>
  <c r="I155" i="10"/>
  <c r="I171" i="10" s="1"/>
  <c r="I18" i="10"/>
  <c r="H19" i="10"/>
  <c r="E127" i="11"/>
  <c r="E125" i="11"/>
  <c r="G182" i="11" l="1"/>
  <c r="G181" i="11"/>
  <c r="G180" i="11"/>
  <c r="G140" i="11"/>
  <c r="G144" i="11" s="1"/>
  <c r="G139" i="11"/>
  <c r="G138" i="11"/>
  <c r="G118" i="11"/>
  <c r="G117" i="11"/>
  <c r="G119" i="11"/>
  <c r="G123" i="11" s="1"/>
  <c r="G35" i="11"/>
  <c r="G33" i="11"/>
  <c r="G34" i="11"/>
  <c r="J303" i="10"/>
  <c r="H356" i="10"/>
  <c r="I340" i="10"/>
  <c r="F125" i="11"/>
  <c r="F127" i="11"/>
  <c r="M200" i="10"/>
  <c r="N200" i="10" s="1"/>
  <c r="H392" i="10"/>
  <c r="I376" i="10"/>
  <c r="I302" i="10"/>
  <c r="I309" i="10" s="1"/>
  <c r="H299" i="10"/>
  <c r="H315" i="10" s="1"/>
  <c r="J10" i="10"/>
  <c r="I9" i="10"/>
  <c r="I25" i="10" s="1"/>
  <c r="D39" i="11"/>
  <c r="D41" i="11" s="1"/>
  <c r="G66" i="10"/>
  <c r="H50" i="10"/>
  <c r="J18" i="10"/>
  <c r="I19" i="10"/>
  <c r="F36" i="10"/>
  <c r="E3" i="10"/>
  <c r="F11" i="11" s="1"/>
  <c r="H263" i="10"/>
  <c r="H279" i="10" s="1"/>
  <c r="I264" i="10"/>
  <c r="K300" i="10"/>
  <c r="L193" i="10"/>
  <c r="D60" i="11"/>
  <c r="D62" i="11" s="1"/>
  <c r="D64" i="11"/>
  <c r="D66" i="11" s="1"/>
  <c r="J91" i="10"/>
  <c r="I92" i="10"/>
  <c r="J336" i="10"/>
  <c r="I335" i="10"/>
  <c r="I351" i="10" s="1"/>
  <c r="H35" i="10"/>
  <c r="K195" i="10"/>
  <c r="F362" i="10"/>
  <c r="E329" i="10"/>
  <c r="F200" i="11" s="1"/>
  <c r="D190" i="11"/>
  <c r="E97" i="11"/>
  <c r="E96" i="11"/>
  <c r="E98" i="11"/>
  <c r="E39" i="11"/>
  <c r="E41" i="11" s="1"/>
  <c r="D228" i="11"/>
  <c r="D207" i="11"/>
  <c r="I228" i="10"/>
  <c r="H227" i="10"/>
  <c r="H243" i="10" s="1"/>
  <c r="D81" i="11"/>
  <c r="G71" i="10"/>
  <c r="G39" i="10" s="1"/>
  <c r="H32" i="11" s="1"/>
  <c r="K120" i="10"/>
  <c r="J119" i="10"/>
  <c r="J135" i="10" s="1"/>
  <c r="N83" i="10"/>
  <c r="I87" i="10"/>
  <c r="H103" i="10"/>
  <c r="H108" i="10" s="1"/>
  <c r="G217" i="10"/>
  <c r="G185" i="10" s="1"/>
  <c r="H116" i="11" s="1"/>
  <c r="I160" i="10"/>
  <c r="H176" i="10"/>
  <c r="H181" i="10" s="1"/>
  <c r="E224" i="11"/>
  <c r="E228" i="11" s="1"/>
  <c r="E223" i="11"/>
  <c r="E222" i="11"/>
  <c r="G248" i="10"/>
  <c r="G253" i="10" s="1"/>
  <c r="G221" i="10" s="1"/>
  <c r="H137" i="11" s="1"/>
  <c r="H232" i="10"/>
  <c r="D166" i="11"/>
  <c r="E145" i="11"/>
  <c r="F182" i="10"/>
  <c r="E149" i="10"/>
  <c r="F95" i="11" s="1"/>
  <c r="J380" i="10"/>
  <c r="I381" i="10"/>
  <c r="J344" i="10"/>
  <c r="I345" i="10"/>
  <c r="M81" i="10"/>
  <c r="N81" i="10" s="1"/>
  <c r="L97" i="10"/>
  <c r="J134" i="10"/>
  <c r="J164" i="10"/>
  <c r="I165" i="10"/>
  <c r="D106" i="11"/>
  <c r="D102" i="11"/>
  <c r="D104" i="11" s="1"/>
  <c r="E129" i="11"/>
  <c r="C13" i="13" s="1"/>
  <c r="E46" i="8" s="1"/>
  <c r="J155" i="10"/>
  <c r="J171" i="10" s="1"/>
  <c r="K156" i="10"/>
  <c r="J128" i="10"/>
  <c r="I129" i="10"/>
  <c r="J84" i="10"/>
  <c r="I82" i="10"/>
  <c r="I98" i="10" s="1"/>
  <c r="F109" i="10"/>
  <c r="E76" i="10"/>
  <c r="F53" i="11" s="1"/>
  <c r="H309" i="10"/>
  <c r="H304" i="10"/>
  <c r="G320" i="10"/>
  <c r="G325" i="10" s="1"/>
  <c r="G293" i="10" s="1"/>
  <c r="H179" i="11" s="1"/>
  <c r="H45" i="10"/>
  <c r="H61" i="10" s="1"/>
  <c r="I46" i="10"/>
  <c r="D123" i="11"/>
  <c r="K242" i="10"/>
  <c r="M206" i="10"/>
  <c r="N206" i="10" s="1"/>
  <c r="I30" i="10"/>
  <c r="J14" i="10"/>
  <c r="I194" i="10"/>
  <c r="H191" i="10"/>
  <c r="H207" i="10" s="1"/>
  <c r="H201" i="10"/>
  <c r="F398" i="10"/>
  <c r="E365" i="10"/>
  <c r="F221" i="11" s="1"/>
  <c r="L308" i="10"/>
  <c r="H397" i="10"/>
  <c r="G159" i="11"/>
  <c r="G160" i="11"/>
  <c r="G161" i="11"/>
  <c r="G165" i="11" s="1"/>
  <c r="H237" i="10"/>
  <c r="E77" i="11"/>
  <c r="E81" i="11" s="1"/>
  <c r="E76" i="11"/>
  <c r="E75" i="11"/>
  <c r="F190" i="11"/>
  <c r="F144" i="11"/>
  <c r="E56" i="11"/>
  <c r="E54" i="11"/>
  <c r="E55" i="11"/>
  <c r="E12" i="11"/>
  <c r="E13" i="11"/>
  <c r="E14" i="11"/>
  <c r="G212" i="10"/>
  <c r="H196" i="10"/>
  <c r="J272" i="10"/>
  <c r="I273" i="10"/>
  <c r="D18" i="11"/>
  <c r="D20" i="11" s="1"/>
  <c r="H361" i="10"/>
  <c r="E203" i="11"/>
  <c r="E207" i="11" s="1"/>
  <c r="E201" i="11"/>
  <c r="E202" i="11"/>
  <c r="M170" i="10"/>
  <c r="N170" i="10" s="1"/>
  <c r="I371" i="10"/>
  <c r="I387" i="10" s="1"/>
  <c r="J372" i="10"/>
  <c r="I124" i="10"/>
  <c r="H140" i="10"/>
  <c r="H145" i="10" s="1"/>
  <c r="J236" i="10"/>
  <c r="F146" i="10"/>
  <c r="E113" i="10"/>
  <c r="F74" i="11" s="1"/>
  <c r="D146" i="11"/>
  <c r="J54" i="10"/>
  <c r="I55" i="10"/>
  <c r="G284" i="10"/>
  <c r="G289" i="10" s="1"/>
  <c r="G257" i="10" s="1"/>
  <c r="H158" i="11" s="1"/>
  <c r="H268" i="10"/>
  <c r="F39" i="11"/>
  <c r="F41" i="11" s="1"/>
  <c r="F43" i="11"/>
  <c r="F45" i="11" s="1"/>
  <c r="D9" i="13" s="1"/>
  <c r="F15" i="8" s="1"/>
  <c r="F165" i="11"/>
  <c r="H180" i="11" l="1"/>
  <c r="H182" i="11"/>
  <c r="H186" i="11" s="1"/>
  <c r="H181" i="11"/>
  <c r="H140" i="11"/>
  <c r="H139" i="11"/>
  <c r="H138" i="11"/>
  <c r="H160" i="11"/>
  <c r="H161" i="11"/>
  <c r="H165" i="11" s="1"/>
  <c r="H159" i="11"/>
  <c r="J194" i="10"/>
  <c r="I191" i="10"/>
  <c r="I207" i="10" s="1"/>
  <c r="I201" i="10"/>
  <c r="G109" i="10"/>
  <c r="F76" i="10"/>
  <c r="G53" i="11" s="1"/>
  <c r="H119" i="11"/>
  <c r="H117" i="11"/>
  <c r="H118" i="11"/>
  <c r="J228" i="10"/>
  <c r="I227" i="10"/>
  <c r="I243" i="10" s="1"/>
  <c r="B10" i="13"/>
  <c r="D23" i="8" s="1"/>
  <c r="F169" i="11"/>
  <c r="F76" i="11"/>
  <c r="F75" i="11"/>
  <c r="F77" i="11"/>
  <c r="F81" i="11" s="1"/>
  <c r="F148" i="11"/>
  <c r="G169" i="11"/>
  <c r="F222" i="11"/>
  <c r="F224" i="11"/>
  <c r="F223" i="11"/>
  <c r="H217" i="10"/>
  <c r="H185" i="10" s="1"/>
  <c r="I116" i="11" s="1"/>
  <c r="L242" i="10"/>
  <c r="F56" i="11"/>
  <c r="F55" i="11"/>
  <c r="F54" i="11"/>
  <c r="M97" i="10"/>
  <c r="N97" i="10" s="1"/>
  <c r="F145" i="11"/>
  <c r="G145" i="11" s="1"/>
  <c r="H145" i="11" s="1"/>
  <c r="I145" i="11" s="1"/>
  <c r="J145" i="11" s="1"/>
  <c r="K145" i="11" s="1"/>
  <c r="L145" i="11" s="1"/>
  <c r="M145" i="11" s="1"/>
  <c r="N145" i="11" s="1"/>
  <c r="O145" i="11" s="1"/>
  <c r="E146" i="11"/>
  <c r="E150" i="11" s="1"/>
  <c r="C14" i="13" s="1"/>
  <c r="E53" i="8" s="1"/>
  <c r="I176" i="10"/>
  <c r="I181" i="10" s="1"/>
  <c r="J160" i="10"/>
  <c r="I361" i="10"/>
  <c r="M193" i="10"/>
  <c r="I263" i="10"/>
  <c r="I279" i="10" s="1"/>
  <c r="J264" i="10"/>
  <c r="K10" i="10"/>
  <c r="J9" i="10"/>
  <c r="J25" i="10" s="1"/>
  <c r="G39" i="11"/>
  <c r="G41" i="11" s="1"/>
  <c r="G43" i="11"/>
  <c r="G45" i="11" s="1"/>
  <c r="E9" i="13" s="1"/>
  <c r="G15" i="8" s="1"/>
  <c r="G146" i="10"/>
  <c r="F113" i="10"/>
  <c r="G74" i="11" s="1"/>
  <c r="E18" i="11"/>
  <c r="E20" i="11" s="1"/>
  <c r="E22" i="11" s="1"/>
  <c r="E24" i="11"/>
  <c r="C8" i="13" s="1"/>
  <c r="E7" i="8" s="1"/>
  <c r="K128" i="10"/>
  <c r="J129" i="10"/>
  <c r="K164" i="10"/>
  <c r="J165" i="10"/>
  <c r="E166" i="11"/>
  <c r="D187" i="11"/>
  <c r="D167" i="11"/>
  <c r="H33" i="11"/>
  <c r="H34" i="11"/>
  <c r="H35" i="11"/>
  <c r="E102" i="11"/>
  <c r="E104" i="11" s="1"/>
  <c r="E106" i="11"/>
  <c r="E108" i="11" s="1"/>
  <c r="C12" i="13" s="1"/>
  <c r="E39" i="8" s="1"/>
  <c r="L195" i="10"/>
  <c r="K336" i="10"/>
  <c r="J335" i="10"/>
  <c r="J351" i="10" s="1"/>
  <c r="L300" i="10"/>
  <c r="K18" i="10"/>
  <c r="J19" i="10"/>
  <c r="J340" i="10"/>
  <c r="I356" i="10"/>
  <c r="K303" i="10"/>
  <c r="J55" i="10"/>
  <c r="K54" i="10"/>
  <c r="I237" i="10"/>
  <c r="K372" i="10"/>
  <c r="J371" i="10"/>
  <c r="J387" i="10" s="1"/>
  <c r="K272" i="10"/>
  <c r="E64" i="11"/>
  <c r="E66" i="11" s="1"/>
  <c r="C10" i="13" s="1"/>
  <c r="E23" i="8" s="1"/>
  <c r="E60" i="11"/>
  <c r="E62" i="11" s="1"/>
  <c r="E83" i="11"/>
  <c r="E85" i="11"/>
  <c r="E87" i="11" s="1"/>
  <c r="C11" i="13" s="1"/>
  <c r="E31" i="8" s="1"/>
  <c r="D127" i="11"/>
  <c r="D125" i="11"/>
  <c r="H320" i="10"/>
  <c r="I304" i="10"/>
  <c r="L156" i="10"/>
  <c r="K155" i="10"/>
  <c r="K171" i="10" s="1"/>
  <c r="F98" i="11"/>
  <c r="F97" i="11"/>
  <c r="F96" i="11"/>
  <c r="I232" i="10"/>
  <c r="H248" i="10"/>
  <c r="H253" i="10" s="1"/>
  <c r="H221" i="10" s="1"/>
  <c r="I137" i="11" s="1"/>
  <c r="F201" i="11"/>
  <c r="F202" i="11"/>
  <c r="F203" i="11"/>
  <c r="F207" i="11" s="1"/>
  <c r="F13" i="11"/>
  <c r="F14" i="11"/>
  <c r="F12" i="11"/>
  <c r="I50" i="10"/>
  <c r="H66" i="10"/>
  <c r="H71" i="10" s="1"/>
  <c r="H39" i="10" s="1"/>
  <c r="I32" i="11" s="1"/>
  <c r="D43" i="11"/>
  <c r="D45" i="11" s="1"/>
  <c r="J302" i="10"/>
  <c r="J309" i="10" s="1"/>
  <c r="I299" i="10"/>
  <c r="I315" i="10" s="1"/>
  <c r="G125" i="11"/>
  <c r="G127" i="11"/>
  <c r="J124" i="10"/>
  <c r="I140" i="10"/>
  <c r="I145" i="10" s="1"/>
  <c r="G398" i="10"/>
  <c r="F365" i="10"/>
  <c r="G221" i="11" s="1"/>
  <c r="K380" i="10"/>
  <c r="J381" i="10"/>
  <c r="H325" i="10"/>
  <c r="H293" i="10" s="1"/>
  <c r="I179" i="11" s="1"/>
  <c r="I268" i="10"/>
  <c r="H284" i="10"/>
  <c r="H289" i="10" s="1"/>
  <c r="H257" i="10" s="1"/>
  <c r="I158" i="11" s="1"/>
  <c r="K236" i="10"/>
  <c r="J237" i="10"/>
  <c r="D22" i="11"/>
  <c r="D24" i="11" s="1"/>
  <c r="H212" i="10"/>
  <c r="I196" i="10"/>
  <c r="D150" i="11"/>
  <c r="M308" i="10"/>
  <c r="N308" i="10" s="1"/>
  <c r="J30" i="10"/>
  <c r="K14" i="10"/>
  <c r="I45" i="10"/>
  <c r="I61" i="10" s="1"/>
  <c r="J46" i="10"/>
  <c r="K84" i="10"/>
  <c r="J82" i="10"/>
  <c r="J98" i="10" s="1"/>
  <c r="D108" i="11"/>
  <c r="K134" i="10"/>
  <c r="K344" i="10"/>
  <c r="J345" i="10"/>
  <c r="G182" i="10"/>
  <c r="F149" i="10"/>
  <c r="G95" i="11" s="1"/>
  <c r="I103" i="10"/>
  <c r="I108" i="10" s="1"/>
  <c r="J87" i="10"/>
  <c r="L120" i="10"/>
  <c r="K119" i="10"/>
  <c r="K135" i="10" s="1"/>
  <c r="D85" i="11"/>
  <c r="D87" i="11" s="1"/>
  <c r="D83" i="11"/>
  <c r="E43" i="11"/>
  <c r="E45" i="11" s="1"/>
  <c r="C9" i="13" s="1"/>
  <c r="E15" i="8" s="1"/>
  <c r="G362" i="10"/>
  <c r="F329" i="10"/>
  <c r="G200" i="11" s="1"/>
  <c r="K91" i="10"/>
  <c r="J92" i="10"/>
  <c r="G36" i="10"/>
  <c r="F3" i="10"/>
  <c r="G11" i="11" s="1"/>
  <c r="I35" i="10"/>
  <c r="J376" i="10"/>
  <c r="F129" i="11"/>
  <c r="D13" i="13" s="1"/>
  <c r="F46" i="8" s="1"/>
  <c r="G148" i="11"/>
  <c r="G150" i="11" s="1"/>
  <c r="E14" i="13" s="1"/>
  <c r="G53" i="8" s="1"/>
  <c r="G146" i="11"/>
  <c r="G186" i="11"/>
  <c r="I159" i="11" l="1"/>
  <c r="I160" i="11"/>
  <c r="I161" i="11"/>
  <c r="I35" i="11"/>
  <c r="I34" i="11"/>
  <c r="I33" i="11"/>
  <c r="I139" i="11"/>
  <c r="I140" i="11"/>
  <c r="I144" i="11" s="1"/>
  <c r="I138" i="11"/>
  <c r="L91" i="10"/>
  <c r="K92" i="10"/>
  <c r="G98" i="11"/>
  <c r="G96" i="11"/>
  <c r="G97" i="11"/>
  <c r="B8" i="13"/>
  <c r="D7" i="8" s="1"/>
  <c r="L380" i="10"/>
  <c r="K381" i="10"/>
  <c r="L155" i="10"/>
  <c r="L171" i="10" s="1"/>
  <c r="M156" i="10"/>
  <c r="L272" i="10"/>
  <c r="L303" i="10"/>
  <c r="K309" i="10"/>
  <c r="J361" i="10"/>
  <c r="J263" i="10"/>
  <c r="J279" i="10" s="1"/>
  <c r="K264" i="10"/>
  <c r="G190" i="11"/>
  <c r="K376" i="10"/>
  <c r="J392" i="10"/>
  <c r="H36" i="10"/>
  <c r="G3" i="10"/>
  <c r="H11" i="11" s="1"/>
  <c r="H362" i="10"/>
  <c r="G329" i="10"/>
  <c r="H200" i="11" s="1"/>
  <c r="L344" i="10"/>
  <c r="K345" i="10"/>
  <c r="L236" i="10"/>
  <c r="K237" i="10"/>
  <c r="H398" i="10"/>
  <c r="G365" i="10"/>
  <c r="H221" i="11" s="1"/>
  <c r="G129" i="11"/>
  <c r="E13" i="13" s="1"/>
  <c r="G46" i="8" s="1"/>
  <c r="B9" i="13"/>
  <c r="D15" i="8" s="1"/>
  <c r="F18" i="11"/>
  <c r="F20" i="11" s="1"/>
  <c r="J273" i="10"/>
  <c r="K371" i="10"/>
  <c r="K387" i="10" s="1"/>
  <c r="L372" i="10"/>
  <c r="M195" i="10"/>
  <c r="N195" i="10" s="1"/>
  <c r="F166" i="11"/>
  <c r="E167" i="11"/>
  <c r="E171" i="11" s="1"/>
  <c r="C15" i="13" s="1"/>
  <c r="E60" i="8" s="1"/>
  <c r="L128" i="10"/>
  <c r="K129" i="10"/>
  <c r="H146" i="10"/>
  <c r="G113" i="10"/>
  <c r="H74" i="11" s="1"/>
  <c r="L10" i="10"/>
  <c r="K9" i="10"/>
  <c r="K25" i="10" s="1"/>
  <c r="N193" i="10"/>
  <c r="M242" i="10"/>
  <c r="N242" i="10" s="1"/>
  <c r="F146" i="11"/>
  <c r="F150" i="11" s="1"/>
  <c r="F85" i="11"/>
  <c r="F87" i="11" s="1"/>
  <c r="D11" i="13" s="1"/>
  <c r="F31" i="8" s="1"/>
  <c r="F83" i="11"/>
  <c r="J227" i="10"/>
  <c r="J243" i="10" s="1"/>
  <c r="K228" i="10"/>
  <c r="G56" i="11"/>
  <c r="G54" i="11"/>
  <c r="G55" i="11"/>
  <c r="K194" i="10"/>
  <c r="J191" i="10"/>
  <c r="J207" i="10" s="1"/>
  <c r="J201" i="10"/>
  <c r="H190" i="11"/>
  <c r="M120" i="10"/>
  <c r="L119" i="10"/>
  <c r="L135" i="10" s="1"/>
  <c r="K30" i="10"/>
  <c r="L14" i="10"/>
  <c r="I181" i="11"/>
  <c r="I180" i="11"/>
  <c r="I182" i="11"/>
  <c r="K160" i="10"/>
  <c r="J176" i="10"/>
  <c r="J181" i="10" s="1"/>
  <c r="F60" i="11"/>
  <c r="F62" i="11" s="1"/>
  <c r="H109" i="10"/>
  <c r="G76" i="10"/>
  <c r="H53" i="11" s="1"/>
  <c r="G14" i="11"/>
  <c r="G12" i="11"/>
  <c r="G13" i="11"/>
  <c r="G203" i="11"/>
  <c r="G202" i="11"/>
  <c r="G201" i="11"/>
  <c r="K87" i="10"/>
  <c r="J103" i="10"/>
  <c r="J108" i="10" s="1"/>
  <c r="H182" i="10"/>
  <c r="G149" i="10"/>
  <c r="H95" i="11" s="1"/>
  <c r="L134" i="10"/>
  <c r="L84" i="10"/>
  <c r="K82" i="10"/>
  <c r="K98" i="10" s="1"/>
  <c r="J196" i="10"/>
  <c r="I212" i="10"/>
  <c r="I217" i="10" s="1"/>
  <c r="I185" i="10" s="1"/>
  <c r="J116" i="11" s="1"/>
  <c r="J50" i="10"/>
  <c r="I66" i="10"/>
  <c r="I71" i="10" s="1"/>
  <c r="I39" i="10" s="1"/>
  <c r="J32" i="11" s="1"/>
  <c r="F106" i="11"/>
  <c r="F102" i="11"/>
  <c r="F104" i="11" s="1"/>
  <c r="D129" i="11"/>
  <c r="L54" i="10"/>
  <c r="K55" i="10"/>
  <c r="L18" i="10"/>
  <c r="K19" i="10"/>
  <c r="K335" i="10"/>
  <c r="K351" i="10" s="1"/>
  <c r="L336" i="10"/>
  <c r="D171" i="11"/>
  <c r="L164" i="10"/>
  <c r="K165" i="10"/>
  <c r="E25" i="8"/>
  <c r="H169" i="11"/>
  <c r="H144" i="11"/>
  <c r="B14" i="13"/>
  <c r="D53" i="8" s="1"/>
  <c r="I117" i="11"/>
  <c r="I118" i="11"/>
  <c r="I119" i="11"/>
  <c r="I123" i="11" s="1"/>
  <c r="B11" i="13"/>
  <c r="D31" i="8" s="1"/>
  <c r="B12" i="13"/>
  <c r="D39" i="8" s="1"/>
  <c r="K46" i="10"/>
  <c r="J45" i="10"/>
  <c r="J61" i="10" s="1"/>
  <c r="J268" i="10"/>
  <c r="I284" i="10"/>
  <c r="I289" i="10" s="1"/>
  <c r="I257" i="10" s="1"/>
  <c r="J158" i="11" s="1"/>
  <c r="G224" i="11"/>
  <c r="G228" i="11" s="1"/>
  <c r="G223" i="11"/>
  <c r="G222" i="11"/>
  <c r="K124" i="10"/>
  <c r="J140" i="10"/>
  <c r="J145" i="10" s="1"/>
  <c r="K302" i="10"/>
  <c r="J299" i="10"/>
  <c r="J315" i="10" s="1"/>
  <c r="J232" i="10"/>
  <c r="I248" i="10"/>
  <c r="J304" i="10"/>
  <c r="I320" i="10"/>
  <c r="I325" i="10" s="1"/>
  <c r="I293" i="10" s="1"/>
  <c r="J179" i="11" s="1"/>
  <c r="J397" i="10"/>
  <c r="K340" i="10"/>
  <c r="J356" i="10"/>
  <c r="M300" i="10"/>
  <c r="H39" i="11"/>
  <c r="H41" i="11" s="1"/>
  <c r="E187" i="11"/>
  <c r="D208" i="11"/>
  <c r="D188" i="11"/>
  <c r="G77" i="11"/>
  <c r="G76" i="11"/>
  <c r="G75" i="11"/>
  <c r="J35" i="10"/>
  <c r="F228" i="11"/>
  <c r="I253" i="10"/>
  <c r="I221" i="10" s="1"/>
  <c r="J137" i="11" s="1"/>
  <c r="H123" i="11"/>
  <c r="J34" i="11" l="1"/>
  <c r="J33" i="11"/>
  <c r="J35" i="11"/>
  <c r="J119" i="11"/>
  <c r="J118" i="11"/>
  <c r="J117" i="11"/>
  <c r="J182" i="11"/>
  <c r="J186" i="11" s="1"/>
  <c r="J181" i="11"/>
  <c r="J180" i="11"/>
  <c r="D14" i="13"/>
  <c r="F53" i="8" s="1"/>
  <c r="G55" i="8" s="1"/>
  <c r="J161" i="11"/>
  <c r="J165" i="11" s="1"/>
  <c r="J160" i="11"/>
  <c r="J159" i="11"/>
  <c r="B15" i="13"/>
  <c r="D60" i="8" s="1"/>
  <c r="G18" i="11"/>
  <c r="G20" i="11" s="1"/>
  <c r="G22" i="11" s="1"/>
  <c r="G24" i="11"/>
  <c r="E8" i="13" s="1"/>
  <c r="G7" i="8" s="1"/>
  <c r="J217" i="10"/>
  <c r="J185" i="10" s="1"/>
  <c r="K116" i="11" s="1"/>
  <c r="G60" i="11"/>
  <c r="G62" i="11" s="1"/>
  <c r="G64" i="11"/>
  <c r="G66" i="11" s="1"/>
  <c r="E10" i="13" s="1"/>
  <c r="G23" i="8" s="1"/>
  <c r="I36" i="10"/>
  <c r="H3" i="10"/>
  <c r="I11" i="11" s="1"/>
  <c r="M380" i="10"/>
  <c r="N380" i="10" s="1"/>
  <c r="L381" i="10"/>
  <c r="M381" i="10" s="1"/>
  <c r="N381" i="10" s="1"/>
  <c r="H125" i="11"/>
  <c r="H127" i="11"/>
  <c r="H129" i="11" s="1"/>
  <c r="F13" i="13" s="1"/>
  <c r="H46" i="8" s="1"/>
  <c r="G81" i="11"/>
  <c r="H148" i="11"/>
  <c r="H146" i="11"/>
  <c r="M18" i="10"/>
  <c r="N18" i="10" s="1"/>
  <c r="L19" i="10"/>
  <c r="M19" i="10" s="1"/>
  <c r="N19" i="10" s="1"/>
  <c r="K50" i="10"/>
  <c r="J66" i="10"/>
  <c r="J212" i="10"/>
  <c r="K196" i="10"/>
  <c r="K103" i="10"/>
  <c r="K108" i="10" s="1"/>
  <c r="L87" i="10"/>
  <c r="L194" i="10"/>
  <c r="K191" i="10"/>
  <c r="K207" i="10" s="1"/>
  <c r="K201" i="10"/>
  <c r="G166" i="11"/>
  <c r="F167" i="11"/>
  <c r="F171" i="11" s="1"/>
  <c r="D15" i="13" s="1"/>
  <c r="F60" i="8" s="1"/>
  <c r="M236" i="10"/>
  <c r="N236" i="10" s="1"/>
  <c r="N156" i="10"/>
  <c r="N155" i="10" s="1"/>
  <c r="N171" i="10" s="1"/>
  <c r="M155" i="10"/>
  <c r="M171" i="10" s="1"/>
  <c r="J140" i="11"/>
  <c r="J139" i="11"/>
  <c r="J138" i="11"/>
  <c r="L302" i="10"/>
  <c r="K299" i="10"/>
  <c r="K315" i="10" s="1"/>
  <c r="L335" i="10"/>
  <c r="L351" i="10" s="1"/>
  <c r="M336" i="10"/>
  <c r="H98" i="11"/>
  <c r="H96" i="11"/>
  <c r="H97" i="11"/>
  <c r="I109" i="10"/>
  <c r="H76" i="10"/>
  <c r="I53" i="11" s="1"/>
  <c r="L160" i="10"/>
  <c r="K176" i="10"/>
  <c r="K181" i="10" s="1"/>
  <c r="J253" i="10"/>
  <c r="J221" i="10" s="1"/>
  <c r="K137" i="11" s="1"/>
  <c r="K35" i="10"/>
  <c r="F22" i="11"/>
  <c r="F24" i="11" s="1"/>
  <c r="H223" i="11"/>
  <c r="H222" i="11"/>
  <c r="H224" i="11"/>
  <c r="I362" i="10"/>
  <c r="H329" i="10"/>
  <c r="I200" i="11" s="1"/>
  <c r="L376" i="10"/>
  <c r="K392" i="10"/>
  <c r="L264" i="10"/>
  <c r="K263" i="10"/>
  <c r="K279" i="10" s="1"/>
  <c r="M303" i="10"/>
  <c r="N303" i="10" s="1"/>
  <c r="F187" i="11"/>
  <c r="E188" i="11"/>
  <c r="E192" i="11" s="1"/>
  <c r="C16" i="13" s="1"/>
  <c r="E67" i="8" s="1"/>
  <c r="J248" i="10"/>
  <c r="K232" i="10"/>
  <c r="L124" i="10"/>
  <c r="K140" i="10"/>
  <c r="K145" i="10" s="1"/>
  <c r="I127" i="11"/>
  <c r="I125" i="11"/>
  <c r="L30" i="10"/>
  <c r="M14" i="10"/>
  <c r="H75" i="11"/>
  <c r="H76" i="11"/>
  <c r="H77" i="11"/>
  <c r="H81" i="11" s="1"/>
  <c r="M372" i="10"/>
  <c r="L371" i="10"/>
  <c r="L387" i="10" s="1"/>
  <c r="L345" i="10"/>
  <c r="M345" i="10" s="1"/>
  <c r="N345" i="10" s="1"/>
  <c r="M344" i="10"/>
  <c r="N344" i="10" s="1"/>
  <c r="M272" i="10"/>
  <c r="N272" i="10" s="1"/>
  <c r="N300" i="10"/>
  <c r="K268" i="10"/>
  <c r="J284" i="10"/>
  <c r="E55" i="8"/>
  <c r="B13" i="13"/>
  <c r="D46" i="8" s="1"/>
  <c r="M134" i="10"/>
  <c r="N134" i="10" s="1"/>
  <c r="G207" i="11"/>
  <c r="H55" i="11"/>
  <c r="H54" i="11"/>
  <c r="H56" i="11"/>
  <c r="I186" i="11"/>
  <c r="K227" i="10"/>
  <c r="K243" i="10" s="1"/>
  <c r="L228" i="10"/>
  <c r="I146" i="10"/>
  <c r="H113" i="10"/>
  <c r="I74" i="11" s="1"/>
  <c r="K397" i="10"/>
  <c r="H202" i="11"/>
  <c r="H201" i="11"/>
  <c r="H203" i="11"/>
  <c r="H207" i="11" s="1"/>
  <c r="E9" i="8"/>
  <c r="G102" i="11"/>
  <c r="G104" i="11" s="1"/>
  <c r="G106" i="11"/>
  <c r="G108" i="11" s="1"/>
  <c r="E12" i="13" s="1"/>
  <c r="G39" i="8" s="1"/>
  <c r="I165" i="11"/>
  <c r="D192" i="11"/>
  <c r="K304" i="10"/>
  <c r="J320" i="10"/>
  <c r="J325" i="10" s="1"/>
  <c r="J293" i="10" s="1"/>
  <c r="K179" i="11" s="1"/>
  <c r="J71" i="10"/>
  <c r="J39" i="10" s="1"/>
  <c r="K32" i="11" s="1"/>
  <c r="D229" i="11"/>
  <c r="E208" i="11"/>
  <c r="D209" i="11"/>
  <c r="H43" i="11"/>
  <c r="H45" i="11" s="1"/>
  <c r="L340" i="10"/>
  <c r="K356" i="10"/>
  <c r="L46" i="10"/>
  <c r="K45" i="10"/>
  <c r="K61" i="10" s="1"/>
  <c r="E33" i="8"/>
  <c r="F33" i="8"/>
  <c r="M164" i="10"/>
  <c r="N164" i="10" s="1"/>
  <c r="L165" i="10"/>
  <c r="M165" i="10" s="1"/>
  <c r="N165" i="10" s="1"/>
  <c r="K361" i="10"/>
  <c r="M54" i="10"/>
  <c r="N54" i="10" s="1"/>
  <c r="L55" i="10"/>
  <c r="M55" i="10" s="1"/>
  <c r="N55" i="10" s="1"/>
  <c r="F108" i="11"/>
  <c r="M84" i="10"/>
  <c r="L82" i="10"/>
  <c r="L98" i="10" s="1"/>
  <c r="I182" i="10"/>
  <c r="H149" i="10"/>
  <c r="I95" i="11" s="1"/>
  <c r="F64" i="11"/>
  <c r="F66" i="11" s="1"/>
  <c r="N120" i="10"/>
  <c r="N119" i="10" s="1"/>
  <c r="N135" i="10" s="1"/>
  <c r="M119" i="10"/>
  <c r="M135" i="10" s="1"/>
  <c r="M10" i="10"/>
  <c r="L9" i="10"/>
  <c r="L25" i="10" s="1"/>
  <c r="L35" i="10" s="1"/>
  <c r="M128" i="10"/>
  <c r="N128" i="10" s="1"/>
  <c r="L129" i="10"/>
  <c r="M129" i="10" s="1"/>
  <c r="N129" i="10" s="1"/>
  <c r="I398" i="10"/>
  <c r="H365" i="10"/>
  <c r="I221" i="11" s="1"/>
  <c r="H13" i="11"/>
  <c r="H12" i="11"/>
  <c r="H14" i="11"/>
  <c r="J289" i="10"/>
  <c r="J257" i="10" s="1"/>
  <c r="K158" i="11" s="1"/>
  <c r="K273" i="10"/>
  <c r="M91" i="10"/>
  <c r="N91" i="10" s="1"/>
  <c r="L92" i="10"/>
  <c r="M92" i="10" s="1"/>
  <c r="N92" i="10" s="1"/>
  <c r="I146" i="11"/>
  <c r="I148" i="11"/>
  <c r="I150" i="11" s="1"/>
  <c r="G14" i="13" s="1"/>
  <c r="I53" i="8" s="1"/>
  <c r="I39" i="11"/>
  <c r="I41" i="11" s="1"/>
  <c r="I43" i="11"/>
  <c r="I45" i="11" s="1"/>
  <c r="G9" i="13" s="1"/>
  <c r="I15" i="8" s="1"/>
  <c r="K180" i="11" l="1"/>
  <c r="K181" i="11"/>
  <c r="K182" i="11"/>
  <c r="D211" i="11"/>
  <c r="D213" i="11" s="1"/>
  <c r="I190" i="11"/>
  <c r="M35" i="10"/>
  <c r="N84" i="10"/>
  <c r="N82" i="10" s="1"/>
  <c r="N98" i="10" s="1"/>
  <c r="M82" i="10"/>
  <c r="M98" i="10" s="1"/>
  <c r="H18" i="11"/>
  <c r="H20" i="11" s="1"/>
  <c r="J398" i="10"/>
  <c r="J221" i="11"/>
  <c r="J224" i="11" s="1"/>
  <c r="M9" i="10"/>
  <c r="M25" i="10" s="1"/>
  <c r="N10" i="10"/>
  <c r="N9" i="10" s="1"/>
  <c r="N25" i="10" s="1"/>
  <c r="I97" i="11"/>
  <c r="I98" i="11"/>
  <c r="I96" i="11"/>
  <c r="D12" i="13"/>
  <c r="F39" i="8" s="1"/>
  <c r="F9" i="13"/>
  <c r="H15" i="8" s="1"/>
  <c r="K35" i="11"/>
  <c r="K34" i="11"/>
  <c r="K33" i="11"/>
  <c r="J146" i="10"/>
  <c r="I113" i="10"/>
  <c r="J74" i="11" s="1"/>
  <c r="K248" i="10"/>
  <c r="L232" i="10"/>
  <c r="G187" i="11"/>
  <c r="F188" i="11"/>
  <c r="I203" i="11"/>
  <c r="I202" i="11"/>
  <c r="I201" i="11"/>
  <c r="K140" i="11"/>
  <c r="K144" i="11" s="1"/>
  <c r="K139" i="11"/>
  <c r="K138" i="11"/>
  <c r="I56" i="11"/>
  <c r="I55" i="11"/>
  <c r="I54" i="11"/>
  <c r="H102" i="11"/>
  <c r="H104" i="11" s="1"/>
  <c r="H106" i="11"/>
  <c r="H108" i="11" s="1"/>
  <c r="F12" i="13" s="1"/>
  <c r="H39" i="8" s="1"/>
  <c r="M302" i="10"/>
  <c r="L299" i="10"/>
  <c r="L315" i="10" s="1"/>
  <c r="K66" i="10"/>
  <c r="L50" i="10"/>
  <c r="I13" i="11"/>
  <c r="I12" i="11"/>
  <c r="I14" i="11"/>
  <c r="K118" i="11"/>
  <c r="K117" i="11"/>
  <c r="K119" i="11"/>
  <c r="K123" i="11" s="1"/>
  <c r="E62" i="8"/>
  <c r="F62" i="8"/>
  <c r="J190" i="11"/>
  <c r="N372" i="10"/>
  <c r="N371" i="10" s="1"/>
  <c r="N387" i="10" s="1"/>
  <c r="M371" i="10"/>
  <c r="M387" i="10" s="1"/>
  <c r="N14" i="10"/>
  <c r="N30" i="10" s="1"/>
  <c r="M30" i="10"/>
  <c r="I129" i="11"/>
  <c r="G13" i="13" s="1"/>
  <c r="I46" i="8" s="1"/>
  <c r="I48" i="8" s="1"/>
  <c r="L263" i="10"/>
  <c r="L279" i="10" s="1"/>
  <c r="M264" i="10"/>
  <c r="J362" i="10"/>
  <c r="I329" i="10"/>
  <c r="J200" i="11" s="1"/>
  <c r="J109" i="10"/>
  <c r="I76" i="10"/>
  <c r="J53" i="11" s="1"/>
  <c r="H166" i="11"/>
  <c r="G167" i="11"/>
  <c r="G171" i="11" s="1"/>
  <c r="E15" i="13" s="1"/>
  <c r="G60" i="8" s="1"/>
  <c r="M194" i="10"/>
  <c r="L191" i="10"/>
  <c r="L207" i="10" s="1"/>
  <c r="L201" i="10"/>
  <c r="M201" i="10" s="1"/>
  <c r="N201" i="10" s="1"/>
  <c r="K212" i="10"/>
  <c r="K217" i="10" s="1"/>
  <c r="K185" i="10" s="1"/>
  <c r="L116" i="11" s="1"/>
  <c r="L196" i="10"/>
  <c r="H150" i="11"/>
  <c r="J36" i="10"/>
  <c r="I3" i="10"/>
  <c r="J11" i="11" s="1"/>
  <c r="J39" i="11"/>
  <c r="J41" i="11" s="1"/>
  <c r="J43" i="11"/>
  <c r="J45" i="11" s="1"/>
  <c r="H9" i="13" s="1"/>
  <c r="J15" i="8" s="1"/>
  <c r="K161" i="11"/>
  <c r="K160" i="11"/>
  <c r="K159" i="11"/>
  <c r="K71" i="10"/>
  <c r="K39" i="10" s="1"/>
  <c r="L32" i="11" s="1"/>
  <c r="F208" i="11"/>
  <c r="E209" i="11"/>
  <c r="E211" i="11" s="1"/>
  <c r="E213" i="11" s="1"/>
  <c r="C17" i="13" s="1"/>
  <c r="E74" i="8" s="1"/>
  <c r="L304" i="10"/>
  <c r="K320" i="10"/>
  <c r="K325" i="10" s="1"/>
  <c r="K293" i="10" s="1"/>
  <c r="L179" i="11" s="1"/>
  <c r="M228" i="10"/>
  <c r="L227" i="10"/>
  <c r="L243" i="10" s="1"/>
  <c r="H60" i="11"/>
  <c r="H62" i="11" s="1"/>
  <c r="H64" i="11"/>
  <c r="H66" i="11" s="1"/>
  <c r="F10" i="13" s="1"/>
  <c r="H23" i="8" s="1"/>
  <c r="H85" i="11"/>
  <c r="H83" i="11"/>
  <c r="L309" i="10"/>
  <c r="M309" i="10" s="1"/>
  <c r="N309" i="10" s="1"/>
  <c r="H228" i="11"/>
  <c r="D8" i="13"/>
  <c r="F7" i="8" s="1"/>
  <c r="L237" i="10"/>
  <c r="M237" i="10" s="1"/>
  <c r="N237" i="10" s="1"/>
  <c r="J182" i="10"/>
  <c r="I149" i="10"/>
  <c r="J95" i="11" s="1"/>
  <c r="F48" i="8"/>
  <c r="H48" i="8"/>
  <c r="E48" i="8"/>
  <c r="G48" i="8"/>
  <c r="I224" i="11"/>
  <c r="I228" i="11" s="1"/>
  <c r="I223" i="11"/>
  <c r="I222" i="11"/>
  <c r="D10" i="13"/>
  <c r="F23" i="8" s="1"/>
  <c r="L45" i="10"/>
  <c r="L61" i="10" s="1"/>
  <c r="M46" i="10"/>
  <c r="L356" i="10"/>
  <c r="L361" i="10" s="1"/>
  <c r="M340" i="10"/>
  <c r="E229" i="11"/>
  <c r="D230" i="11"/>
  <c r="B16" i="13"/>
  <c r="D67" i="8" s="1"/>
  <c r="I169" i="11"/>
  <c r="I76" i="11"/>
  <c r="I75" i="11"/>
  <c r="I77" i="11"/>
  <c r="I81" i="11" s="1"/>
  <c r="K253" i="10"/>
  <c r="K221" i="10" s="1"/>
  <c r="L137" i="11" s="1"/>
  <c r="F55" i="8"/>
  <c r="L268" i="10"/>
  <c r="K284" i="10"/>
  <c r="K289" i="10" s="1"/>
  <c r="K257" i="10" s="1"/>
  <c r="L158" i="11" s="1"/>
  <c r="L273" i="10"/>
  <c r="M273" i="10" s="1"/>
  <c r="N273" i="10" s="1"/>
  <c r="L140" i="10"/>
  <c r="L145" i="10" s="1"/>
  <c r="M124" i="10"/>
  <c r="L392" i="10"/>
  <c r="L397" i="10" s="1"/>
  <c r="M376" i="10"/>
  <c r="M160" i="10"/>
  <c r="L176" i="10"/>
  <c r="L181" i="10" s="1"/>
  <c r="M335" i="10"/>
  <c r="M351" i="10" s="1"/>
  <c r="N336" i="10"/>
  <c r="N335" i="10" s="1"/>
  <c r="N351" i="10" s="1"/>
  <c r="J144" i="11"/>
  <c r="M87" i="10"/>
  <c r="L103" i="10"/>
  <c r="L108" i="10" s="1"/>
  <c r="G85" i="11"/>
  <c r="G83" i="11"/>
  <c r="J169" i="11"/>
  <c r="J123" i="11"/>
  <c r="L119" i="11" l="1"/>
  <c r="L117" i="11"/>
  <c r="L118" i="11"/>
  <c r="M108" i="10"/>
  <c r="L159" i="11"/>
  <c r="L160" i="11"/>
  <c r="L161" i="11"/>
  <c r="L165" i="11" s="1"/>
  <c r="M361" i="10"/>
  <c r="L181" i="11"/>
  <c r="L180" i="11"/>
  <c r="L182" i="11"/>
  <c r="L186" i="11" s="1"/>
  <c r="M397" i="10"/>
  <c r="N340" i="10"/>
  <c r="N356" i="10" s="1"/>
  <c r="M356" i="10"/>
  <c r="M181" i="10"/>
  <c r="L138" i="11"/>
  <c r="L139" i="11"/>
  <c r="L140" i="11"/>
  <c r="J96" i="11"/>
  <c r="J97" i="11"/>
  <c r="J98" i="11"/>
  <c r="L35" i="11"/>
  <c r="L34" i="11"/>
  <c r="L33" i="11"/>
  <c r="F14" i="13"/>
  <c r="H53" i="8" s="1"/>
  <c r="N160" i="10"/>
  <c r="N176" i="10" s="1"/>
  <c r="M176" i="10"/>
  <c r="I85" i="11"/>
  <c r="I83" i="11"/>
  <c r="D232" i="11"/>
  <c r="D234" i="11" s="1"/>
  <c r="N46" i="10"/>
  <c r="N45" i="10" s="1"/>
  <c r="N61" i="10" s="1"/>
  <c r="M45" i="10"/>
  <c r="M61" i="10" s="1"/>
  <c r="F25" i="8"/>
  <c r="G25" i="8"/>
  <c r="H25" i="8"/>
  <c r="K182" i="10"/>
  <c r="J149" i="10"/>
  <c r="K95" i="11" s="1"/>
  <c r="M304" i="10"/>
  <c r="L320" i="10"/>
  <c r="J13" i="11"/>
  <c r="J12" i="11"/>
  <c r="J14" i="11"/>
  <c r="M196" i="10"/>
  <c r="L212" i="10"/>
  <c r="N194" i="10"/>
  <c r="N191" i="10" s="1"/>
  <c r="N207" i="10" s="1"/>
  <c r="M191" i="10"/>
  <c r="M207" i="10" s="1"/>
  <c r="K109" i="10"/>
  <c r="J76" i="10"/>
  <c r="K53" i="11" s="1"/>
  <c r="L289" i="10"/>
  <c r="L325" i="10"/>
  <c r="H187" i="11"/>
  <c r="G188" i="11"/>
  <c r="G192" i="11" s="1"/>
  <c r="E16" i="13" s="1"/>
  <c r="G67" i="8" s="1"/>
  <c r="K398" i="10"/>
  <c r="J365" i="10"/>
  <c r="K221" i="11" s="1"/>
  <c r="B17" i="13"/>
  <c r="D74" i="8" s="1"/>
  <c r="K186" i="11"/>
  <c r="M103" i="10"/>
  <c r="N87" i="10"/>
  <c r="N103" i="10" s="1"/>
  <c r="J202" i="11"/>
  <c r="J203" i="11"/>
  <c r="J207" i="11" s="1"/>
  <c r="J201" i="11"/>
  <c r="M50" i="10"/>
  <c r="L66" i="10"/>
  <c r="L71" i="10" s="1"/>
  <c r="I207" i="11"/>
  <c r="L248" i="10"/>
  <c r="L253" i="10" s="1"/>
  <c r="M232" i="10"/>
  <c r="K39" i="11"/>
  <c r="K41" i="11" s="1"/>
  <c r="K43" i="11"/>
  <c r="K45" i="11" s="1"/>
  <c r="I9" i="13" s="1"/>
  <c r="K15" i="8" s="1"/>
  <c r="M145" i="10"/>
  <c r="G208" i="11"/>
  <c r="F209" i="11"/>
  <c r="F211" i="11" s="1"/>
  <c r="F213" i="11" s="1"/>
  <c r="D17" i="13" s="1"/>
  <c r="F74" i="8" s="1"/>
  <c r="I166" i="11"/>
  <c r="H167" i="11"/>
  <c r="H171" i="11" s="1"/>
  <c r="F15" i="13" s="1"/>
  <c r="H60" i="8" s="1"/>
  <c r="H62" i="8" s="1"/>
  <c r="K362" i="10"/>
  <c r="J329" i="10"/>
  <c r="K200" i="11" s="1"/>
  <c r="G62" i="8"/>
  <c r="I18" i="11"/>
  <c r="I20" i="11" s="1"/>
  <c r="I22" i="11" s="1"/>
  <c r="I24" i="11"/>
  <c r="G8" i="13" s="1"/>
  <c r="I7" i="8" s="1"/>
  <c r="K146" i="11"/>
  <c r="K148" i="11"/>
  <c r="K146" i="10"/>
  <c r="J113" i="10"/>
  <c r="K74" i="11" s="1"/>
  <c r="J125" i="11"/>
  <c r="J127" i="11"/>
  <c r="J129" i="11" s="1"/>
  <c r="H13" i="13" s="1"/>
  <c r="J46" i="8" s="1"/>
  <c r="N124" i="10"/>
  <c r="N140" i="10" s="1"/>
  <c r="M140" i="10"/>
  <c r="L284" i="10"/>
  <c r="M268" i="10"/>
  <c r="F229" i="11"/>
  <c r="E230" i="11"/>
  <c r="E232" i="11" s="1"/>
  <c r="E234" i="11" s="1"/>
  <c r="C18" i="13" s="1"/>
  <c r="E81" i="8" s="1"/>
  <c r="E89" i="8" s="1"/>
  <c r="J109" i="8" s="1"/>
  <c r="J111" i="8" s="1"/>
  <c r="F9" i="8"/>
  <c r="G9" i="8"/>
  <c r="M227" i="10"/>
  <c r="M243" i="10" s="1"/>
  <c r="N228" i="10"/>
  <c r="N227" i="10" s="1"/>
  <c r="N243" i="10" s="1"/>
  <c r="K36" i="10"/>
  <c r="J3" i="10"/>
  <c r="K11" i="11" s="1"/>
  <c r="N302" i="10"/>
  <c r="N299" i="10" s="1"/>
  <c r="N315" i="10" s="1"/>
  <c r="M299" i="10"/>
  <c r="M315" i="10" s="1"/>
  <c r="J75" i="11"/>
  <c r="J76" i="11"/>
  <c r="J77" i="11"/>
  <c r="G87" i="11"/>
  <c r="N376" i="10"/>
  <c r="N392" i="10" s="1"/>
  <c r="M392" i="10"/>
  <c r="J146" i="11"/>
  <c r="J148" i="11"/>
  <c r="E69" i="8"/>
  <c r="H87" i="11"/>
  <c r="F11" i="13" s="1"/>
  <c r="H31" i="8" s="1"/>
  <c r="K165" i="11"/>
  <c r="L217" i="10"/>
  <c r="J54" i="11"/>
  <c r="J56" i="11"/>
  <c r="J55" i="11"/>
  <c r="N264" i="10"/>
  <c r="N263" i="10" s="1"/>
  <c r="N279" i="10" s="1"/>
  <c r="M263" i="10"/>
  <c r="M279" i="10" s="1"/>
  <c r="K127" i="11"/>
  <c r="K129" i="11" s="1"/>
  <c r="I13" i="13" s="1"/>
  <c r="K46" i="8" s="1"/>
  <c r="K125" i="11"/>
  <c r="I60" i="11"/>
  <c r="I62" i="11" s="1"/>
  <c r="F192" i="11"/>
  <c r="I102" i="11"/>
  <c r="I104" i="11" s="1"/>
  <c r="I106" i="11"/>
  <c r="I108" i="11" s="1"/>
  <c r="G12" i="13" s="1"/>
  <c r="I39" i="8" s="1"/>
  <c r="J223" i="11"/>
  <c r="J222" i="11"/>
  <c r="H22" i="11"/>
  <c r="H24" i="11" s="1"/>
  <c r="N35" i="10"/>
  <c r="M253" i="10" l="1"/>
  <c r="L221" i="10"/>
  <c r="M137" i="11" s="1"/>
  <c r="M71" i="10"/>
  <c r="L39" i="10"/>
  <c r="M32" i="11" s="1"/>
  <c r="F8" i="13"/>
  <c r="H7" i="8" s="1"/>
  <c r="D16" i="13"/>
  <c r="F67" i="8" s="1"/>
  <c r="L185" i="10"/>
  <c r="M116" i="11" s="1"/>
  <c r="M217" i="10"/>
  <c r="J81" i="11"/>
  <c r="K12" i="11"/>
  <c r="K14" i="11"/>
  <c r="K13" i="11"/>
  <c r="G229" i="11"/>
  <c r="F230" i="11"/>
  <c r="F232" i="11" s="1"/>
  <c r="F234" i="11" s="1"/>
  <c r="D18" i="13" s="1"/>
  <c r="F81" i="8" s="1"/>
  <c r="L362" i="10"/>
  <c r="K329" i="10"/>
  <c r="L200" i="11" s="1"/>
  <c r="H208" i="11"/>
  <c r="G209" i="11"/>
  <c r="N145" i="10"/>
  <c r="M66" i="10"/>
  <c r="N50" i="10"/>
  <c r="N66" i="10" s="1"/>
  <c r="J18" i="11"/>
  <c r="J20" i="11" s="1"/>
  <c r="M320" i="10"/>
  <c r="N304" i="10"/>
  <c r="N320" i="10" s="1"/>
  <c r="L182" i="10"/>
  <c r="K149" i="10"/>
  <c r="L95" i="11" s="1"/>
  <c r="J102" i="11"/>
  <c r="J104" i="11" s="1"/>
  <c r="J106" i="11"/>
  <c r="J108" i="11" s="1"/>
  <c r="H12" i="13" s="1"/>
  <c r="J39" i="8" s="1"/>
  <c r="I64" i="11"/>
  <c r="I66" i="11" s="1"/>
  <c r="L36" i="10"/>
  <c r="K3" i="10"/>
  <c r="L11" i="11" s="1"/>
  <c r="N268" i="10"/>
  <c r="N284" i="10" s="1"/>
  <c r="M284" i="10"/>
  <c r="J48" i="8"/>
  <c r="K77" i="11"/>
  <c r="K81" i="11" s="1"/>
  <c r="K76" i="11"/>
  <c r="K75" i="11"/>
  <c r="E76" i="8"/>
  <c r="F76" i="8"/>
  <c r="M289" i="10"/>
  <c r="L257" i="10"/>
  <c r="M158" i="11" s="1"/>
  <c r="L190" i="11"/>
  <c r="N361" i="10"/>
  <c r="J228" i="11"/>
  <c r="J60" i="11"/>
  <c r="J62" i="11" s="1"/>
  <c r="K169" i="11"/>
  <c r="J150" i="11"/>
  <c r="L146" i="10"/>
  <c r="K113" i="10"/>
  <c r="L74" i="11" s="1"/>
  <c r="J166" i="11"/>
  <c r="I167" i="11"/>
  <c r="K222" i="11"/>
  <c r="K224" i="11"/>
  <c r="K228" i="11" s="1"/>
  <c r="K223" i="11"/>
  <c r="I187" i="11"/>
  <c r="H188" i="11"/>
  <c r="H192" i="11" s="1"/>
  <c r="F16" i="13" s="1"/>
  <c r="H67" i="8" s="1"/>
  <c r="K55" i="11"/>
  <c r="K54" i="11"/>
  <c r="K56" i="11"/>
  <c r="I87" i="11"/>
  <c r="G11" i="13" s="1"/>
  <c r="I31" i="8" s="1"/>
  <c r="L39" i="11"/>
  <c r="L41" i="11" s="1"/>
  <c r="L43" i="11"/>
  <c r="L45" i="11" s="1"/>
  <c r="L144" i="11"/>
  <c r="N181" i="10"/>
  <c r="N397" i="10"/>
  <c r="L169" i="11"/>
  <c r="N108" i="10"/>
  <c r="E11" i="13"/>
  <c r="G31" i="8" s="1"/>
  <c r="K150" i="11"/>
  <c r="I14" i="13" s="1"/>
  <c r="K53" i="8" s="1"/>
  <c r="K201" i="11"/>
  <c r="K202" i="11"/>
  <c r="K203" i="11"/>
  <c r="K207" i="11" s="1"/>
  <c r="M248" i="10"/>
  <c r="N232" i="10"/>
  <c r="N248" i="10" s="1"/>
  <c r="K190" i="11"/>
  <c r="L398" i="10"/>
  <c r="K365" i="10"/>
  <c r="L221" i="11" s="1"/>
  <c r="M325" i="10"/>
  <c r="L293" i="10"/>
  <c r="M179" i="11" s="1"/>
  <c r="L109" i="10"/>
  <c r="K76" i="10"/>
  <c r="L53" i="11" s="1"/>
  <c r="N196" i="10"/>
  <c r="N212" i="10" s="1"/>
  <c r="M212" i="10"/>
  <c r="K96" i="11"/>
  <c r="K98" i="11"/>
  <c r="K97" i="11"/>
  <c r="K48" i="8"/>
  <c r="B18" i="13"/>
  <c r="D81" i="8" s="1"/>
  <c r="D89" i="8" s="1"/>
  <c r="I109" i="8" s="1"/>
  <c r="I111" i="8" s="1"/>
  <c r="I55" i="8"/>
  <c r="H55" i="8"/>
  <c r="L123" i="11"/>
  <c r="E83" i="8" l="1"/>
  <c r="F83" i="8"/>
  <c r="M109" i="10"/>
  <c r="L76" i="10"/>
  <c r="M53" i="11" s="1"/>
  <c r="L222" i="11"/>
  <c r="L224" i="11"/>
  <c r="L223" i="11"/>
  <c r="K60" i="11"/>
  <c r="K62" i="11" s="1"/>
  <c r="I171" i="11"/>
  <c r="M36" i="10"/>
  <c r="L3" i="10"/>
  <c r="M11" i="11" s="1"/>
  <c r="M182" i="10"/>
  <c r="L149" i="10"/>
  <c r="M95" i="11" s="1"/>
  <c r="I208" i="11"/>
  <c r="H209" i="11"/>
  <c r="H211" i="11" s="1"/>
  <c r="H213" i="11" s="1"/>
  <c r="F17" i="13" s="1"/>
  <c r="H74" i="8" s="1"/>
  <c r="H229" i="11"/>
  <c r="G230" i="11"/>
  <c r="H9" i="8"/>
  <c r="I9" i="8"/>
  <c r="M140" i="11"/>
  <c r="M144" i="11" s="1"/>
  <c r="M138" i="11"/>
  <c r="M139" i="11"/>
  <c r="L127" i="11"/>
  <c r="L125" i="11"/>
  <c r="L148" i="11"/>
  <c r="L150" i="11" s="1"/>
  <c r="J14" i="13" s="1"/>
  <c r="L53" i="8" s="1"/>
  <c r="L146" i="11"/>
  <c r="M362" i="10"/>
  <c r="L329" i="10"/>
  <c r="M200" i="11" s="1"/>
  <c r="K18" i="11"/>
  <c r="K20" i="11" s="1"/>
  <c r="K22" i="11" s="1"/>
  <c r="N217" i="10"/>
  <c r="N185" i="10" s="1"/>
  <c r="O116" i="11" s="1"/>
  <c r="M185" i="10"/>
  <c r="N116" i="11" s="1"/>
  <c r="F69" i="8"/>
  <c r="F89" i="8"/>
  <c r="K109" i="8" s="1"/>
  <c r="K111" i="8" s="1"/>
  <c r="G69" i="8"/>
  <c r="H69" i="8"/>
  <c r="M35" i="11"/>
  <c r="M34" i="11"/>
  <c r="M33" i="11"/>
  <c r="M398" i="10"/>
  <c r="L365" i="10"/>
  <c r="M221" i="11" s="1"/>
  <c r="J187" i="11"/>
  <c r="I188" i="11"/>
  <c r="I192" i="11" s="1"/>
  <c r="G16" i="13" s="1"/>
  <c r="I67" i="8" s="1"/>
  <c r="I69" i="8" s="1"/>
  <c r="K166" i="11"/>
  <c r="J167" i="11"/>
  <c r="J171" i="11" s="1"/>
  <c r="H15" i="13" s="1"/>
  <c r="J60" i="8" s="1"/>
  <c r="K83" i="11"/>
  <c r="K85" i="11"/>
  <c r="K87" i="11" s="1"/>
  <c r="I11" i="13" s="1"/>
  <c r="K31" i="8" s="1"/>
  <c r="G10" i="13"/>
  <c r="I23" i="8" s="1"/>
  <c r="J22" i="11"/>
  <c r="J24" i="11" s="1"/>
  <c r="L201" i="11"/>
  <c r="L202" i="11"/>
  <c r="L203" i="11"/>
  <c r="L207" i="11" s="1"/>
  <c r="J83" i="11"/>
  <c r="J85" i="11"/>
  <c r="M221" i="10"/>
  <c r="N137" i="11" s="1"/>
  <c r="N253" i="10"/>
  <c r="N221" i="10" s="1"/>
  <c r="O137" i="11" s="1"/>
  <c r="M180" i="11"/>
  <c r="M181" i="11"/>
  <c r="M182" i="11"/>
  <c r="M186" i="11" s="1"/>
  <c r="G33" i="8"/>
  <c r="H33" i="8"/>
  <c r="I33" i="8"/>
  <c r="J9" i="13"/>
  <c r="L15" i="8" s="1"/>
  <c r="L76" i="11"/>
  <c r="L77" i="11"/>
  <c r="L81" i="11" s="1"/>
  <c r="L75" i="11"/>
  <c r="H14" i="13"/>
  <c r="J53" i="8" s="1"/>
  <c r="J64" i="11"/>
  <c r="J66" i="11" s="1"/>
  <c r="H10" i="13" s="1"/>
  <c r="J23" i="8" s="1"/>
  <c r="M159" i="11"/>
  <c r="M161" i="11"/>
  <c r="M165" i="11" s="1"/>
  <c r="M160" i="11"/>
  <c r="K106" i="11"/>
  <c r="K102" i="11"/>
  <c r="K104" i="11" s="1"/>
  <c r="L56" i="11"/>
  <c r="L55" i="11"/>
  <c r="L54" i="11"/>
  <c r="N325" i="10"/>
  <c r="N293" i="10" s="1"/>
  <c r="O179" i="11" s="1"/>
  <c r="M293" i="10"/>
  <c r="N179" i="11" s="1"/>
  <c r="M146" i="10"/>
  <c r="L113" i="10"/>
  <c r="M74" i="11" s="1"/>
  <c r="N289" i="10"/>
  <c r="N257" i="10" s="1"/>
  <c r="O158" i="11" s="1"/>
  <c r="M257" i="10"/>
  <c r="N158" i="11" s="1"/>
  <c r="L12" i="11"/>
  <c r="L13" i="11"/>
  <c r="L14" i="11"/>
  <c r="L97" i="11"/>
  <c r="L98" i="11"/>
  <c r="L96" i="11"/>
  <c r="G211" i="11"/>
  <c r="G213" i="11" s="1"/>
  <c r="M118" i="11"/>
  <c r="M119" i="11"/>
  <c r="M117" i="11"/>
  <c r="N71" i="10"/>
  <c r="N39" i="10" s="1"/>
  <c r="O32" i="11" s="1"/>
  <c r="M39" i="10"/>
  <c r="N32" i="11" s="1"/>
  <c r="E17" i="13" l="1"/>
  <c r="G74" i="8" s="1"/>
  <c r="N146" i="10"/>
  <c r="N113" i="10" s="1"/>
  <c r="O74" i="11" s="1"/>
  <c r="M113" i="10"/>
  <c r="N74" i="11" s="1"/>
  <c r="N182" i="11"/>
  <c r="N186" i="11" s="1"/>
  <c r="N180" i="11"/>
  <c r="N181" i="11"/>
  <c r="L60" i="11"/>
  <c r="L62" i="11" s="1"/>
  <c r="F91" i="8"/>
  <c r="E91" i="8"/>
  <c r="M224" i="11"/>
  <c r="M228" i="11" s="1"/>
  <c r="M222" i="11"/>
  <c r="M223" i="11"/>
  <c r="M39" i="11"/>
  <c r="M41" i="11" s="1"/>
  <c r="M43" i="11"/>
  <c r="M45" i="11" s="1"/>
  <c r="N119" i="11"/>
  <c r="N123" i="11" s="1"/>
  <c r="N118" i="11"/>
  <c r="N117" i="11"/>
  <c r="M201" i="11"/>
  <c r="M202" i="11"/>
  <c r="M203" i="11"/>
  <c r="M207" i="11" s="1"/>
  <c r="M148" i="11"/>
  <c r="M150" i="11" s="1"/>
  <c r="M146" i="11"/>
  <c r="N182" i="10"/>
  <c r="N149" i="10" s="1"/>
  <c r="O95" i="11" s="1"/>
  <c r="M149" i="10"/>
  <c r="N95" i="11" s="1"/>
  <c r="K64" i="11"/>
  <c r="K66" i="11" s="1"/>
  <c r="I10" i="13" s="1"/>
  <c r="K23" i="8" s="1"/>
  <c r="K25" i="8" s="1"/>
  <c r="L228" i="11"/>
  <c r="O34" i="11"/>
  <c r="O35" i="11"/>
  <c r="O33" i="11"/>
  <c r="L106" i="11"/>
  <c r="L108" i="11" s="1"/>
  <c r="J12" i="13" s="1"/>
  <c r="L39" i="8" s="1"/>
  <c r="L102" i="11"/>
  <c r="L104" i="11" s="1"/>
  <c r="M77" i="11"/>
  <c r="M81" i="11" s="1"/>
  <c r="M75" i="11"/>
  <c r="M76" i="11"/>
  <c r="K108" i="11"/>
  <c r="I12" i="13" s="1"/>
  <c r="K39" i="8" s="1"/>
  <c r="J55" i="8"/>
  <c r="K55" i="8"/>
  <c r="L55" i="8"/>
  <c r="M190" i="11"/>
  <c r="N138" i="11"/>
  <c r="N140" i="11"/>
  <c r="N144" i="11" s="1"/>
  <c r="N139" i="11"/>
  <c r="H8" i="13"/>
  <c r="J7" i="8" s="1"/>
  <c r="M123" i="11"/>
  <c r="R119" i="11"/>
  <c r="L18" i="11"/>
  <c r="L20" i="11" s="1"/>
  <c r="N160" i="11"/>
  <c r="N161" i="11"/>
  <c r="N165" i="11" s="1"/>
  <c r="N159" i="11"/>
  <c r="O182" i="11"/>
  <c r="O181" i="11"/>
  <c r="O180" i="11"/>
  <c r="M169" i="11"/>
  <c r="L85" i="11"/>
  <c r="L83" i="11"/>
  <c r="J87" i="11"/>
  <c r="I25" i="8"/>
  <c r="J25" i="8"/>
  <c r="K187" i="11"/>
  <c r="J188" i="11"/>
  <c r="J192" i="11" s="1"/>
  <c r="N398" i="10"/>
  <c r="N365" i="10" s="1"/>
  <c r="O221" i="11" s="1"/>
  <c r="M365" i="10"/>
  <c r="N221" i="11" s="1"/>
  <c r="O117" i="11"/>
  <c r="O118" i="11"/>
  <c r="O119" i="11"/>
  <c r="O123" i="11" s="1"/>
  <c r="N362" i="10"/>
  <c r="N329" i="10" s="1"/>
  <c r="O200" i="11" s="1"/>
  <c r="M329" i="10"/>
  <c r="N200" i="11" s="1"/>
  <c r="L129" i="11"/>
  <c r="J208" i="11"/>
  <c r="I209" i="11"/>
  <c r="M12" i="11"/>
  <c r="M13" i="11"/>
  <c r="M14" i="11"/>
  <c r="O138" i="11"/>
  <c r="O139" i="11"/>
  <c r="O140" i="11"/>
  <c r="L166" i="11"/>
  <c r="K167" i="11"/>
  <c r="K171" i="11" s="1"/>
  <c r="I15" i="13" s="1"/>
  <c r="K60" i="8" s="1"/>
  <c r="G232" i="11"/>
  <c r="G234" i="11" s="1"/>
  <c r="N36" i="10"/>
  <c r="N3" i="10" s="1"/>
  <c r="O11" i="11" s="1"/>
  <c r="M3" i="10"/>
  <c r="N11" i="11" s="1"/>
  <c r="M54" i="11"/>
  <c r="M56" i="11"/>
  <c r="M55" i="11"/>
  <c r="N34" i="11"/>
  <c r="N33" i="11"/>
  <c r="N35" i="11"/>
  <c r="O160" i="11"/>
  <c r="O159" i="11"/>
  <c r="O161" i="11"/>
  <c r="K24" i="11"/>
  <c r="I8" i="13" s="1"/>
  <c r="K7" i="8" s="1"/>
  <c r="I229" i="11"/>
  <c r="H230" i="11"/>
  <c r="H232" i="11" s="1"/>
  <c r="H234" i="11" s="1"/>
  <c r="F18" i="13" s="1"/>
  <c r="H81" i="8" s="1"/>
  <c r="H89" i="8" s="1"/>
  <c r="M109" i="8" s="1"/>
  <c r="M111" i="8" s="1"/>
  <c r="M97" i="11"/>
  <c r="M98" i="11"/>
  <c r="M96" i="11"/>
  <c r="G15" i="13"/>
  <c r="I60" i="8" s="1"/>
  <c r="N109" i="10"/>
  <c r="N76" i="10" s="1"/>
  <c r="O53" i="11" s="1"/>
  <c r="M76" i="10"/>
  <c r="N53" i="11" s="1"/>
  <c r="O96" i="11" l="1"/>
  <c r="O97" i="11"/>
  <c r="O98" i="11"/>
  <c r="N125" i="11"/>
  <c r="N127" i="11"/>
  <c r="N129" i="11" s="1"/>
  <c r="L13" i="13" s="1"/>
  <c r="K9" i="13"/>
  <c r="M15" i="8" s="1"/>
  <c r="J229" i="11"/>
  <c r="I230" i="11"/>
  <c r="I232" i="11" s="1"/>
  <c r="I234" i="11" s="1"/>
  <c r="G18" i="13" s="1"/>
  <c r="I81" i="8" s="1"/>
  <c r="N14" i="11"/>
  <c r="N13" i="11"/>
  <c r="N12" i="11"/>
  <c r="N203" i="11"/>
  <c r="N207" i="11" s="1"/>
  <c r="N202" i="11"/>
  <c r="N201" i="11"/>
  <c r="H16" i="13"/>
  <c r="J67" i="8" s="1"/>
  <c r="L87" i="11"/>
  <c r="J11" i="13" s="1"/>
  <c r="L31" i="8" s="1"/>
  <c r="M127" i="11"/>
  <c r="M125" i="11"/>
  <c r="O55" i="11"/>
  <c r="O54" i="11"/>
  <c r="O56" i="11"/>
  <c r="M106" i="11"/>
  <c r="M108" i="11" s="1"/>
  <c r="K12" i="13" s="1"/>
  <c r="M39" i="8" s="1"/>
  <c r="M102" i="11"/>
  <c r="M104" i="11" s="1"/>
  <c r="O14" i="11"/>
  <c r="O12" i="11"/>
  <c r="O13" i="11"/>
  <c r="M166" i="11"/>
  <c r="L167" i="11"/>
  <c r="L171" i="11" s="1"/>
  <c r="J15" i="13" s="1"/>
  <c r="L60" i="8" s="1"/>
  <c r="I211" i="11"/>
  <c r="I213" i="11" s="1"/>
  <c r="O202" i="11"/>
  <c r="O201" i="11"/>
  <c r="O203" i="11"/>
  <c r="L187" i="11"/>
  <c r="K188" i="11"/>
  <c r="K192" i="11" s="1"/>
  <c r="I16" i="13" s="1"/>
  <c r="K67" i="8" s="1"/>
  <c r="O186" i="11"/>
  <c r="R182" i="11"/>
  <c r="L22" i="11"/>
  <c r="L24" i="11" s="1"/>
  <c r="J8" i="13" s="1"/>
  <c r="L7" i="8" s="1"/>
  <c r="N146" i="11"/>
  <c r="N148" i="11"/>
  <c r="N150" i="11" s="1"/>
  <c r="L14" i="13" s="1"/>
  <c r="M85" i="11"/>
  <c r="M83" i="11"/>
  <c r="O39" i="11"/>
  <c r="O41" i="11" s="1"/>
  <c r="O43" i="11"/>
  <c r="O45" i="11" s="1"/>
  <c r="M9" i="13" s="1"/>
  <c r="R35" i="11"/>
  <c r="L64" i="11"/>
  <c r="L66" i="11" s="1"/>
  <c r="J10" i="13" s="1"/>
  <c r="L23" i="8" s="1"/>
  <c r="N190" i="11"/>
  <c r="G76" i="8"/>
  <c r="H76" i="8"/>
  <c r="K62" i="8"/>
  <c r="J62" i="8"/>
  <c r="L62" i="8"/>
  <c r="I62" i="8"/>
  <c r="O165" i="11"/>
  <c r="R161" i="11"/>
  <c r="E18" i="13"/>
  <c r="G81" i="8" s="1"/>
  <c r="G89" i="8" s="1"/>
  <c r="L109" i="8" s="1"/>
  <c r="L111" i="8" s="1"/>
  <c r="O144" i="11"/>
  <c r="R140" i="11"/>
  <c r="J13" i="13"/>
  <c r="L46" i="8" s="1"/>
  <c r="O224" i="11"/>
  <c r="O223" i="11"/>
  <c r="O222" i="11"/>
  <c r="N169" i="11"/>
  <c r="N55" i="11"/>
  <c r="N56" i="11"/>
  <c r="N54" i="11"/>
  <c r="N43" i="11"/>
  <c r="N45" i="11" s="1"/>
  <c r="L9" i="13" s="1"/>
  <c r="N39" i="11"/>
  <c r="N41" i="11" s="1"/>
  <c r="M60" i="11"/>
  <c r="M62" i="11" s="1"/>
  <c r="M18" i="11"/>
  <c r="M20" i="11" s="1"/>
  <c r="M22" i="11" s="1"/>
  <c r="K208" i="11"/>
  <c r="J209" i="11"/>
  <c r="J211" i="11" s="1"/>
  <c r="J213" i="11" s="1"/>
  <c r="H17" i="13" s="1"/>
  <c r="J74" i="8" s="1"/>
  <c r="O127" i="11"/>
  <c r="O125" i="11"/>
  <c r="R125" i="11" s="1"/>
  <c r="N224" i="11"/>
  <c r="N228" i="11" s="1"/>
  <c r="N223" i="11"/>
  <c r="N222" i="11"/>
  <c r="H11" i="13"/>
  <c r="J31" i="8" s="1"/>
  <c r="L9" i="8"/>
  <c r="J9" i="8"/>
  <c r="K9" i="8"/>
  <c r="M41" i="8"/>
  <c r="K14" i="13"/>
  <c r="M53" i="8" s="1"/>
  <c r="N76" i="11"/>
  <c r="N77" i="11"/>
  <c r="N81" i="11" s="1"/>
  <c r="N75" i="11"/>
  <c r="N98" i="11"/>
  <c r="N96" i="11"/>
  <c r="N97" i="11"/>
  <c r="O76" i="11"/>
  <c r="O75" i="11"/>
  <c r="O77" i="11"/>
  <c r="N102" i="11" l="1"/>
  <c r="N104" i="11" s="1"/>
  <c r="N106" i="11"/>
  <c r="N108" i="11" s="1"/>
  <c r="L12" i="13" s="1"/>
  <c r="M55" i="8"/>
  <c r="M64" i="11"/>
  <c r="M66" i="11" s="1"/>
  <c r="K10" i="13" s="1"/>
  <c r="M23" i="8" s="1"/>
  <c r="M25" i="8" s="1"/>
  <c r="O53" i="8"/>
  <c r="W53" i="8"/>
  <c r="P53" i="8"/>
  <c r="V53" i="8"/>
  <c r="R53" i="8"/>
  <c r="U53" i="8"/>
  <c r="Q53" i="8"/>
  <c r="N53" i="8"/>
  <c r="N55" i="8" s="1"/>
  <c r="T53" i="8"/>
  <c r="S53" i="8"/>
  <c r="N166" i="11"/>
  <c r="M167" i="11"/>
  <c r="M171" i="11" s="1"/>
  <c r="K15" i="13" s="1"/>
  <c r="M60" i="8" s="1"/>
  <c r="N18" i="11"/>
  <c r="N20" i="11" s="1"/>
  <c r="N22" i="11" s="1"/>
  <c r="R45" i="11"/>
  <c r="O106" i="11"/>
  <c r="O108" i="11" s="1"/>
  <c r="O102" i="11"/>
  <c r="O104" i="11" s="1"/>
  <c r="R104" i="11" s="1"/>
  <c r="R98" i="11"/>
  <c r="O81" i="11"/>
  <c r="R77" i="11"/>
  <c r="N83" i="11"/>
  <c r="N85" i="11"/>
  <c r="N87" i="11" s="1"/>
  <c r="L11" i="13" s="1"/>
  <c r="O129" i="11"/>
  <c r="M24" i="11"/>
  <c r="K8" i="13" s="1"/>
  <c r="M7" i="8" s="1"/>
  <c r="L48" i="8"/>
  <c r="G83" i="8"/>
  <c r="I83" i="8"/>
  <c r="H83" i="8"/>
  <c r="R41" i="11"/>
  <c r="M187" i="11"/>
  <c r="L188" i="11"/>
  <c r="L192" i="11" s="1"/>
  <c r="J16" i="13" s="1"/>
  <c r="L67" i="8" s="1"/>
  <c r="J33" i="8"/>
  <c r="K33" i="8"/>
  <c r="L33" i="8"/>
  <c r="L208" i="11"/>
  <c r="K209" i="11"/>
  <c r="K211" i="11" s="1"/>
  <c r="K213" i="11" s="1"/>
  <c r="I17" i="13" s="1"/>
  <c r="K74" i="8" s="1"/>
  <c r="O228" i="11"/>
  <c r="R224" i="11"/>
  <c r="O146" i="11"/>
  <c r="R146" i="11" s="1"/>
  <c r="O148" i="11"/>
  <c r="O150" i="11" s="1"/>
  <c r="O169" i="11"/>
  <c r="N60" i="11"/>
  <c r="N62" i="11" s="1"/>
  <c r="N64" i="11"/>
  <c r="N66" i="11" s="1"/>
  <c r="L10" i="13" s="1"/>
  <c r="O15" i="8"/>
  <c r="R15" i="8"/>
  <c r="N15" i="8"/>
  <c r="S15" i="8"/>
  <c r="U15" i="8"/>
  <c r="T15" i="8"/>
  <c r="P15" i="8"/>
  <c r="W15" i="8"/>
  <c r="V15" i="8"/>
  <c r="Q15" i="8"/>
  <c r="G91" i="8"/>
  <c r="H91" i="8"/>
  <c r="L25" i="8"/>
  <c r="O190" i="11"/>
  <c r="O207" i="11"/>
  <c r="R203" i="11"/>
  <c r="G17" i="13"/>
  <c r="I74" i="8" s="1"/>
  <c r="J69" i="8"/>
  <c r="K69" i="8"/>
  <c r="K229" i="11"/>
  <c r="J230" i="11"/>
  <c r="V46" i="8"/>
  <c r="U46" i="8"/>
  <c r="R46" i="8"/>
  <c r="S46" i="8"/>
  <c r="O46" i="8"/>
  <c r="Q46" i="8"/>
  <c r="W46" i="8"/>
  <c r="T46" i="8"/>
  <c r="N46" i="8"/>
  <c r="P46" i="8"/>
  <c r="M87" i="11"/>
  <c r="K11" i="13" s="1"/>
  <c r="M31" i="8" s="1"/>
  <c r="O18" i="11"/>
  <c r="O20" i="11" s="1"/>
  <c r="R14" i="11"/>
  <c r="O60" i="11"/>
  <c r="O62" i="11" s="1"/>
  <c r="R62" i="11" s="1"/>
  <c r="R56" i="11"/>
  <c r="M129" i="11"/>
  <c r="K13" i="13" s="1"/>
  <c r="M46" i="8" s="1"/>
  <c r="P48" i="8" s="1"/>
  <c r="M48" i="8" l="1"/>
  <c r="T48" i="8"/>
  <c r="S55" i="8"/>
  <c r="U55" i="8"/>
  <c r="P55" i="8"/>
  <c r="R48" i="8"/>
  <c r="W48" i="8"/>
  <c r="T55" i="8"/>
  <c r="L229" i="11"/>
  <c r="K230" i="11"/>
  <c r="K232" i="11" s="1"/>
  <c r="K234" i="11" s="1"/>
  <c r="I18" i="13" s="1"/>
  <c r="K81" i="8" s="1"/>
  <c r="K89" i="8" s="1"/>
  <c r="P109" i="8" s="1"/>
  <c r="P111" i="8" s="1"/>
  <c r="I76" i="8"/>
  <c r="I89" i="8"/>
  <c r="N109" i="8" s="1"/>
  <c r="N111" i="8" s="1"/>
  <c r="J76" i="8"/>
  <c r="K76" i="8"/>
  <c r="P23" i="8"/>
  <c r="R23" i="8"/>
  <c r="S23" i="8"/>
  <c r="W23" i="8"/>
  <c r="Q23" i="8"/>
  <c r="T23" i="8"/>
  <c r="O23" i="8"/>
  <c r="O25" i="8" s="1"/>
  <c r="N23" i="8"/>
  <c r="N25" i="8" s="1"/>
  <c r="U23" i="8"/>
  <c r="V23" i="8"/>
  <c r="M14" i="13"/>
  <c r="R150" i="11"/>
  <c r="M33" i="8"/>
  <c r="M9" i="8"/>
  <c r="O83" i="11"/>
  <c r="R83" i="11" s="1"/>
  <c r="O85" i="11"/>
  <c r="O87" i="11" s="1"/>
  <c r="O166" i="11"/>
  <c r="O167" i="11" s="1"/>
  <c r="N167" i="11"/>
  <c r="N171" i="11" s="1"/>
  <c r="L15" i="13" s="1"/>
  <c r="M208" i="11"/>
  <c r="L209" i="11"/>
  <c r="L211" i="11" s="1"/>
  <c r="L213" i="11" s="1"/>
  <c r="J17" i="13" s="1"/>
  <c r="L74" i="8" s="1"/>
  <c r="N187" i="11"/>
  <c r="M188" i="11"/>
  <c r="M192" i="11" s="1"/>
  <c r="K16" i="13" s="1"/>
  <c r="M67" i="8" s="1"/>
  <c r="O48" i="8"/>
  <c r="S48" i="8"/>
  <c r="N48" i="8"/>
  <c r="M13" i="13"/>
  <c r="R129" i="11"/>
  <c r="T31" i="8"/>
  <c r="R31" i="8"/>
  <c r="N31" i="8"/>
  <c r="S31" i="8"/>
  <c r="U31" i="8"/>
  <c r="O31" i="8"/>
  <c r="P31" i="8"/>
  <c r="W31" i="8"/>
  <c r="V31" i="8"/>
  <c r="Q31" i="8"/>
  <c r="Q55" i="8"/>
  <c r="P39" i="8"/>
  <c r="N39" i="8"/>
  <c r="Q39" i="8"/>
  <c r="S39" i="8"/>
  <c r="S41" i="8" s="1"/>
  <c r="R39" i="8"/>
  <c r="T39" i="8"/>
  <c r="V39" i="8"/>
  <c r="W39" i="8"/>
  <c r="O39" i="8"/>
  <c r="U39" i="8"/>
  <c r="V55" i="8"/>
  <c r="Q48" i="8"/>
  <c r="N24" i="11"/>
  <c r="L8" i="13" s="1"/>
  <c r="L69" i="8"/>
  <c r="D239" i="11"/>
  <c r="Q33" i="8"/>
  <c r="O64" i="11"/>
  <c r="O66" i="11" s="1"/>
  <c r="O22" i="11"/>
  <c r="O24" i="11" s="1"/>
  <c r="R20" i="11"/>
  <c r="J232" i="11"/>
  <c r="J234" i="11" s="1"/>
  <c r="O171" i="11"/>
  <c r="U48" i="8"/>
  <c r="V48" i="8"/>
  <c r="M12" i="13"/>
  <c r="R108" i="11"/>
  <c r="M62" i="8"/>
  <c r="R55" i="8"/>
  <c r="O55" i="8"/>
  <c r="W55" i="8"/>
  <c r="T33" i="8" l="1"/>
  <c r="V33" i="8"/>
  <c r="O33" i="8"/>
  <c r="U25" i="8"/>
  <c r="Q25" i="8"/>
  <c r="P25" i="8"/>
  <c r="R33" i="8"/>
  <c r="P33" i="8"/>
  <c r="S33" i="8"/>
  <c r="M10" i="13"/>
  <c r="R66" i="11"/>
  <c r="U41" i="8"/>
  <c r="T41" i="8"/>
  <c r="W41" i="8"/>
  <c r="N41" i="8"/>
  <c r="P41" i="8"/>
  <c r="O187" i="11"/>
  <c r="O188" i="11" s="1"/>
  <c r="N188" i="11"/>
  <c r="N192" i="11" s="1"/>
  <c r="L16" i="13" s="1"/>
  <c r="M11" i="13"/>
  <c r="R87" i="11"/>
  <c r="W33" i="8"/>
  <c r="S25" i="8"/>
  <c r="H18" i="13"/>
  <c r="J81" i="8" s="1"/>
  <c r="Q7" i="8"/>
  <c r="T7" i="8"/>
  <c r="W7" i="8"/>
  <c r="S7" i="8"/>
  <c r="N7" i="8"/>
  <c r="U7" i="8"/>
  <c r="V7" i="8"/>
  <c r="O7" i="8"/>
  <c r="R7" i="8"/>
  <c r="P7" i="8"/>
  <c r="O41" i="8"/>
  <c r="R41" i="8"/>
  <c r="N33" i="8"/>
  <c r="N208" i="11"/>
  <c r="M209" i="11"/>
  <c r="M211" i="11" s="1"/>
  <c r="M213" i="11" s="1"/>
  <c r="U33" i="8"/>
  <c r="V25" i="8"/>
  <c r="T25" i="8"/>
  <c r="R25" i="8"/>
  <c r="M229" i="11"/>
  <c r="L230" i="11"/>
  <c r="L232" i="11" s="1"/>
  <c r="L234" i="11" s="1"/>
  <c r="J18" i="13" s="1"/>
  <c r="L81" i="8" s="1"/>
  <c r="W60" i="8"/>
  <c r="U60" i="8"/>
  <c r="O60" i="8"/>
  <c r="N60" i="8"/>
  <c r="N62" i="8" s="1"/>
  <c r="R60" i="8"/>
  <c r="V60" i="8"/>
  <c r="T60" i="8"/>
  <c r="P60" i="8"/>
  <c r="S60" i="8"/>
  <c r="Q60" i="8"/>
  <c r="L76" i="8"/>
  <c r="V41" i="8"/>
  <c r="Q41" i="8"/>
  <c r="L89" i="8"/>
  <c r="Q109" i="8" s="1"/>
  <c r="Q111" i="8" s="1"/>
  <c r="M69" i="8"/>
  <c r="R167" i="11"/>
  <c r="W25" i="8"/>
  <c r="M15" i="13"/>
  <c r="R171" i="11"/>
  <c r="M8" i="13"/>
  <c r="R24" i="11"/>
  <c r="I91" i="8"/>
  <c r="Q62" i="8" l="1"/>
  <c r="P62" i="8"/>
  <c r="V62" i="8"/>
  <c r="K17" i="13"/>
  <c r="M74" i="8" s="1"/>
  <c r="V9" i="8"/>
  <c r="W9" i="8"/>
  <c r="J89" i="8"/>
  <c r="J83" i="8"/>
  <c r="L83" i="8"/>
  <c r="K83" i="8"/>
  <c r="S62" i="8"/>
  <c r="R62" i="8"/>
  <c r="W62" i="8"/>
  <c r="O208" i="11"/>
  <c r="O209" i="11" s="1"/>
  <c r="N209" i="11"/>
  <c r="N211" i="11" s="1"/>
  <c r="N213" i="11" s="1"/>
  <c r="L17" i="13" s="1"/>
  <c r="N74" i="8" s="1"/>
  <c r="P9" i="8"/>
  <c r="U9" i="8"/>
  <c r="T9" i="8"/>
  <c r="U62" i="8"/>
  <c r="R9" i="8"/>
  <c r="N9" i="8"/>
  <c r="Q9" i="8"/>
  <c r="T67" i="8"/>
  <c r="R67" i="8"/>
  <c r="U67" i="8"/>
  <c r="Q67" i="8"/>
  <c r="N67" i="8"/>
  <c r="N69" i="8" s="1"/>
  <c r="V67" i="8"/>
  <c r="W67" i="8"/>
  <c r="S67" i="8"/>
  <c r="P67" i="8"/>
  <c r="O67" i="8"/>
  <c r="T62" i="8"/>
  <c r="O62" i="8"/>
  <c r="N229" i="11"/>
  <c r="M230" i="11"/>
  <c r="M232" i="11" s="1"/>
  <c r="M234" i="11" s="1"/>
  <c r="K18" i="13" s="1"/>
  <c r="M81" i="8" s="1"/>
  <c r="O9" i="8"/>
  <c r="S9" i="8"/>
  <c r="R188" i="11"/>
  <c r="O192" i="11"/>
  <c r="N76" i="8" l="1"/>
  <c r="P69" i="8"/>
  <c r="O109" i="8"/>
  <c r="O111" i="8" s="1"/>
  <c r="T69" i="8"/>
  <c r="M83" i="8"/>
  <c r="M16" i="13"/>
  <c r="R192" i="11"/>
  <c r="O229" i="11"/>
  <c r="O230" i="11" s="1"/>
  <c r="N230" i="11"/>
  <c r="N232" i="11" s="1"/>
  <c r="N234" i="11" s="1"/>
  <c r="S69" i="8"/>
  <c r="Q69" i="8"/>
  <c r="J91" i="8"/>
  <c r="L91" i="8"/>
  <c r="K91" i="8"/>
  <c r="W69" i="8"/>
  <c r="U69" i="8"/>
  <c r="O69" i="8"/>
  <c r="V69" i="8"/>
  <c r="R69" i="8"/>
  <c r="O211" i="11"/>
  <c r="O213" i="11" s="1"/>
  <c r="R209" i="11"/>
  <c r="M76" i="8"/>
  <c r="M89" i="8"/>
  <c r="M91" i="8" l="1"/>
  <c r="R109" i="8"/>
  <c r="R111" i="8" s="1"/>
  <c r="M17" i="13"/>
  <c r="O74" i="8" s="1"/>
  <c r="R213" i="11"/>
  <c r="L18" i="13"/>
  <c r="O232" i="11"/>
  <c r="O234" i="11" s="1"/>
  <c r="M18" i="13" s="1"/>
  <c r="R230" i="11"/>
  <c r="D240" i="11" s="1"/>
  <c r="S81" i="8" l="1"/>
  <c r="S89" i="8" s="1"/>
  <c r="P81" i="8"/>
  <c r="P89" i="8" s="1"/>
  <c r="U109" i="8" s="1"/>
  <c r="U111" i="8" s="1"/>
  <c r="R81" i="8"/>
  <c r="Q81" i="8"/>
  <c r="Q89" i="8" s="1"/>
  <c r="V109" i="8" s="1"/>
  <c r="V111" i="8" s="1"/>
  <c r="U81" i="8"/>
  <c r="U89" i="8" s="1"/>
  <c r="N81" i="8"/>
  <c r="V81" i="8"/>
  <c r="V89" i="8" s="1"/>
  <c r="O81" i="8"/>
  <c r="W81" i="8"/>
  <c r="W89" i="8" s="1"/>
  <c r="T81" i="8"/>
  <c r="T89" i="8" s="1"/>
  <c r="R234" i="11"/>
  <c r="D241" i="11" s="1"/>
  <c r="E239" i="11" s="1"/>
  <c r="O76" i="8"/>
  <c r="S76" i="8"/>
  <c r="R76" i="8"/>
  <c r="V76" i="8"/>
  <c r="T76" i="8"/>
  <c r="U76" i="8"/>
  <c r="W76" i="8"/>
  <c r="P76" i="8"/>
  <c r="Q76" i="8"/>
  <c r="O89" i="8"/>
  <c r="T109" i="8" s="1"/>
  <c r="T111" i="8" s="1"/>
  <c r="E240" i="11" l="1"/>
  <c r="E241" i="11"/>
  <c r="R89" i="8"/>
  <c r="W109" i="8" s="1"/>
  <c r="W111" i="8" s="1"/>
  <c r="R83" i="8"/>
  <c r="O83" i="8"/>
  <c r="U83" i="8"/>
  <c r="P83" i="8"/>
  <c r="Q83" i="8"/>
  <c r="W83" i="8"/>
  <c r="N89" i="8"/>
  <c r="N83" i="8"/>
  <c r="V83" i="8"/>
  <c r="S83" i="8"/>
  <c r="T83" i="8"/>
  <c r="N91" i="8" l="1"/>
  <c r="S109" i="8"/>
  <c r="S111" i="8" s="1"/>
  <c r="B112" i="8" s="1"/>
  <c r="D24" i="15" s="1"/>
  <c r="C91" i="8"/>
  <c r="S91" i="8"/>
  <c r="U91" i="8"/>
  <c r="O91" i="8"/>
  <c r="P91" i="8"/>
  <c r="T91" i="8"/>
  <c r="V91" i="8"/>
  <c r="Q91" i="8"/>
  <c r="R91" i="8"/>
</calcChain>
</file>

<file path=xl/comments1.xml><?xml version="1.0" encoding="utf-8"?>
<comments xmlns="http://schemas.openxmlformats.org/spreadsheetml/2006/main">
  <authors>
    <author>user3</author>
  </authors>
  <commentList>
    <comment ref="T472" authorId="0" shapeId="0">
      <text>
        <r>
          <rPr>
            <b/>
            <sz val="8"/>
            <color indexed="81"/>
            <rFont val="Tahoma"/>
            <family val="2"/>
          </rPr>
          <t>user3:</t>
        </r>
        <r>
          <rPr>
            <sz val="8"/>
            <color indexed="81"/>
            <rFont val="Tahoma"/>
            <family val="2"/>
          </rPr>
          <t xml:space="preserve">
ME1E</t>
        </r>
      </text>
    </comment>
    <comment ref="V472" authorId="0" shapeId="0">
      <text>
        <r>
          <rPr>
            <b/>
            <sz val="8"/>
            <color indexed="81"/>
            <rFont val="Tahoma"/>
            <family val="2"/>
          </rPr>
          <t>user3:</t>
        </r>
        <r>
          <rPr>
            <sz val="8"/>
            <color indexed="81"/>
            <rFont val="Tahoma"/>
            <family val="2"/>
          </rPr>
          <t xml:space="preserve">
ME1E</t>
        </r>
      </text>
    </comment>
    <comment ref="W472" authorId="0" shapeId="0">
      <text>
        <r>
          <rPr>
            <b/>
            <sz val="8"/>
            <color indexed="81"/>
            <rFont val="Tahoma"/>
            <family val="2"/>
          </rPr>
          <t>user3:</t>
        </r>
        <r>
          <rPr>
            <sz val="8"/>
            <color indexed="81"/>
            <rFont val="Tahoma"/>
            <family val="2"/>
          </rPr>
          <t xml:space="preserve">
ME1E</t>
        </r>
      </text>
    </comment>
  </commentList>
</comments>
</file>

<file path=xl/comments2.xml><?xml version="1.0" encoding="utf-8"?>
<comments xmlns="http://schemas.openxmlformats.org/spreadsheetml/2006/main">
  <authors>
    <author>David S. Garber</author>
  </authors>
  <commentList>
    <comment ref="H9" authorId="0" shapeId="0">
      <text>
        <r>
          <rPr>
            <b/>
            <sz val="8"/>
            <color indexed="81"/>
            <rFont val="Tahoma"/>
            <family val="2"/>
          </rPr>
          <t>MCC:</t>
        </r>
        <r>
          <rPr>
            <sz val="8"/>
            <color indexed="81"/>
            <rFont val="Tahoma"/>
            <family val="2"/>
          </rPr>
          <t xml:space="preserve">
refurbish only</t>
        </r>
      </text>
    </comment>
  </commentList>
</comments>
</file>

<file path=xl/sharedStrings.xml><?xml version="1.0" encoding="utf-8"?>
<sst xmlns="http://schemas.openxmlformats.org/spreadsheetml/2006/main" count="3091" uniqueCount="1380">
  <si>
    <r>
      <t xml:space="preserve">   </t>
    </r>
    <r>
      <rPr>
        <u/>
        <sz val="10"/>
        <color indexed="12"/>
        <rFont val="Arial"/>
        <family val="2"/>
        <charset val="204"/>
      </rPr>
      <t>Activity Description</t>
    </r>
  </si>
  <si>
    <r>
      <t xml:space="preserve">   </t>
    </r>
    <r>
      <rPr>
        <u/>
        <sz val="10"/>
        <color indexed="12"/>
        <rFont val="Arial"/>
        <family val="2"/>
        <charset val="204"/>
      </rPr>
      <t>User's Guide</t>
    </r>
  </si>
  <si>
    <t>Morocco: Port Facilities</t>
  </si>
  <si>
    <t>Cash Flows Resulting from Investment ('000 DH)</t>
  </si>
  <si>
    <t>Investment Cost ('000 DH)</t>
  </si>
  <si>
    <t>Administrative Costs / Project Management of ONP (1)</t>
  </si>
  <si>
    <t>Percentage cost decrease on maintenance/repairs due to project</t>
  </si>
  <si>
    <t>Percent increase in the number of boats operating at port facilities</t>
  </si>
  <si>
    <t>Percentage increase in days at sea due to better equipment/infrastructure</t>
  </si>
  <si>
    <t>0 - 10%</t>
  </si>
  <si>
    <t>Artisan Fisheries Port Investment Summary</t>
  </si>
  <si>
    <t>Port</t>
  </si>
  <si>
    <t>Number of Items Requested</t>
  </si>
  <si>
    <t>Item:</t>
  </si>
  <si>
    <t>Mohammedia</t>
  </si>
  <si>
    <t>Safi</t>
  </si>
  <si>
    <t>Agadir</t>
  </si>
  <si>
    <t>Tan Tan</t>
  </si>
  <si>
    <t>Storerooms</t>
  </si>
  <si>
    <t>Floating Dock</t>
  </si>
  <si>
    <t>Mechanics' Workshop</t>
  </si>
  <si>
    <t>Woodwork Shop</t>
  </si>
  <si>
    <t>Fuel Storage Room</t>
  </si>
  <si>
    <t>Cold Storage Room</t>
  </si>
  <si>
    <t>Wall Enclosure</t>
  </si>
  <si>
    <t>Flood light Projectors</t>
  </si>
  <si>
    <t>Hygeine Center</t>
  </si>
  <si>
    <t>Co-op Office</t>
  </si>
  <si>
    <t>Auction Hall</t>
  </si>
  <si>
    <t>Ice Making Facility</t>
  </si>
  <si>
    <t>TOTAL</t>
  </si>
  <si>
    <t>Statistics of Interest</t>
  </si>
  <si>
    <t>Hypotheses -- Assumptions</t>
  </si>
  <si>
    <t>Export</t>
  </si>
  <si>
    <t>Total</t>
  </si>
  <si>
    <t>ELEMENTS</t>
  </si>
  <si>
    <t>Réf.</t>
  </si>
  <si>
    <t>An.1</t>
  </si>
  <si>
    <t>An.2</t>
  </si>
  <si>
    <t>An.3</t>
  </si>
  <si>
    <t>An.4</t>
  </si>
  <si>
    <t>An.5</t>
  </si>
  <si>
    <t>An.6</t>
  </si>
  <si>
    <t>An.7</t>
  </si>
  <si>
    <t>An.8</t>
  </si>
  <si>
    <t>An.9</t>
  </si>
  <si>
    <t>An.10</t>
  </si>
  <si>
    <t>An. 11-20</t>
  </si>
  <si>
    <t>An. 21-30</t>
  </si>
  <si>
    <t>Site:</t>
  </si>
  <si>
    <t>TanTan</t>
  </si>
  <si>
    <t>The most common revenue sharing system gives the armateur 1/2 of the revenues from which he pays all costs.  The other 1/2 is then split among all men on board (including the armateur is he is also on board).</t>
  </si>
  <si>
    <t>Year:</t>
  </si>
  <si>
    <t>ERR:</t>
  </si>
  <si>
    <t>In Aggregate</t>
  </si>
  <si>
    <t xml:space="preserve"> </t>
  </si>
  <si>
    <t>Maintenance and Repair Costs of Infrastructure</t>
  </si>
  <si>
    <t>(1)  Administrative Costs are total admin costs for fisheries project multiplied by 5.8%, the share of total investment in the PIAF project.</t>
  </si>
  <si>
    <t>Investment Cost Breakdown (1)</t>
  </si>
  <si>
    <t>(1)  ONP has not provided detailed equipment cost in the manner desired for this model; thus only total costs have been shown.</t>
  </si>
  <si>
    <t>Markup</t>
  </si>
  <si>
    <t>Yearly Equipment Costs and Depreciation</t>
  </si>
  <si>
    <t>Notes:</t>
  </si>
  <si>
    <t>Num. Boats Declared at Site</t>
  </si>
  <si>
    <t>ERR Calculations over 20 Years</t>
  </si>
  <si>
    <t>Num. Boats Exp.</t>
  </si>
  <si>
    <t>Operational Costs</t>
  </si>
  <si>
    <t>Last updated: 7/12/2007</t>
  </si>
  <si>
    <t>Amount of MCC funds</t>
  </si>
  <si>
    <t>Project Description</t>
  </si>
  <si>
    <t>Benefit streams included in ERR</t>
  </si>
  <si>
    <t>Incremental net revenues for the following groups:</t>
  </si>
  <si>
    <t xml:space="preserve">     1.   Fishermen</t>
  </si>
  <si>
    <t>Costs included in ERR (other than costs borne by MCC)</t>
  </si>
  <si>
    <t xml:space="preserve">Some changes (in both directions) in individual operating cost line items but total operating costs are expected to decrease with the project </t>
  </si>
  <si>
    <t>Estimated ERR and time horizon</t>
  </si>
  <si>
    <t>This sheet should be read first, as it offers a summary of the project, a list of components, and states the economic rationale for the activity.</t>
  </si>
  <si>
    <t>ERR &amp; Sensitivity Analysis</t>
  </si>
  <si>
    <t>This sheet contains brief summary of the activity's key parameters and ERR calculations, giving the user the opportunity to test the sensitivity to the ERR of various changes in parameters.</t>
  </si>
  <si>
    <t>Assumptions</t>
  </si>
  <si>
    <t>Lists the cost and impact assumptions used in the analysis.</t>
  </si>
  <si>
    <t>Value Chain</t>
  </si>
  <si>
    <t>Compares the annual operating expenses per boat with and without the activity.</t>
  </si>
  <si>
    <t>ERR and sensitivity analysis</t>
  </si>
  <si>
    <t>Parameter type</t>
  </si>
  <si>
    <t>Description of key parameters</t>
  </si>
  <si>
    <t>Parameter values</t>
  </si>
  <si>
    <t>User Input</t>
  </si>
  <si>
    <t>MCC Estimate</t>
  </si>
  <si>
    <t>Plausible Range</t>
  </si>
  <si>
    <t xml:space="preserve">Values used in ERR computation </t>
  </si>
  <si>
    <t>All summary parameters set to initial values?</t>
  </si>
  <si>
    <t>Actual costs as a percentage of estimated costs</t>
  </si>
  <si>
    <t>80 - 120%</t>
  </si>
  <si>
    <t>Actual benefits as a percentage of estimated benefits</t>
  </si>
  <si>
    <t>Specific</t>
  </si>
  <si>
    <t xml:space="preserve">   More Info</t>
  </si>
  <si>
    <t xml:space="preserve">Economic rate of return (ERR): </t>
  </si>
  <si>
    <t>Change the "User Input" cells in the table below to see the effect on the compact's Economic Rate of Return (ERR) and net benefits (see chart below).  To reset all values to the default MCC estimates, click the "Reset Parameters" button at right.  Be sure to reset all summary parameters to their original values ("MCC Estimate" values) before changing specific parameters.</t>
  </si>
  <si>
    <t>Summary</t>
  </si>
  <si>
    <t>Components</t>
  </si>
  <si>
    <t>Specifically, MCC Funding will support:</t>
  </si>
  <si>
    <t xml:space="preserve">             a.   The conservation of marine resources and management of marine protected areas</t>
  </si>
  <si>
    <t xml:space="preserve">             b.   More efficient navigation and fishing equipment</t>
  </si>
  <si>
    <t xml:space="preserve">             c.   Improved techniques to maintain hygiene and fish quality and safety at sea</t>
  </si>
  <si>
    <t xml:space="preserve">     2.   Technical and training assistance for small-scale fishers based at port facilities on:</t>
  </si>
  <si>
    <t>Economic Rationale</t>
  </si>
  <si>
    <t>ERR</t>
  </si>
  <si>
    <t>Boat Revenues</t>
  </si>
  <si>
    <t>Boat Costs</t>
  </si>
  <si>
    <t>Equipment Operational Costs</t>
  </si>
  <si>
    <t>Investment Breakdown</t>
  </si>
  <si>
    <t>Estimates the annual costs and benefits of the activity and computes the resulting ERR over a 20-year time period.</t>
  </si>
  <si>
    <t>Esimates the net benefits along each segment of the value chain as a result of the activity.</t>
  </si>
  <si>
    <t>Lists the annual operating and depreciation costs of port equipment.</t>
  </si>
  <si>
    <t>Gives a detailed summary of annual economic gains and losses as a result of the activity.</t>
  </si>
  <si>
    <t xml:space="preserve">     MCC investments seek to preserve the quality and increase the value of producers’ catch while reducing their operating costs, specifically those due to maintenance and repair. It is estimated that investments in storage rooms and on-site repair facilities will reduce the cost of maintenance and repair by approximately 18%. On average, revenue for fishers accessing PDA facilities will increase 30%.</t>
  </si>
  <si>
    <t>Value Chain Analysis -- Benefits along the Value Chain</t>
  </si>
  <si>
    <t>Fishers and boats</t>
  </si>
  <si>
    <t>Increased net benefits, boat ('000 DH)</t>
  </si>
  <si>
    <t>Increased net benefits for owner ('000 DH)</t>
  </si>
  <si>
    <t>Increased net benefits for fishers/sailors ('000 DH)</t>
  </si>
  <si>
    <t>Increased net benefits, entire site ('000 DH)</t>
  </si>
  <si>
    <t>Without Project</t>
  </si>
  <si>
    <t>With Project</t>
  </si>
  <si>
    <t>Ref.</t>
  </si>
  <si>
    <t>Year 1</t>
  </si>
  <si>
    <t>Year 2</t>
  </si>
  <si>
    <t>Year 3</t>
  </si>
  <si>
    <t>Year 4</t>
  </si>
  <si>
    <t>Year 5</t>
  </si>
  <si>
    <t>Year 6</t>
  </si>
  <si>
    <t>Year 7</t>
  </si>
  <si>
    <t>Year 8</t>
  </si>
  <si>
    <t>Year 9</t>
  </si>
  <si>
    <t xml:space="preserve"> Year 10</t>
  </si>
  <si>
    <t>Years 11-20</t>
  </si>
  <si>
    <t>Years 21-30</t>
  </si>
  <si>
    <t xml:space="preserve">  - Catch per boat trip in kg </t>
  </si>
  <si>
    <t xml:space="preserve">  - Days</t>
  </si>
  <si>
    <t xml:space="preserve">  - Average price of sales in dh/kg</t>
  </si>
  <si>
    <t>Total revenues/boat/year</t>
  </si>
  <si>
    <t>Impact of Project on Boat Expenses</t>
  </si>
  <si>
    <t>Difference in annual costs per boat after project</t>
  </si>
  <si>
    <t>Purchase of equipment and supplies</t>
  </si>
  <si>
    <t>Other external charges</t>
  </si>
  <si>
    <t>Taxes</t>
  </si>
  <si>
    <t>A' : Amortization ('000 DH)</t>
  </si>
  <si>
    <t>Elements of investment</t>
  </si>
  <si>
    <t>Equipment/contingencies</t>
  </si>
  <si>
    <t>Studies and control work</t>
  </si>
  <si>
    <t>Total annual amortizations ('000 DH)</t>
  </si>
  <si>
    <t>B: Other annual charges</t>
  </si>
  <si>
    <t>Annual maintenance charges (0.5% of the investment cost)  (2)</t>
  </si>
  <si>
    <t>Annual operating charges (10% of the investment cost)</t>
  </si>
  <si>
    <t>TOTAL ANNUAL CHARGES ('000 DH)</t>
  </si>
  <si>
    <t>Total other annual charges ('000 DH)</t>
  </si>
  <si>
    <t>Investment rates</t>
  </si>
  <si>
    <t>Duration (1)</t>
  </si>
  <si>
    <t>Gains in Revenues/Boat from Port</t>
  </si>
  <si>
    <t>Differential gain in revenues/boat/year</t>
  </si>
  <si>
    <t>Ras Kebdana</t>
  </si>
  <si>
    <t>Jebha</t>
  </si>
  <si>
    <t>Larache</t>
  </si>
  <si>
    <t>Mehdia</t>
  </si>
  <si>
    <t>Tarfaya</t>
  </si>
  <si>
    <t>Ports</t>
  </si>
  <si>
    <t>Port Sidi Ifni</t>
  </si>
  <si>
    <t>Port Tan Tan</t>
  </si>
  <si>
    <t>Port Tarafya</t>
  </si>
  <si>
    <t>Port Ras Kebdana</t>
  </si>
  <si>
    <t>Port-Mohammedia</t>
  </si>
  <si>
    <t>Port Larache</t>
  </si>
  <si>
    <t>Port Agadir</t>
  </si>
  <si>
    <t>Port Hoceima</t>
  </si>
  <si>
    <t>Port Jebha</t>
  </si>
  <si>
    <t>Port Mehdia</t>
  </si>
  <si>
    <t>Ensemble du projet</t>
  </si>
  <si>
    <t>Sidi Ifni</t>
  </si>
  <si>
    <t>Ras kebdana</t>
  </si>
  <si>
    <t>Hoceima</t>
  </si>
  <si>
    <t>Infrastructure &amp; Socio-collective facilities</t>
  </si>
  <si>
    <t>Administrative charges of the project (3)</t>
  </si>
  <si>
    <t>Local</t>
  </si>
  <si>
    <t>(MDH)</t>
  </si>
  <si>
    <t>El Hoceima</t>
  </si>
  <si>
    <t>Tan-Tan</t>
  </si>
  <si>
    <t>Sites</t>
  </si>
  <si>
    <t xml:space="preserve">Site </t>
  </si>
  <si>
    <t>SAFI</t>
  </si>
  <si>
    <t>AGADIR</t>
  </si>
  <si>
    <t>Sidi-Ifni</t>
  </si>
  <si>
    <t>Effets</t>
  </si>
  <si>
    <t>Impact</t>
  </si>
  <si>
    <t>OPERATIONS</t>
  </si>
  <si>
    <t>Droits</t>
  </si>
  <si>
    <t>COÛTS (DH)</t>
  </si>
  <si>
    <t>Opérations</t>
  </si>
  <si>
    <t>DH</t>
  </si>
  <si>
    <t>amortissement</t>
  </si>
  <si>
    <t>Totaloperating expenses/boat</t>
  </si>
  <si>
    <t>Annual ('000 DH)</t>
  </si>
  <si>
    <t>Volume( kg)</t>
  </si>
  <si>
    <t>DH/kg</t>
  </si>
  <si>
    <t>Ras Kebdanna</t>
  </si>
  <si>
    <t>Al Hoceima</t>
  </si>
  <si>
    <t>Annual costs per boat after project</t>
  </si>
  <si>
    <t>Annual costs per boat without project</t>
  </si>
  <si>
    <t>Annual fixed costs Flow  ('000 DH)</t>
  </si>
  <si>
    <r>
      <t xml:space="preserve">Detailed Summary of fixed costs flow(Year 1) </t>
    </r>
    <r>
      <rPr>
        <sz val="8"/>
        <rFont val="Arial"/>
        <family val="2"/>
      </rPr>
      <t>(3)</t>
    </r>
  </si>
  <si>
    <t>Increased net benefits, boat ( DH)</t>
  </si>
  <si>
    <t>Increased net benefits for owner (DH)</t>
  </si>
  <si>
    <t>Increased net benefits for fishers/sailors (DH)</t>
  </si>
  <si>
    <t xml:space="preserve">     2.   Intermediaries</t>
  </si>
  <si>
    <t>Increased net fishers benefits, entire site ('000 DH)</t>
  </si>
  <si>
    <t>Increased net global benefits, entire site ('000 DH)</t>
  </si>
  <si>
    <t xml:space="preserve">Detailed Summary of Project Gains and Losses </t>
  </si>
  <si>
    <t>Increase of the price due to the fish quality improvement after project</t>
  </si>
  <si>
    <t xml:space="preserve">Export </t>
  </si>
  <si>
    <t xml:space="preserve">Local </t>
  </si>
  <si>
    <t>Tables stating the current usage statistics for each port.</t>
  </si>
  <si>
    <t xml:space="preserve">Summarizes the investment costs and breaks them down by component. The training compoent is not integrated in the calculus, as well as the investment in the port of Safi. The introduction of this components will reduce </t>
  </si>
  <si>
    <t>M</t>
  </si>
  <si>
    <t>I</t>
  </si>
  <si>
    <t>T</t>
  </si>
  <si>
    <t>0 - 4%</t>
  </si>
  <si>
    <t>Elasticité</t>
  </si>
  <si>
    <t>Percent increase of the fish catch due to a better regeneration</t>
  </si>
  <si>
    <t>Percent increase of the fish catch due to technical improvements</t>
  </si>
  <si>
    <t xml:space="preserve">  - 10% - + 10%</t>
  </si>
  <si>
    <t>3 - 7 %</t>
  </si>
  <si>
    <t xml:space="preserve"> - 2 % - + 2 %</t>
  </si>
  <si>
    <t xml:space="preserve"> - 5 % - + 5 %</t>
  </si>
  <si>
    <t xml:space="preserve">Percent revenue of the value added share benefiting to fishers (versus intermediaries) </t>
  </si>
  <si>
    <t>Sensitivity test around the plausible parameters values</t>
  </si>
  <si>
    <t>No change</t>
  </si>
  <si>
    <t>Change in parameters</t>
  </si>
  <si>
    <r>
      <t xml:space="preserve">MCC Estimated ERR </t>
    </r>
    <r>
      <rPr>
        <b/>
        <sz val="8"/>
        <rFont val="Arial"/>
        <family val="2"/>
      </rPr>
      <t>(as of 9/06/2013)</t>
    </r>
    <r>
      <rPr>
        <b/>
        <sz val="10"/>
        <rFont val="Arial"/>
        <family val="2"/>
      </rPr>
      <t>:</t>
    </r>
  </si>
  <si>
    <t>Effectifs formés</t>
  </si>
  <si>
    <t>%</t>
  </si>
  <si>
    <t>Annual opérating costs (% of amortization)</t>
  </si>
  <si>
    <t>Annual opérating costs ratio of amortization</t>
  </si>
  <si>
    <t>0%-10%</t>
  </si>
  <si>
    <t>Contrat</t>
  </si>
  <si>
    <t>Lot</t>
  </si>
  <si>
    <t>Site</t>
  </si>
  <si>
    <t>Délai contractuel</t>
  </si>
  <si>
    <t xml:space="preserve">% </t>
  </si>
  <si>
    <t>% financier</t>
  </si>
  <si>
    <t>Coût actualisé</t>
  </si>
  <si>
    <t xml:space="preserve">DPA actualisée </t>
  </si>
  <si>
    <t>physique</t>
  </si>
  <si>
    <t>y/c risques  majeurs*</t>
  </si>
  <si>
    <t>AF-8.1</t>
  </si>
  <si>
    <t>Lot 2</t>
  </si>
  <si>
    <t>30/11/10</t>
  </si>
  <si>
    <t>√</t>
  </si>
  <si>
    <t>Lot 5</t>
  </si>
  <si>
    <t>Béni Mellal</t>
  </si>
  <si>
    <t>AF-8.2</t>
  </si>
  <si>
    <t>Lot 1</t>
  </si>
  <si>
    <t>19,5</t>
  </si>
  <si>
    <t>17/10/11</t>
  </si>
  <si>
    <t>Lot 6</t>
  </si>
  <si>
    <t>Meknès</t>
  </si>
  <si>
    <t>18/10/11</t>
  </si>
  <si>
    <t>Lot 10</t>
  </si>
  <si>
    <t>Marrakech</t>
  </si>
  <si>
    <t>18m16j</t>
  </si>
  <si>
    <t>21/11/11</t>
  </si>
  <si>
    <t>Lot 13</t>
  </si>
  <si>
    <t>25/10/11</t>
  </si>
  <si>
    <t>Lot 14</t>
  </si>
  <si>
    <t>26/10/11</t>
  </si>
  <si>
    <t>Lot 15</t>
  </si>
  <si>
    <t>22/02/12</t>
  </si>
  <si>
    <t>Lot 16</t>
  </si>
  <si>
    <t>Taza</t>
  </si>
  <si>
    <t>19m13j</t>
  </si>
  <si>
    <t>Lot 18</t>
  </si>
  <si>
    <t>13m4j</t>
  </si>
  <si>
    <t>20/04/12</t>
  </si>
  <si>
    <t>Lot 20</t>
  </si>
  <si>
    <t>Rabat</t>
  </si>
  <si>
    <t>16m7j</t>
  </si>
  <si>
    <t>21/03/12</t>
  </si>
  <si>
    <t>27/08/13</t>
  </si>
  <si>
    <t>Lot 23</t>
  </si>
  <si>
    <t>11m20j</t>
  </si>
  <si>
    <t>25/06/12</t>
  </si>
  <si>
    <t>Lot 24</t>
  </si>
  <si>
    <t>AF-8.7</t>
  </si>
  <si>
    <t>Lot 19</t>
  </si>
  <si>
    <t>30/06/12</t>
  </si>
  <si>
    <t>Lot 26</t>
  </si>
  <si>
    <t>11m21j</t>
  </si>
  <si>
    <t>27/06/12</t>
  </si>
  <si>
    <t>AF-9.2.A</t>
  </si>
  <si>
    <t>Projet Genre Sidi Ifni</t>
  </si>
  <si>
    <t>15/04/13</t>
  </si>
  <si>
    <t>15/08/13</t>
  </si>
  <si>
    <t>Cost in dirhams</t>
  </si>
  <si>
    <t>Site share among PDA+Ports:</t>
  </si>
  <si>
    <t>Tranche Quick Start</t>
  </si>
  <si>
    <t>Lot 4</t>
  </si>
  <si>
    <t>Tifnit</t>
  </si>
  <si>
    <t>PDA</t>
  </si>
  <si>
    <t>1 494 166</t>
  </si>
  <si>
    <t>Lot 7</t>
  </si>
  <si>
    <t>Bhibeh</t>
  </si>
  <si>
    <t>4 187 242</t>
  </si>
  <si>
    <t>Lot 8</t>
  </si>
  <si>
    <t>Sidi Abed</t>
  </si>
  <si>
    <t>19m24j</t>
  </si>
  <si>
    <t>19/10/11</t>
  </si>
  <si>
    <t>100% - 86%</t>
  </si>
  <si>
    <t>5 330 436</t>
  </si>
  <si>
    <t>Extension &amp; Genre</t>
  </si>
  <si>
    <t>Lot 9</t>
  </si>
  <si>
    <t>Tafedna</t>
  </si>
  <si>
    <t>14m25j</t>
  </si>
  <si>
    <t>4 126 633</t>
  </si>
  <si>
    <t>AF-8.3</t>
  </si>
  <si>
    <t>Lot 12</t>
  </si>
  <si>
    <t>Kaa Srass</t>
  </si>
  <si>
    <t>19m18j</t>
  </si>
  <si>
    <t>22/10/11</t>
  </si>
  <si>
    <t>5 223 547</t>
  </si>
  <si>
    <t>AF-8.4</t>
  </si>
  <si>
    <t>Lot 17</t>
  </si>
  <si>
    <t>Ksar Sghir</t>
  </si>
  <si>
    <t>14m5j</t>
  </si>
  <si>
    <t>3 860 973</t>
  </si>
  <si>
    <t>AF-8.5</t>
  </si>
  <si>
    <t>Lot 3</t>
  </si>
  <si>
    <t>Salé</t>
  </si>
  <si>
    <t>15m14j</t>
  </si>
  <si>
    <t>27/02/12</t>
  </si>
  <si>
    <t>3 781 233</t>
  </si>
  <si>
    <t>Lot 21</t>
  </si>
  <si>
    <t>Amtar</t>
  </si>
  <si>
    <t>15/02/12</t>
  </si>
  <si>
    <t>Lot 22</t>
  </si>
  <si>
    <t>Targha</t>
  </si>
  <si>
    <t>2 220 268</t>
  </si>
  <si>
    <t>AF-8.6</t>
  </si>
  <si>
    <t>Lot 11</t>
  </si>
  <si>
    <t>Akhfennir</t>
  </si>
  <si>
    <t>31/08/13</t>
  </si>
  <si>
    <t>7 835 944</t>
  </si>
  <si>
    <t>Lot 25</t>
  </si>
  <si>
    <t>Belyounech</t>
  </si>
  <si>
    <t>12m20j</t>
  </si>
  <si>
    <t>20/08/13</t>
  </si>
  <si>
    <t>3 816 822</t>
  </si>
  <si>
    <t>&amp; Extension</t>
  </si>
  <si>
    <t>1 412 380</t>
  </si>
  <si>
    <t>692 577</t>
  </si>
  <si>
    <t>Amtar (Tanger/Tet)</t>
  </si>
  <si>
    <t>PDA+Ports share of M&amp;E+admin:</t>
  </si>
  <si>
    <t>785 977</t>
  </si>
  <si>
    <t>Targha (Tanger/Tet)</t>
  </si>
  <si>
    <t>4 838 699</t>
  </si>
  <si>
    <t>Kaa Srass (Tanger/Tet)</t>
  </si>
  <si>
    <t>PDA share of M&amp;E+admin:</t>
  </si>
  <si>
    <t>Bel Younech (potential site) (Tanger/Tet)</t>
  </si>
  <si>
    <t>1 215 350</t>
  </si>
  <si>
    <t>Ksar Sghir (Tanger/Tet)</t>
  </si>
  <si>
    <t>1 179 643</t>
  </si>
  <si>
    <t>Salé (potential site)</t>
  </si>
  <si>
    <t>6 071 568</t>
  </si>
  <si>
    <t>Sidi Abed (El Jadida)</t>
  </si>
  <si>
    <t>3 959 272</t>
  </si>
  <si>
    <t>Tafedna (Essaouira)</t>
  </si>
  <si>
    <t>2 624 849</t>
  </si>
  <si>
    <t>Tifnit (Agadir)</t>
  </si>
  <si>
    <t>3 713 793</t>
  </si>
  <si>
    <t>Akhfenis</t>
  </si>
  <si>
    <t>2 713 469</t>
  </si>
  <si>
    <t>498 040</t>
  </si>
  <si>
    <t>1 482 283</t>
  </si>
  <si>
    <t>6 413 151</t>
  </si>
  <si>
    <t>570 261</t>
  </si>
  <si>
    <t>2 139 754</t>
  </si>
  <si>
    <t>1 388 288</t>
  </si>
  <si>
    <t>Contract #</t>
  </si>
  <si>
    <t>Year one</t>
  </si>
  <si>
    <t>Year two</t>
  </si>
  <si>
    <t>Year three</t>
  </si>
  <si>
    <t>Year four</t>
  </si>
  <si>
    <t>Year five</t>
  </si>
  <si>
    <t>Compact Quarter 1</t>
  </si>
  <si>
    <t>Compact Quarter 2</t>
  </si>
  <si>
    <t>Compact Quarter 3</t>
  </si>
  <si>
    <t>Compact Quarter 4</t>
  </si>
  <si>
    <t>Compact Quarter 5</t>
  </si>
  <si>
    <t>Compact Quarter 6</t>
  </si>
  <si>
    <t xml:space="preserve">Compact Quarter
7 </t>
  </si>
  <si>
    <t>Compact Quarter 8</t>
  </si>
  <si>
    <t>Compact Quarter 9</t>
  </si>
  <si>
    <t>Compact Quarter 10</t>
  </si>
  <si>
    <t>Compact Quarter 11</t>
  </si>
  <si>
    <t>Compact Quarter 12</t>
  </si>
  <si>
    <t>Compact Quarter 13</t>
  </si>
  <si>
    <t>Compact Quarter 14</t>
  </si>
  <si>
    <t>Compact Quarter 15</t>
  </si>
  <si>
    <t>Compact Quarter 16</t>
  </si>
  <si>
    <t>Compact Quarter 17</t>
  </si>
  <si>
    <t>Compact Quarter 18</t>
  </si>
  <si>
    <t xml:space="preserve">Projected Commitments during Current Period </t>
  </si>
  <si>
    <t>Total Compact Quarter 20</t>
  </si>
  <si>
    <t>Likely not to be paid/Not allocated</t>
  </si>
  <si>
    <t>Cash Disbursements As Currently Forecasted</t>
  </si>
  <si>
    <t>As Per Current Approved Multi-Year Financial Plan (From QFR Schedule B - Column 5)</t>
  </si>
  <si>
    <t>Projection vs. Approved Plan Under / (Over)
Budget
Difference</t>
  </si>
  <si>
    <t>Calendar Month/Quarter -&gt;</t>
  </si>
  <si>
    <t>Oct '08
Dec '08</t>
  </si>
  <si>
    <t>Jan '09
Mar '09</t>
  </si>
  <si>
    <t>Apr '09
Jun '09</t>
  </si>
  <si>
    <t>Jul '09
Sep '09</t>
  </si>
  <si>
    <t>Oct '09
Dec '09</t>
  </si>
  <si>
    <t>Jan '10
Mar '10</t>
  </si>
  <si>
    <t>Apr '10
Jun '10</t>
  </si>
  <si>
    <t>Jul '10
Sep '10</t>
  </si>
  <si>
    <t>Oct '10
Dec '10</t>
  </si>
  <si>
    <t>Jan '11
Mar '11</t>
  </si>
  <si>
    <t>Apr '11
Jun '11</t>
  </si>
  <si>
    <t>Jul '11
Sep '11</t>
  </si>
  <si>
    <t>Oct '11
Dec '11</t>
  </si>
  <si>
    <t>Jan '12
Mar '12</t>
  </si>
  <si>
    <t>Apr '12
Jun '12</t>
  </si>
  <si>
    <t>Jul '12
Sep '12</t>
  </si>
  <si>
    <t>Oct '12
Dec '12</t>
  </si>
  <si>
    <t>Jan '13
Mar '13</t>
  </si>
  <si>
    <t>Apr '13
Jun '13</t>
  </si>
  <si>
    <t>Jul '13
Jan '14</t>
  </si>
  <si>
    <t>M&amp;E admin share:</t>
  </si>
  <si>
    <t>Column 5</t>
  </si>
  <si>
    <t>Column 9</t>
  </si>
  <si>
    <t>Column 13</t>
  </si>
  <si>
    <t>Column 17</t>
  </si>
  <si>
    <t>Column 21</t>
  </si>
  <si>
    <t>Column 25</t>
  </si>
  <si>
    <t>Column 29</t>
  </si>
  <si>
    <t>Column 33</t>
  </si>
  <si>
    <t>Column 37</t>
  </si>
  <si>
    <t>Column 41</t>
  </si>
  <si>
    <t>Column 45</t>
  </si>
  <si>
    <t>Column 49</t>
  </si>
  <si>
    <t>Column 53</t>
  </si>
  <si>
    <t>Column 57</t>
  </si>
  <si>
    <t>Column 61</t>
  </si>
  <si>
    <t>Column 65</t>
  </si>
  <si>
    <t>Column 69</t>
  </si>
  <si>
    <t>Column 73</t>
  </si>
  <si>
    <t>Column 77</t>
  </si>
  <si>
    <t>Column 81</t>
  </si>
  <si>
    <t>Column 80</t>
  </si>
  <si>
    <t>Column 82</t>
  </si>
  <si>
    <t>Column 83</t>
  </si>
  <si>
    <t>Column 84</t>
  </si>
  <si>
    <t>1. Fruit Tree Productivity Project</t>
  </si>
  <si>
    <t>A. Rain-fed Olive, Almond and Fig Tree Intensification and Expansion</t>
  </si>
  <si>
    <t>TC-01A,3A,5A</t>
  </si>
  <si>
    <t>Strategic Envrironmental Assessment and Feasibility Studies</t>
  </si>
  <si>
    <t>TC-01A</t>
  </si>
  <si>
    <t>Mitigation and Management of Environmental and Social Impacts</t>
  </si>
  <si>
    <t>TC-G-01A1</t>
  </si>
  <si>
    <t>Training of Beneficiaries and their Professional Organizations</t>
  </si>
  <si>
    <t>TC-05A</t>
  </si>
  <si>
    <t>Expansion of plantings in rainfed areas (120,000 Ha)</t>
  </si>
  <si>
    <t>TC-03AP, 03A1-3</t>
  </si>
  <si>
    <t>TC-03AP</t>
  </si>
  <si>
    <t>TC-03A1</t>
  </si>
  <si>
    <t>TC-03A1 bis Oliviers</t>
  </si>
  <si>
    <t>TC-03A1 bis Amendiers</t>
  </si>
  <si>
    <t>TC-03A2.1</t>
  </si>
  <si>
    <t>TC-03A2.2</t>
  </si>
  <si>
    <t>TC-03A2.3</t>
  </si>
  <si>
    <t>TC-03A3</t>
  </si>
  <si>
    <t>Technical Assistance for the rehabilitation of plantings in rainfed areas (55,000Ha)</t>
  </si>
  <si>
    <t>Contract Revaluation Balance</t>
  </si>
  <si>
    <t>Budget not committed 
   (to achieve full Comact budget)</t>
  </si>
  <si>
    <t>Cost Contingency &amp; Non-contracted expenses</t>
  </si>
  <si>
    <t>B. Olive Tree Irrigation and Intensification</t>
  </si>
  <si>
    <t>TC-01B,03B,05A</t>
  </si>
  <si>
    <t>Strategic Envrironmental Assessment, Feasibility Studies &amp; Construction Supervision Services</t>
  </si>
  <si>
    <t>TC-01B</t>
  </si>
  <si>
    <t>Construction of irrigation works and rehabilitation of plantations in PMH zones</t>
  </si>
  <si>
    <t>TC-03B/TC-05A</t>
  </si>
  <si>
    <t>Irrigation construction works</t>
  </si>
  <si>
    <t>TC-03B</t>
  </si>
  <si>
    <t>Irrigation construction works - 1st Tranche</t>
  </si>
  <si>
    <t>TC-03B1</t>
  </si>
  <si>
    <t>Irrigation construction works - 2nd Tranche</t>
  </si>
  <si>
    <t>TC-03B2</t>
  </si>
  <si>
    <t>Irrigation construction works - 3rd Tranche</t>
  </si>
  <si>
    <t>TC-03B3</t>
  </si>
  <si>
    <t>Irrigation construction works - 2nd Tranche BIS</t>
  </si>
  <si>
    <t>TC-03B2bis</t>
  </si>
  <si>
    <t>Irrigation construction works - 3rd Tranche BIS</t>
  </si>
  <si>
    <t>TC-03B3bis</t>
  </si>
  <si>
    <t>Technical assistance for rehabilitation</t>
  </si>
  <si>
    <t>C. Date Tree Irrigation and Intensification</t>
  </si>
  <si>
    <t>TC-01B,3B1-2,5B,6A.1-2,8</t>
  </si>
  <si>
    <t xml:space="preserve">Construction of irrigation works and rehabiliation of palm groves in oases </t>
  </si>
  <si>
    <t>TC-03B,05B,06A,08</t>
  </si>
  <si>
    <t>'Irrigation construction works</t>
  </si>
  <si>
    <t>Irrigatation construction works - 1st Tranche</t>
  </si>
  <si>
    <t>Irrigatation construction works - 2nd Tranche</t>
  </si>
  <si>
    <t>Irrigatation construction works - 3nd Tranche</t>
  </si>
  <si>
    <t>Irrigatation construction works - 2nd Tranche BIS</t>
  </si>
  <si>
    <t>Regeneration and rehabilitation of palm groves</t>
  </si>
  <si>
    <t>TC-06A.1-2</t>
  </si>
  <si>
    <t>In-planting (in-vitro and shoots)</t>
  </si>
  <si>
    <t>TC-06A.1</t>
  </si>
  <si>
    <t>Rehabilitation (thinning suckers)</t>
  </si>
  <si>
    <t>TC-06A.2</t>
  </si>
  <si>
    <t>TC-06A2bis</t>
  </si>
  <si>
    <t>TC-05B</t>
  </si>
  <si>
    <t>D. Fruit Tree Sector Services</t>
  </si>
  <si>
    <t>TC-02A/B,4A,5A/B,6B,7A</t>
  </si>
  <si>
    <t>Support and Development of Service and Value-Adding Service organizations</t>
  </si>
  <si>
    <t>TC-05A,05B</t>
  </si>
  <si>
    <t>Olives, Almonds, and Figs</t>
  </si>
  <si>
    <t>Dates</t>
  </si>
  <si>
    <t xml:space="preserve">Training (upstream and downstream value chain operators) </t>
  </si>
  <si>
    <t>Certification program</t>
  </si>
  <si>
    <t>TC-05A1.1</t>
  </si>
  <si>
    <t>TC-05A1.2</t>
  </si>
  <si>
    <t>Environmental impact evaluation (support for olive processors for impact evaluation)</t>
  </si>
  <si>
    <t>Support secondary cooperatives and professional organizations</t>
  </si>
  <si>
    <t>TC-06B</t>
  </si>
  <si>
    <t>TC-06B1</t>
  </si>
  <si>
    <t>TC-06B1bis</t>
  </si>
  <si>
    <t>TC-06B2</t>
  </si>
  <si>
    <t>TC-06B3</t>
  </si>
  <si>
    <t>TC-06B4</t>
  </si>
  <si>
    <t>TC-06B5</t>
  </si>
  <si>
    <t>TC-06B7</t>
  </si>
  <si>
    <t xml:space="preserve">Support for marketing activities </t>
  </si>
  <si>
    <t>TC-05A-C</t>
  </si>
  <si>
    <t xml:space="preserve">TC-05A2 </t>
  </si>
  <si>
    <t>TC-05B2</t>
  </si>
  <si>
    <t>Marketing &amp; Investment Promotion Expert</t>
  </si>
  <si>
    <t>TC-05C</t>
  </si>
  <si>
    <t xml:space="preserve">Training needs assessment of different actors (plans and training activities) </t>
  </si>
  <si>
    <t>TC-02A</t>
  </si>
  <si>
    <t>Strengthening the environmental and social (assessment and management) capacities (MinAg)</t>
  </si>
  <si>
    <t>TC-02B</t>
  </si>
  <si>
    <t>Research /Scientific Support</t>
  </si>
  <si>
    <t>TC-04A,07A</t>
  </si>
  <si>
    <t>Applied research</t>
  </si>
  <si>
    <t>TC-04A</t>
  </si>
  <si>
    <t>TC-G-04.A1</t>
  </si>
  <si>
    <t>Applied research (ST Consultants)</t>
  </si>
  <si>
    <t>TC-04A.2</t>
  </si>
  <si>
    <t>Applied research (Conferences &amp; Seminars)</t>
  </si>
  <si>
    <t>TC-04A.3</t>
  </si>
  <si>
    <t>Carbon financing assessment</t>
  </si>
  <si>
    <t>TC-07</t>
  </si>
  <si>
    <t>Strengthening women's organizations (assessment and integration plan)</t>
  </si>
  <si>
    <t>TC-G-05A3,05B3</t>
  </si>
  <si>
    <t>Strengthening women's organizations (assessment and integration plan for Olives, Almonds, and Figs)</t>
  </si>
  <si>
    <t>TC-G-05A3</t>
  </si>
  <si>
    <t>Strengthening women's organizations (assessment and integration plan for Dates)</t>
  </si>
  <si>
    <t>TC-G-05B3</t>
  </si>
  <si>
    <t>E. Catalyst Fund</t>
  </si>
  <si>
    <t>TC-09/TC-G</t>
  </si>
  <si>
    <t>Investment Fund</t>
  </si>
  <si>
    <t>TC-G-09.3</t>
  </si>
  <si>
    <t>Consultant on the Public-Private Partnership</t>
  </si>
  <si>
    <t>TC-09.1</t>
  </si>
  <si>
    <t>Avenant TC-5A</t>
  </si>
  <si>
    <t>Etudes, suivi et contrôle</t>
  </si>
  <si>
    <t>TC-09.4</t>
  </si>
  <si>
    <t>Salaries &amp; Per Diem</t>
  </si>
  <si>
    <t>TC-?</t>
  </si>
  <si>
    <t>Admin</t>
  </si>
  <si>
    <t xml:space="preserve">Equipment </t>
  </si>
  <si>
    <t>Travel</t>
  </si>
  <si>
    <t>Events</t>
  </si>
  <si>
    <t>F. MAPM Admin</t>
  </si>
  <si>
    <t>ADMIN</t>
  </si>
  <si>
    <t>Salaries</t>
  </si>
  <si>
    <t xml:space="preserve">Admin Expenses </t>
  </si>
  <si>
    <t>TOTAL - Fruit Tree Productivity</t>
  </si>
  <si>
    <t>2. Small-scale Fisheries Project</t>
  </si>
  <si>
    <t>A. Development of Fish Landing Sites and Port Facilities</t>
  </si>
  <si>
    <t>AF-1-3,7-10,20-22</t>
  </si>
  <si>
    <t>Construction of 20 fish landing sites (PDA's) and 13 ports</t>
  </si>
  <si>
    <t>AF-01,08,10</t>
  </si>
  <si>
    <t>Studies</t>
  </si>
  <si>
    <t>AF-01</t>
  </si>
  <si>
    <t>AF-01.2</t>
  </si>
  <si>
    <t>Construction - QS</t>
  </si>
  <si>
    <t>AF-08.1</t>
  </si>
  <si>
    <t>Construction -Tranche 1</t>
  </si>
  <si>
    <t>AF-08.2</t>
  </si>
  <si>
    <t>Construction -Tranche 2</t>
  </si>
  <si>
    <t>AF-08.3</t>
  </si>
  <si>
    <t>Construction -Tranche 3</t>
  </si>
  <si>
    <t>AF-08.4</t>
  </si>
  <si>
    <t>Construction -Tranche 4</t>
  </si>
  <si>
    <t>AF-08.5</t>
  </si>
  <si>
    <t>Construction -Tranche 5</t>
  </si>
  <si>
    <t>AF-08.6</t>
  </si>
  <si>
    <t>Construction -Tranche 6</t>
  </si>
  <si>
    <t>AF-08.7</t>
  </si>
  <si>
    <t>AF-08.8</t>
  </si>
  <si>
    <t>Sites Equipment QS</t>
  </si>
  <si>
    <t>AF-10.1</t>
  </si>
  <si>
    <t>Sites Equipment - Tranche 1</t>
  </si>
  <si>
    <t>AF-10.2</t>
  </si>
  <si>
    <t>Telephone Equipment</t>
  </si>
  <si>
    <t>AF-10,4</t>
  </si>
  <si>
    <t>Equipment for compliance to Quality centers</t>
  </si>
  <si>
    <t>AF-10,5</t>
  </si>
  <si>
    <t>Communication material</t>
  </si>
  <si>
    <t>AF-10,6</t>
  </si>
  <si>
    <t xml:space="preserve">Construction of facilities at 13 ports </t>
  </si>
  <si>
    <t>AF-01;08;10</t>
  </si>
  <si>
    <t>Training fishers at PDA sites and ports</t>
  </si>
  <si>
    <t>AF-20,22</t>
  </si>
  <si>
    <t>Development of TOR for training</t>
  </si>
  <si>
    <t>AF-20</t>
  </si>
  <si>
    <t>AF-G-22</t>
  </si>
  <si>
    <t>AF-G-23</t>
  </si>
  <si>
    <t>Gender Assessment and Integration Plan</t>
  </si>
  <si>
    <t>AF-G-09</t>
  </si>
  <si>
    <t>Technical Assistance</t>
  </si>
  <si>
    <t>AF-G-09.1</t>
  </si>
  <si>
    <t>AF-09.2.C</t>
  </si>
  <si>
    <t>Construction works of  gender unit in Sidi Ifni</t>
  </si>
  <si>
    <t>AF-09.2.A</t>
  </si>
  <si>
    <t>Equipment of gender units in Sidi Ifni and Sidi Abed</t>
  </si>
  <si>
    <t>AF-09.2.B</t>
  </si>
  <si>
    <t>Awarness Campaign on HIV/AIDS</t>
  </si>
  <si>
    <t>AF-G-11</t>
  </si>
  <si>
    <t xml:space="preserve">Implementation </t>
  </si>
  <si>
    <t>Resource Sustainability</t>
  </si>
  <si>
    <t>AF-07,21</t>
  </si>
  <si>
    <t>MPA - Service Providers</t>
  </si>
  <si>
    <t>AF-07.1</t>
  </si>
  <si>
    <t>MPA Implementation</t>
  </si>
  <si>
    <t>AF-07.11</t>
  </si>
  <si>
    <t>Development of TOR for research</t>
  </si>
  <si>
    <t>AF-21</t>
  </si>
  <si>
    <t>Fisheries Research (INRH)</t>
  </si>
  <si>
    <t>AF-G-07.2</t>
  </si>
  <si>
    <t>B. Development of Wholesale Fish Markets</t>
  </si>
  <si>
    <t>AF-1,2,5,6,8,10</t>
  </si>
  <si>
    <t>Construction of 6 wholesale fish markets</t>
  </si>
  <si>
    <t>AF-1/AF-1.2/AF-2</t>
  </si>
  <si>
    <t>Construction - Tranche 7</t>
  </si>
  <si>
    <t>Washing Tunnels</t>
  </si>
  <si>
    <t>AF-10,3</t>
  </si>
  <si>
    <t xml:space="preserve">Training wholesale market managers and users </t>
  </si>
  <si>
    <t>AF-06</t>
  </si>
  <si>
    <t>Training support and training</t>
  </si>
  <si>
    <t>C. Support to Mobile Fish Vendors</t>
  </si>
  <si>
    <t>AF-04 - 06</t>
  </si>
  <si>
    <t>Technical Assistance to Mobile Fish Vendors and Market Managers</t>
  </si>
  <si>
    <t>Program design and baseline studies</t>
  </si>
  <si>
    <t>AF-05</t>
  </si>
  <si>
    <t>Acquisition of Equipment</t>
  </si>
  <si>
    <t>AF-G-04</t>
  </si>
  <si>
    <t>D. ONP Admin</t>
  </si>
  <si>
    <t>E. DPM Admin</t>
  </si>
  <si>
    <t>TOTAL - Small-scale Fisheries</t>
  </si>
  <si>
    <t>3. Artisan and Fez Medina Project</t>
  </si>
  <si>
    <t>A. Literacy and Vocational Education</t>
  </si>
  <si>
    <t>AFM-30-46</t>
  </si>
  <si>
    <t>Program Mgmt (Sub-activity 1,2,3)</t>
  </si>
  <si>
    <t>AFM-30</t>
  </si>
  <si>
    <t>Fixed Cost Fees</t>
  </si>
  <si>
    <t>Reimbursable Costs</t>
  </si>
  <si>
    <t>Functional Literacy</t>
  </si>
  <si>
    <t>AFM-31-33,38-42</t>
  </si>
  <si>
    <t>Curriculum Development Consultant</t>
  </si>
  <si>
    <t>AFM-G-31</t>
  </si>
  <si>
    <t xml:space="preserve">Classroom Equipment </t>
  </si>
  <si>
    <t>AFM-32</t>
  </si>
  <si>
    <t>Communications Consultant</t>
  </si>
  <si>
    <t>AFM-33</t>
  </si>
  <si>
    <t>Awareness Campaign</t>
  </si>
  <si>
    <t>AFM-41</t>
  </si>
  <si>
    <t>Printing - First Level Guides</t>
  </si>
  <si>
    <t>AFM-42</t>
  </si>
  <si>
    <t>Artisan Literacy Trainings</t>
  </si>
  <si>
    <t>AFM-G-39</t>
  </si>
  <si>
    <t>Agriculture and Fisheries Literacy Trainings</t>
  </si>
  <si>
    <t>AFM-40</t>
  </si>
  <si>
    <t>Consultant Support</t>
  </si>
  <si>
    <t>AFM-38</t>
  </si>
  <si>
    <t xml:space="preserve">Vocational Training </t>
  </si>
  <si>
    <t>AFM-34-37, 44-46</t>
  </si>
  <si>
    <t>AFM-34</t>
  </si>
  <si>
    <t>Training Equipment Vendor</t>
  </si>
  <si>
    <t>AFM-35</t>
  </si>
  <si>
    <t>Vocational Training Consultant</t>
  </si>
  <si>
    <t>AFM-36</t>
  </si>
  <si>
    <t>AFM-37</t>
  </si>
  <si>
    <t>System Governance Study</t>
  </si>
  <si>
    <t>AFM-44</t>
  </si>
  <si>
    <t xml:space="preserve">Consultant for Strategic Management Plans </t>
  </si>
  <si>
    <t>AFM-45</t>
  </si>
  <si>
    <t>Institutionalization and Sustainability Studies</t>
  </si>
  <si>
    <t>AFM-46</t>
  </si>
  <si>
    <t>Communication/Impressions Publications</t>
  </si>
  <si>
    <t>AFM-47</t>
  </si>
  <si>
    <t xml:space="preserve">Small Grants Program </t>
  </si>
  <si>
    <t>AFM-43</t>
  </si>
  <si>
    <t>Other Grants Projects Artisan</t>
  </si>
  <si>
    <t>AFM-G-43b</t>
  </si>
  <si>
    <t>Other Grants Projects Agriculture &amp; Fisheries</t>
  </si>
  <si>
    <t>AFM-G-43c</t>
  </si>
  <si>
    <t>Administration Literacy &amp; Voc. Training</t>
  </si>
  <si>
    <t>AFM-UGA</t>
  </si>
  <si>
    <t>AFM-UGA1</t>
  </si>
  <si>
    <t>Travel, Equipment and Workshops</t>
  </si>
  <si>
    <t>AFM-UGA2</t>
  </si>
  <si>
    <t>B. Artisan Production</t>
  </si>
  <si>
    <t>AFM-1,2,17</t>
  </si>
  <si>
    <t>Kiln ESIA study</t>
  </si>
  <si>
    <t>AFM-17</t>
  </si>
  <si>
    <t>Ind. Consultant to finalize the Kiln Acquisition procedure</t>
  </si>
  <si>
    <t>AFM-02P</t>
  </si>
  <si>
    <t>Kilns - Acquisition</t>
  </si>
  <si>
    <t>AFM-G-02</t>
  </si>
  <si>
    <t>Kilns - Project Mgmt /Demonstration</t>
  </si>
  <si>
    <t>AFM-01/AFM-01K</t>
  </si>
  <si>
    <t>Acquisition of Kilns for demonstration</t>
  </si>
  <si>
    <t>AFM-01K</t>
  </si>
  <si>
    <t>Kilns - Project Mgmt Consultant</t>
  </si>
  <si>
    <t>AFM-01</t>
  </si>
  <si>
    <t>AFM-01K1</t>
  </si>
  <si>
    <t>Enviromental and Social Mitigations Costs</t>
  </si>
  <si>
    <t>AFM-17M</t>
  </si>
  <si>
    <t xml:space="preserve">Acquisition of individual and collective security &amp; protection equipment </t>
  </si>
  <si>
    <t>AFM-17ME Lot1</t>
  </si>
  <si>
    <t>AFM-17ME Lot2</t>
  </si>
  <si>
    <t>AFM-17ME Lot3</t>
  </si>
  <si>
    <t>Technical Assistance for Certification of Gas Kilns</t>
  </si>
  <si>
    <t>AFM-02C</t>
  </si>
  <si>
    <t>C. Fez Medina</t>
  </si>
  <si>
    <t>AFM-7-16,18-21</t>
  </si>
  <si>
    <t>Feasibility/design studies, project management, ESIA, RAP</t>
  </si>
  <si>
    <t>AFM-7,21</t>
  </si>
  <si>
    <t>AFM-07B</t>
  </si>
  <si>
    <t>AFM-07B1</t>
  </si>
  <si>
    <t>TOR for AFM - 7</t>
  </si>
  <si>
    <t>AFM-07B2</t>
  </si>
  <si>
    <t>AFM Consultant Juridique</t>
  </si>
  <si>
    <t>AFM-21</t>
  </si>
  <si>
    <t xml:space="preserve">AFM Consultant </t>
  </si>
  <si>
    <t>AFM-07BC</t>
  </si>
  <si>
    <t>AFM-07B3</t>
  </si>
  <si>
    <t>AFM-07R9</t>
  </si>
  <si>
    <t>AFM-07B9</t>
  </si>
  <si>
    <t xml:space="preserve">Laboratoire </t>
  </si>
  <si>
    <t>AFM-07B1/07B2bis</t>
  </si>
  <si>
    <t>AFM-D-43, 07R</t>
  </si>
  <si>
    <t>Notaire (1)</t>
  </si>
  <si>
    <t>AFM-D-43.1</t>
  </si>
  <si>
    <t>Notaire (2)</t>
  </si>
  <si>
    <t>AFM-D-43.2</t>
  </si>
  <si>
    <t>Adouls (2 adouls)</t>
  </si>
  <si>
    <t>AFM-07R3</t>
  </si>
  <si>
    <t>Consultant Evaluateur</t>
  </si>
  <si>
    <t>AFM-07R4</t>
  </si>
  <si>
    <t>AFM-07R5</t>
  </si>
  <si>
    <t>AFM-G-07R-6</t>
  </si>
  <si>
    <t>AFM-G-07R6.1</t>
  </si>
  <si>
    <t xml:space="preserve">ONG Sensibilisation Environnementale </t>
  </si>
  <si>
    <t>AFM-G-07R6.2</t>
  </si>
  <si>
    <t>AFM-07R8</t>
  </si>
  <si>
    <t>Avocat Accompagnement Juridique et Administratif</t>
  </si>
  <si>
    <t>AFM-07R10</t>
  </si>
  <si>
    <t>Rehabilitation, construction and contingency for Fondouks</t>
  </si>
  <si>
    <t>AFM-08</t>
  </si>
  <si>
    <t>AFM-08A</t>
  </si>
  <si>
    <t>Restauration et réhabilitation du foundouk Barka</t>
  </si>
  <si>
    <t>AFM-08B</t>
  </si>
  <si>
    <t>Restauration et réhabilitation du foundouk Staouniyyine</t>
  </si>
  <si>
    <t>AFM-08C</t>
  </si>
  <si>
    <t>AFM-08D</t>
  </si>
  <si>
    <t>AFM-10.3</t>
  </si>
  <si>
    <t>AFM-10.4</t>
  </si>
  <si>
    <t>Ain Nokbi Works</t>
  </si>
  <si>
    <t>AFM-09</t>
  </si>
  <si>
    <t>Lot 1 Infrastructure</t>
  </si>
  <si>
    <t>AFM-09.1</t>
  </si>
  <si>
    <t>Lot 2 Foundouk</t>
  </si>
  <si>
    <t>AFM-09.2</t>
  </si>
  <si>
    <t>AFM-09.3</t>
  </si>
  <si>
    <t>AFM-09.4</t>
  </si>
  <si>
    <t>Market study</t>
  </si>
  <si>
    <t>AFM-10</t>
  </si>
  <si>
    <t>Consultant - Market study</t>
  </si>
  <si>
    <t>AFM-10.1</t>
  </si>
  <si>
    <t>Consultant Services to develop management tools for future sites</t>
  </si>
  <si>
    <t>AFM-10.2</t>
  </si>
  <si>
    <t xml:space="preserve">International Design Competition for PLY Consultant </t>
  </si>
  <si>
    <t>AFM-11</t>
  </si>
  <si>
    <t>AFM-11B</t>
  </si>
  <si>
    <t>International Design Competition for PLY (Global)</t>
  </si>
  <si>
    <t>Event Manager/PR Manager</t>
  </si>
  <si>
    <t>AFM-11E</t>
  </si>
  <si>
    <t>Feasibility/design studies (post-competition)</t>
  </si>
  <si>
    <t>AFM-19A</t>
  </si>
  <si>
    <t>Conduct feasibility studies, finalize design plans, and draft bidding documents; EIA of design competition (PLY)</t>
  </si>
  <si>
    <t>Construction and physical contingency</t>
  </si>
  <si>
    <t>AFM-13</t>
  </si>
  <si>
    <t>Construction and physical contingency (PLY)</t>
  </si>
  <si>
    <t>AFM-13 DEM</t>
  </si>
  <si>
    <t>Gardiennage PLY</t>
  </si>
  <si>
    <t>AFM-13 GAR</t>
  </si>
  <si>
    <t>Resettlement</t>
  </si>
  <si>
    <t>AFM-G-15A,C</t>
  </si>
  <si>
    <t>Resettlement PLY</t>
  </si>
  <si>
    <t>AFM-G-15A</t>
  </si>
  <si>
    <t>Resettlement Fondouks</t>
  </si>
  <si>
    <t>AFM-G-15C</t>
  </si>
  <si>
    <t>AFM-G-16</t>
  </si>
  <si>
    <t>Recrutement UGP</t>
  </si>
  <si>
    <t>AFM-HR</t>
  </si>
  <si>
    <t>Recrutement d'un consultant environnement à l'UGP</t>
  </si>
  <si>
    <t>AFM-HR 02</t>
  </si>
  <si>
    <t>AFM-HR 03</t>
  </si>
  <si>
    <t>Contingency PTR</t>
  </si>
  <si>
    <t>D. Artisan Promotion</t>
  </si>
  <si>
    <t>AFM-3-6</t>
  </si>
  <si>
    <t>Study to determine needs for artisan promotion</t>
  </si>
  <si>
    <t>AFM-03B</t>
  </si>
  <si>
    <t>Advertising firm for mono-artisan and SME promotion</t>
  </si>
  <si>
    <t>AFM-04</t>
  </si>
  <si>
    <t>Individual Consultant for ToRs for AFM4</t>
  </si>
  <si>
    <t>AFM-04A</t>
  </si>
  <si>
    <t>Advertising firm for national label</t>
  </si>
  <si>
    <t>AFM-05</t>
  </si>
  <si>
    <t>Individual Consultant for ToRs for AFM5</t>
  </si>
  <si>
    <t>AFM-05A</t>
  </si>
  <si>
    <t>Advertising firm for tourist circuits</t>
  </si>
  <si>
    <t>AFM-06</t>
  </si>
  <si>
    <t>Individual Consultant for ToRs for AFM6</t>
  </si>
  <si>
    <t>AFM-06A</t>
  </si>
  <si>
    <t>Marketing &amp; Publicity Promotion</t>
  </si>
  <si>
    <t>AFM-456</t>
  </si>
  <si>
    <t>E. SECA Admin</t>
  </si>
  <si>
    <t>F. ADER Admin</t>
  </si>
  <si>
    <t>TOTAL - Artisan and Fez Medina</t>
  </si>
  <si>
    <t>4. Financial Services Project</t>
  </si>
  <si>
    <t>A. Access to Funds for Microfinance</t>
  </si>
  <si>
    <t>FS-JA,3.1,3.2</t>
  </si>
  <si>
    <t>Jaida Loan Agreement (total)</t>
  </si>
  <si>
    <t>FS-JA</t>
  </si>
  <si>
    <t>Jaida Loan Agreement</t>
  </si>
  <si>
    <t>Jaida Loan Agreement TPE</t>
  </si>
  <si>
    <t>FS-JA1</t>
  </si>
  <si>
    <t xml:space="preserve"> ESA Training for Jaida Loan:</t>
  </si>
  <si>
    <t>FS-03.1, 03.2</t>
  </si>
  <si>
    <t xml:space="preserve"> ESA Training for Jaida Loan: module preparation </t>
  </si>
  <si>
    <t>FS-03.1</t>
  </si>
  <si>
    <t>FS-03.1.1</t>
  </si>
  <si>
    <t xml:space="preserve"> ESA Training for Jaida Loan: partenership for implementation</t>
  </si>
  <si>
    <t>FS-03.2</t>
  </si>
  <si>
    <t xml:space="preserve"> ESA Training for Jaida Loan: Perdiem</t>
  </si>
  <si>
    <t>FS-03.2.1</t>
  </si>
  <si>
    <t>B. New Financial Product Development</t>
  </si>
  <si>
    <t>FS-01, 02</t>
  </si>
  <si>
    <t>C. Improvement of Operating Efficiency and Transparency</t>
  </si>
  <si>
    <t>FS-04 - 08</t>
  </si>
  <si>
    <t>Sub-activity 1 (Technology Facility)</t>
  </si>
  <si>
    <t>FS-G-06</t>
  </si>
  <si>
    <t>Sub-activity 1 (Technology Facility) : Lot N°1</t>
  </si>
  <si>
    <t>FS-G-06.1</t>
  </si>
  <si>
    <t>Al Amana Business Intelligence</t>
  </si>
  <si>
    <t>Fondep Scoring</t>
  </si>
  <si>
    <t>Fondep Business Intelligence</t>
  </si>
  <si>
    <t>Fondation Banque Populaire Scoring</t>
  </si>
  <si>
    <t>AMSSF Mobile</t>
  </si>
  <si>
    <t>Sub-activity 1 (Technology Facility) : Lot N°2</t>
  </si>
  <si>
    <t>FS-G-06.2</t>
  </si>
  <si>
    <t>Sub-activity 2 (Credit Bureau Prep)</t>
  </si>
  <si>
    <t>FS-05</t>
  </si>
  <si>
    <t>Sub-activity 2 (Credit Bureau Prep) : needs assessment</t>
  </si>
  <si>
    <t>FS-05.1</t>
  </si>
  <si>
    <t>Sub-activity 2 (Credit Bureau Prep) : needs assessment bis</t>
  </si>
  <si>
    <t>FS-05.1.1</t>
  </si>
  <si>
    <t>Sub-activity 2 (Credit Bureau Prep) : SIG</t>
  </si>
  <si>
    <t>FS-05.2</t>
  </si>
  <si>
    <t>Assistance à Maitrise d'Ouvrage SIG</t>
  </si>
  <si>
    <t>FS-G-05.2.1</t>
  </si>
  <si>
    <t>Goods</t>
  </si>
  <si>
    <t>FS-G-05.2.2</t>
  </si>
  <si>
    <t>FS-05.3</t>
  </si>
  <si>
    <t>Sub-activity 3 (Mobile Branches)</t>
  </si>
  <si>
    <t>FS-G-04</t>
  </si>
  <si>
    <t>Sub-activity 3 (Mobile Branches) Lot 1</t>
  </si>
  <si>
    <t>FS-G-04.1</t>
  </si>
  <si>
    <t>Sub-activity 3 (Mobile Branches) Lot 2</t>
  </si>
  <si>
    <t>FS-G-04.2</t>
  </si>
  <si>
    <t>Sub-activity 5 (Ratings)</t>
  </si>
  <si>
    <t>FS-G-08</t>
  </si>
  <si>
    <t>TOTAL - Financial Services</t>
  </si>
  <si>
    <t>5. Enterprise Support Project</t>
  </si>
  <si>
    <t>A. ANPME Training</t>
  </si>
  <si>
    <t>ES-01 - 05</t>
  </si>
  <si>
    <t>1. Capacity building Moukawalati network</t>
  </si>
  <si>
    <t>ES-01</t>
  </si>
  <si>
    <t>1.1. Methodological report</t>
  </si>
  <si>
    <t xml:space="preserve">1.2. Training program for staff </t>
  </si>
  <si>
    <t xml:space="preserve">1.3. Manual of tools for Moukawalati network </t>
  </si>
  <si>
    <t>1.4.  Manual of tools for Moukawalati network- editing</t>
  </si>
  <si>
    <t>1.5 Other</t>
  </si>
  <si>
    <t>2. National and Regional communication (Moukawalati/Entrepreneurs)</t>
  </si>
  <si>
    <t>ES-05</t>
  </si>
  <si>
    <t>2.1 Food, rent premises, suitcases, other</t>
  </si>
  <si>
    <t>2.2 Lodging, transportation, perdiem of Moukawalati Offices</t>
  </si>
  <si>
    <t>2.3 Contribution to administrative costs of Moukawsalati Offices</t>
  </si>
  <si>
    <t>3. Operational communication tools</t>
  </si>
  <si>
    <t>4. Institutional Support</t>
  </si>
  <si>
    <t>ES-02 - 04</t>
  </si>
  <si>
    <t>4.1 Post start up support of enterprises "ANPME approach" provided by expertise consortium</t>
  </si>
  <si>
    <t xml:space="preserve">ES-02 </t>
  </si>
  <si>
    <t xml:space="preserve"> 4.1.1 "ANPME approach" - Methodlogical Report</t>
  </si>
  <si>
    <t>4.1.2 "ANPME approach" -  1st &amp; 2nd Diagnostics</t>
  </si>
  <si>
    <t xml:space="preserve"> 4.1.3 "ANPME approach" - Post start up of enterprises</t>
  </si>
  <si>
    <t xml:space="preserve">4.1.4 "ANPME approach" - Final Report </t>
  </si>
  <si>
    <t>ES-03.1</t>
  </si>
  <si>
    <t>4.3 Equipment of ANPME and Moukawati network</t>
  </si>
  <si>
    <t>ES-03.2</t>
  </si>
  <si>
    <t>4.4 Consutant to analyse the business opportunities study in 5 régions (specific to the ANPME)</t>
  </si>
  <si>
    <t>ES-04</t>
  </si>
  <si>
    <t>Financial &amp; Administrative Assessment of ES-2</t>
  </si>
  <si>
    <t>ES-02A</t>
  </si>
  <si>
    <t>Participation à Hub Africa Events</t>
  </si>
  <si>
    <t>ES-06</t>
  </si>
  <si>
    <t>5. IEA - ANPME</t>
  </si>
  <si>
    <t>ES-AN</t>
  </si>
  <si>
    <t>5.1 Salaries, Logistics and Administrative Costs</t>
  </si>
  <si>
    <t>ES-AN-P</t>
  </si>
  <si>
    <t>5.2 Perdiem, transportation UGP</t>
  </si>
  <si>
    <t>5.3 Communication Tools</t>
  </si>
  <si>
    <t>ES-AN-C</t>
  </si>
  <si>
    <t>B. OFPPT Training</t>
  </si>
  <si>
    <t>ES-01 - 03, 05</t>
  </si>
  <si>
    <t>1. Capacity building for Moukawalati network</t>
  </si>
  <si>
    <t>1.2. Training Program</t>
  </si>
  <si>
    <t>1.3. Manual of tools for Moukawalati network</t>
  </si>
  <si>
    <t>1.4. Manual of tools for Moukawalati network - editing</t>
  </si>
  <si>
    <t>2.1 Food, rent permises, suitcases, other</t>
  </si>
  <si>
    <t>2.3 National and Regional communication (Moukawalati/Entrepreneurs)</t>
  </si>
  <si>
    <t>3. National and Regional communication (Moukawalati/Entrepreneurs)</t>
  </si>
  <si>
    <t>ES-02, 03.1 - 2</t>
  </si>
  <si>
    <t>4.1 Post start up support of enterprises "OFPPT approach" provided by expertise consortium</t>
  </si>
  <si>
    <t xml:space="preserve"> 4.1.1 "OFPPT approach" - Methodlogical Report</t>
  </si>
  <si>
    <t>4.1.2 "OFPPT approach" -  1st &amp; 2nd Diagnostics</t>
  </si>
  <si>
    <t xml:space="preserve"> 4.1.3 "OFPPT approach" - Post start up of enterprises</t>
  </si>
  <si>
    <t xml:space="preserve">4.1.4 "OFPPT approach" - Final Report </t>
  </si>
  <si>
    <t>4.3 Equipment of OFPPT</t>
  </si>
  <si>
    <t>ES-03.1A</t>
  </si>
  <si>
    <t>5. IEA - OFPPT</t>
  </si>
  <si>
    <t>ES-OF</t>
  </si>
  <si>
    <t>ES-OF-S</t>
  </si>
  <si>
    <t>5.2 perdiem transportation UGP</t>
  </si>
  <si>
    <t>ES-OF-P</t>
  </si>
  <si>
    <t xml:space="preserve">5.3 communication tools </t>
  </si>
  <si>
    <t>ES-OF-C</t>
  </si>
  <si>
    <t>C. INDH Training</t>
  </si>
  <si>
    <t>1. Capacity builiding INDH network</t>
  </si>
  <si>
    <t>1.3. Manual of tools for INDH network</t>
  </si>
  <si>
    <t>1.4. Manual of tools for INDH network - editing</t>
  </si>
  <si>
    <t xml:space="preserve">1.5 Other </t>
  </si>
  <si>
    <t>2. National and Regional communication (DAS/Entrepreneurs)</t>
  </si>
  <si>
    <t>2.1 Food, Lodging, transportation, perdiem of Moukawalati Offices</t>
  </si>
  <si>
    <t>3. Institutional Support</t>
  </si>
  <si>
    <t>ES-02/ES-03.1</t>
  </si>
  <si>
    <t>3.1 Post start up support of enterprises "OFPPT approach" provided by expertise consortium</t>
  </si>
  <si>
    <t>3.1.1 "INDH approach" - Methodlogical Report</t>
  </si>
  <si>
    <t>3.1.2 "INDH approach" - 1st &amp; 2nd Diagnostics</t>
  </si>
  <si>
    <t xml:space="preserve">3.1.3 "INDH approach" - Post start up of enterprises </t>
  </si>
  <si>
    <t xml:space="preserve">3.1.4 "INDH approach" - Final Report </t>
  </si>
  <si>
    <t>3.3 Equipment of INDH</t>
  </si>
  <si>
    <t>ES-03.1B</t>
  </si>
  <si>
    <t>4. IEA - INDH</t>
  </si>
  <si>
    <t>ES-IN</t>
  </si>
  <si>
    <t>4.1 Salaries, Logistics and Administrative Costs</t>
  </si>
  <si>
    <t>ES-IN-P</t>
  </si>
  <si>
    <t>4.2 Perdiem, transportation UGP</t>
  </si>
  <si>
    <t>4.3 Communication Tools</t>
  </si>
  <si>
    <t>ES-IN-C</t>
  </si>
  <si>
    <t>TOTAL - Enterprise Support</t>
  </si>
  <si>
    <t>6. Monitoring and Evaluation</t>
  </si>
  <si>
    <t>Monitoring System</t>
  </si>
  <si>
    <t>ME-5,6,13,15</t>
  </si>
  <si>
    <t xml:space="preserve">ME-05 </t>
  </si>
  <si>
    <t>ME-05 divers</t>
  </si>
  <si>
    <t>Consultant pour élaboration du rapport d'achèvement du programme</t>
  </si>
  <si>
    <t>ME-05N1</t>
  </si>
  <si>
    <t>ME-05Q</t>
  </si>
  <si>
    <t>ME-05L</t>
  </si>
  <si>
    <t>ME-05Hbis</t>
  </si>
  <si>
    <t xml:space="preserve">Manuals, workshops and training </t>
  </si>
  <si>
    <t>ME-13A - D</t>
  </si>
  <si>
    <t>Consultant to conduct training on M&amp;E Plan</t>
  </si>
  <si>
    <t>ME-13A</t>
  </si>
  <si>
    <t>Participant Costs</t>
  </si>
  <si>
    <t>ME-13B</t>
  </si>
  <si>
    <t>Manuals</t>
  </si>
  <si>
    <t>ME-13C</t>
  </si>
  <si>
    <t>Workshops</t>
  </si>
  <si>
    <t>ME-13D</t>
  </si>
  <si>
    <t xml:space="preserve">MIS and equipment </t>
  </si>
  <si>
    <t>ME-06</t>
  </si>
  <si>
    <t>Contract M7&amp;Opteamar</t>
  </si>
  <si>
    <t>ME-06B</t>
  </si>
  <si>
    <t>Contract Creative Technologies</t>
  </si>
  <si>
    <t>ME-06C5</t>
  </si>
  <si>
    <t>Contract Meditel</t>
  </si>
  <si>
    <t>ME-06C3</t>
  </si>
  <si>
    <t>MIS for Vocational Training Centers</t>
  </si>
  <si>
    <t>ME-06E</t>
  </si>
  <si>
    <t>IT System Restructuring</t>
  </si>
  <si>
    <t>ME-06J</t>
  </si>
  <si>
    <t>ME-06C07</t>
  </si>
  <si>
    <t>ME-06C08</t>
  </si>
  <si>
    <t>Acquisition d'extension du logiciel ArcGis</t>
  </si>
  <si>
    <t>ME-06C08.A</t>
  </si>
  <si>
    <t>Acquisition d'équipement pour le GIS</t>
  </si>
  <si>
    <t>ME-06C09</t>
  </si>
  <si>
    <t>ME-06C10</t>
  </si>
  <si>
    <t>Logiciel Global Mapper</t>
  </si>
  <si>
    <t>ME-06C12</t>
  </si>
  <si>
    <t>ME-06L</t>
  </si>
  <si>
    <t>ME-6 Other Contracts</t>
  </si>
  <si>
    <t>ME-06 Other</t>
  </si>
  <si>
    <t xml:space="preserve">Reviews and Reporting </t>
  </si>
  <si>
    <t>ME-15</t>
  </si>
  <si>
    <t>Final Review</t>
  </si>
  <si>
    <t>ME-16</t>
  </si>
  <si>
    <t>Data Quality Audits</t>
  </si>
  <si>
    <t>ME-11</t>
  </si>
  <si>
    <t>Surveys</t>
  </si>
  <si>
    <t>ME-01, 07</t>
  </si>
  <si>
    <t>Baseline Surveys</t>
  </si>
  <si>
    <t>ME-01</t>
  </si>
  <si>
    <t>Contract Agriconsulting Maroc</t>
  </si>
  <si>
    <t>ME-01A</t>
  </si>
  <si>
    <t>Contract Agrer Canaest</t>
  </si>
  <si>
    <t>ME-01B</t>
  </si>
  <si>
    <t>Contract Edesat</t>
  </si>
  <si>
    <t>ME-01C</t>
  </si>
  <si>
    <t>Contract Fellah Conseil</t>
  </si>
  <si>
    <t>ME-01E</t>
  </si>
  <si>
    <t>ME-1 Other Contracts</t>
  </si>
  <si>
    <t>ME-01 Other</t>
  </si>
  <si>
    <t>Follow-up Surveys</t>
  </si>
  <si>
    <t>ME-07</t>
  </si>
  <si>
    <t>Enquete Supplémentaire pour le Projet TC</t>
  </si>
  <si>
    <t>ME-07A/B</t>
  </si>
  <si>
    <t>Evaluations</t>
  </si>
  <si>
    <t>ME-2-4,8,10,12,14</t>
  </si>
  <si>
    <t>Data Analysis/Special Studies</t>
  </si>
  <si>
    <t>ME-12A - C</t>
  </si>
  <si>
    <t>Contract Phytoconsulting</t>
  </si>
  <si>
    <t>ME-12A</t>
  </si>
  <si>
    <t>Contract Agland &amp; Fellah Conseil</t>
  </si>
  <si>
    <t>ME-12B</t>
  </si>
  <si>
    <t>Contract Cofrepeche</t>
  </si>
  <si>
    <t>ME-12C</t>
  </si>
  <si>
    <t>ME-12E</t>
  </si>
  <si>
    <t>Impact Evaluations</t>
  </si>
  <si>
    <t>ME-2-4,8,10,14</t>
  </si>
  <si>
    <t>Fruit tree TA Impact Eval</t>
  </si>
  <si>
    <t>ME-02</t>
  </si>
  <si>
    <t>Suivie &amp; Evaluation Projet Pilot Genre PAF &amp; AF</t>
  </si>
  <si>
    <t>ME-08</t>
  </si>
  <si>
    <t>Ent Support Pilot Eval</t>
  </si>
  <si>
    <t xml:space="preserve">ME-04 </t>
  </si>
  <si>
    <t>Impact Evaluation Marchands Ambulants Oujda</t>
  </si>
  <si>
    <t>ME-09</t>
  </si>
  <si>
    <t>ME-04B</t>
  </si>
  <si>
    <t xml:space="preserve">TOTAL - Monitoring and Evaluation </t>
  </si>
  <si>
    <t>7. Program Administration and Oversight</t>
  </si>
  <si>
    <t>MCA-Morocco &amp; Implementing Entities</t>
  </si>
  <si>
    <t>MCA-Morocco (APP)</t>
  </si>
  <si>
    <t>Staff salaries and benefits</t>
  </si>
  <si>
    <t xml:space="preserve">Sr. Mgmt </t>
  </si>
  <si>
    <t xml:space="preserve">Mid-Level Mgmt. </t>
  </si>
  <si>
    <t>Support Staff</t>
  </si>
  <si>
    <t>Benefits</t>
  </si>
  <si>
    <t>Bonus</t>
  </si>
  <si>
    <t>Administrative expenses</t>
  </si>
  <si>
    <t xml:space="preserve">Office </t>
  </si>
  <si>
    <t>Cars</t>
  </si>
  <si>
    <t>Training and Conferences</t>
  </si>
  <si>
    <t xml:space="preserve">Communication </t>
  </si>
  <si>
    <t xml:space="preserve">Consulting </t>
  </si>
  <si>
    <t xml:space="preserve">Other </t>
  </si>
  <si>
    <t>Capital expenditures</t>
  </si>
  <si>
    <t>IT Equipment</t>
  </si>
  <si>
    <t>Office Equipment</t>
  </si>
  <si>
    <t>Office Furniture</t>
  </si>
  <si>
    <t>Office Modication - Cable, Modification</t>
  </si>
  <si>
    <t>Vehicles</t>
  </si>
  <si>
    <t>Implementing Entities</t>
  </si>
  <si>
    <t>Ministry of Agriculture</t>
  </si>
  <si>
    <t>Ministry of Artisanat</t>
  </si>
  <si>
    <t>ADER</t>
  </si>
  <si>
    <t>Fiscal Agent</t>
  </si>
  <si>
    <t>External Fiscal Agent Services</t>
  </si>
  <si>
    <t>ADM-01</t>
  </si>
  <si>
    <t>Procurement Agents</t>
  </si>
  <si>
    <t>Standby Procurement Agent</t>
  </si>
  <si>
    <t>MCC-07-0152-CON-93/ TO 01; 02</t>
  </si>
  <si>
    <t>Procurement Agent/POAA</t>
  </si>
  <si>
    <t>ADM-02</t>
  </si>
  <si>
    <t>Auditing</t>
  </si>
  <si>
    <t xml:space="preserve"> Contract </t>
  </si>
  <si>
    <t xml:space="preserve">ADM-31 </t>
  </si>
  <si>
    <t>TOTAL - Program Administration &amp; Oversight</t>
  </si>
  <si>
    <t xml:space="preserve">GRAND TOTAL </t>
  </si>
  <si>
    <t>M&amp;E + Admin:</t>
  </si>
  <si>
    <t>M&amp;E+Admin:</t>
  </si>
  <si>
    <t>Costs from ooc2 DFP:</t>
  </si>
  <si>
    <t>Port share of M&amp;E + admin:</t>
  </si>
  <si>
    <t>CIF</t>
  </si>
  <si>
    <t>Dirham/$:</t>
  </si>
  <si>
    <t>Ports share of M&amp;E + admin:</t>
  </si>
  <si>
    <t>Ports share of fishery admin:</t>
  </si>
  <si>
    <t>Total fish admin budget:</t>
  </si>
  <si>
    <t>PDA+Ports share of fish admin:</t>
  </si>
  <si>
    <t>PDA share of fishery admin (from PDA ERR):</t>
  </si>
  <si>
    <t>Port share of ooc2 DFP line 111:</t>
  </si>
  <si>
    <t>Ports share of PDA+Ports budget in ooc2 DFP:</t>
  </si>
  <si>
    <t>Total investment costs ($):</t>
  </si>
  <si>
    <t>Total investment costs (dirhams):</t>
  </si>
  <si>
    <t>Total benefits:</t>
  </si>
  <si>
    <t>Net benefits:</t>
  </si>
  <si>
    <t>Closeout ERR:</t>
  </si>
  <si>
    <t>Number of boats:</t>
  </si>
  <si>
    <t>Before:</t>
  </si>
  <si>
    <t>After</t>
  </si>
  <si>
    <t>Note: Calculate benefits based on Table 15 on page 66 of ME-12 Lot 2</t>
  </si>
  <si>
    <t>Annual net added value per boat:</t>
  </si>
  <si>
    <t>Increase:</t>
  </si>
  <si>
    <t>Original ERR assumes a 2% increase in price due to quality and a moderate increase in # of days fished, which drives most of the benefits.</t>
  </si>
  <si>
    <t>The size of the catch is assumed to stay about the same.</t>
  </si>
  <si>
    <t>In the impact evaluation for Tan-Tan, the number of trips declines from 67 to 57 and prices fall by about 20%, but total volume of the catch increases by 134%.</t>
  </si>
  <si>
    <t>While intriguing, the evaluation is based off of a survey of only 12 boats (out of 240 boats operating at Tan-Tan) and therefore none of the results can be considered statistically significant.</t>
  </si>
  <si>
    <t>Last updated: 1/30/2014</t>
  </si>
  <si>
    <t>ERR Version</t>
  </si>
  <si>
    <t>Original ERR</t>
  </si>
  <si>
    <t>Closeout ERR</t>
  </si>
  <si>
    <t>Date of ERR</t>
  </si>
  <si>
    <t>Project description</t>
  </si>
  <si>
    <t>Table of Contents</t>
  </si>
  <si>
    <t>Cost Benefit Summary</t>
  </si>
  <si>
    <t>This worksheet presents the aggregated costs and benefits from the project activities year-by-year, calculating a combined ERR</t>
  </si>
  <si>
    <t>Ooc2 DFP</t>
  </si>
  <si>
    <t>Second out of cycle detailed financial plan, used for closeout costs.</t>
  </si>
  <si>
    <t>july 2013 PPA monthly report</t>
  </si>
  <si>
    <t>Compares the annual revenues per boat with and without the activity.</t>
  </si>
  <si>
    <t>$14.0 million</t>
  </si>
  <si>
    <t>$17.6 million</t>
  </si>
  <si>
    <t>83.5% over 20 years</t>
  </si>
  <si>
    <t>Used to break out cost data among ports</t>
  </si>
  <si>
    <t>Activity Design History</t>
  </si>
  <si>
    <t>Original Design</t>
  </si>
  <si>
    <t>Closeout</t>
  </si>
  <si>
    <t>The original plan was to construct or upgrade up to 13 ports. Due to cost considerations, the project was restructured to construct 10 ports and upgrade one. The ERR was updated with data for the 11 ports, all available impact evaluation data, and the latest cost data from the second out of cycle detailed financial plan.</t>
  </si>
  <si>
    <t>Last updated:  1/30/2014</t>
  </si>
  <si>
    <t>Compact Year</t>
  </si>
  <si>
    <t>Total Costs ($s)</t>
  </si>
  <si>
    <t>Total Benefits ($s)</t>
  </si>
  <si>
    <t>Net Benefits</t>
  </si>
  <si>
    <t>More great possibilities of interaction between fishermen and accumulation of social capital facilitating the creation of associations and cooperatives (time savings from the reduction of conflicts between fishermen), the sharing of know-how (adoption of best practices increasing performance and preserving the resource) and collective actions of advocacy (advocacy against trawlers better capacity)</t>
  </si>
  <si>
    <t>Investments in infrastructure and equipment are the buildings and the box, winches and areas for maintenance of the boats. There is a cost of maintenance, but there is no evidence involving operational costs, according to my understanding of the project. The initial estimation of the project used a setting of 10% of depreciation to estimate operational costs associated with the use of the investment. In my opinion, this value is excessive. I used a figure of 0%.</t>
  </si>
  <si>
    <t>Expenditures of projet</t>
  </si>
  <si>
    <t>project expenditures and revenue enhancing mechanisms</t>
  </si>
  <si>
    <t>Increase of volume of catches due to regeneration of the resource</t>
  </si>
  <si>
    <t>Increase of performance outputs at sea</t>
  </si>
  <si>
    <t>Increase of price due to quality</t>
  </si>
  <si>
    <t>Increase of number of days at sea</t>
  </si>
  <si>
    <t>Reduction of maintenance cost</t>
  </si>
  <si>
    <t>·  Storage cabins, box container, and toilets and showers</t>
  </si>
  <si>
    <t>·  Premises for collective organizations</t>
  </si>
  <si>
    <t>·  Training and coaching (especially for the constitution of associations and cooperatives and awareness to the sustainability of the resource)</t>
  </si>
  <si>
    <t>Better control of entry into the profession</t>
  </si>
  <si>
    <t>Better ability to negotiate in the value chain</t>
  </si>
  <si>
    <t>Improving the management of catches</t>
  </si>
  <si>
    <t>Saving time on travel</t>
  </si>
  <si>
    <t>Increase of the part of the sailor-fishermen in value added</t>
  </si>
  <si>
    <t>Hypothesis on the availability of the resource</t>
  </si>
  <si>
    <t>Export - Cephalopodes &amp; crustaceans</t>
  </si>
  <si>
    <t>Export - demersal fish</t>
  </si>
  <si>
    <t>Local- demersal fish</t>
  </si>
  <si>
    <t>Local- Small pelagics</t>
  </si>
  <si>
    <t>Hypothesis on the increase in the availability of the resource due to a better defense of its regeneration</t>
  </si>
  <si>
    <t>Increase of the resource</t>
  </si>
  <si>
    <t>Exercise of the effect</t>
  </si>
  <si>
    <t>Hypothesis on the value social matter of income of fishermen compared with intermediaries</t>
  </si>
  <si>
    <t>Category of Actors</t>
  </si>
  <si>
    <t>Share of value added</t>
  </si>
  <si>
    <t>Conversion coefficient</t>
  </si>
  <si>
    <t>Sailors</t>
  </si>
  <si>
    <t>Intermediaries</t>
  </si>
  <si>
    <t>Tax</t>
  </si>
  <si>
    <t>Total Revenue</t>
  </si>
  <si>
    <t>Note: Fisherman = shipowner, the boat proprieteiare, boss and fisherman.</t>
  </si>
  <si>
    <t>Total increase in revenues associated with the project ('000 DH)</t>
  </si>
  <si>
    <t>Margin of Intermediaries</t>
  </si>
  <si>
    <t>Increase total of revenus liés au projet ('000 DH)</t>
  </si>
  <si>
    <t>Increase on the Margin of Intermediaries ('000 DH)</t>
  </si>
  <si>
    <t>Rate of value added of Intermediaries</t>
  </si>
  <si>
    <t>Increase of revenue of Intermediaries</t>
  </si>
  <si>
    <t>Rate of the tax on transactions (3%)</t>
  </si>
  <si>
    <t>Increase of the tax on transactions</t>
  </si>
  <si>
    <t>Number of boats</t>
  </si>
  <si>
    <t>Export - Cephalapods &amp; crustaceans</t>
  </si>
  <si>
    <t xml:space="preserve">Export - Demersal fish </t>
  </si>
  <si>
    <t xml:space="preserve">Demersal fish </t>
  </si>
  <si>
    <t>Demersal fish</t>
  </si>
  <si>
    <t>Local- Demersal fish</t>
  </si>
  <si>
    <t>Small pelagics</t>
  </si>
  <si>
    <t>Annual cost per boat ('000 DH)</t>
  </si>
  <si>
    <t>Revenue</t>
  </si>
  <si>
    <t>Construction  mur of clôture</t>
  </si>
  <si>
    <t>Acquisition of caisson hyper bar</t>
  </si>
  <si>
    <t>Bureau of Contrôle pour Fondouks et Ain Nokbi</t>
  </si>
  <si>
    <t>Bureau of Contrôle for PLY</t>
  </si>
  <si>
    <t>Etude of Faisabilité sur les osmoseurs</t>
  </si>
  <si>
    <t>Lot 3 Unité of production</t>
  </si>
  <si>
    <t>Lot 4 Unité of production</t>
  </si>
  <si>
    <t>Travaux of démolition pour PLY</t>
  </si>
  <si>
    <t>Recrutement of société d'intérim pour le renforcement of l'UGP</t>
  </si>
  <si>
    <t>Evaluation IRR of ES Project</t>
  </si>
  <si>
    <t>Acquisition of 15 licences du logiciel ArcGis</t>
  </si>
  <si>
    <t>Acquisition of 7 Licences du logiciel @Risk</t>
  </si>
  <si>
    <t>Contrat sole source pour l'extension du SIG du SECA et of l'OFPPT</t>
  </si>
  <si>
    <t>Elaboration of Calcul of la VA Agricole et Construction du SAM</t>
  </si>
  <si>
    <t>Developpement Base of Donnée TPE AGR</t>
  </si>
  <si>
    <t>Ordre of service</t>
  </si>
  <si>
    <t>(2)  Note that the ONP taxes of 4% on sales at the Halle of Poisson is modeled such that it is used to offset operational costs.</t>
  </si>
  <si>
    <t>Port of Safi</t>
  </si>
  <si>
    <t>Variation of Number of boats</t>
  </si>
  <si>
    <t xml:space="preserve">boats actives </t>
  </si>
  <si>
    <t>Number of boats without projet</t>
  </si>
  <si>
    <t>Number of boats with projet</t>
  </si>
  <si>
    <t>Fuel</t>
  </si>
  <si>
    <t>Maintenance</t>
  </si>
  <si>
    <t>Boat</t>
  </si>
  <si>
    <t>Motor</t>
  </si>
  <si>
    <t>Enginees and fishing equipment (nets, etc.) better preserved</t>
  </si>
  <si>
    <t>Engine</t>
  </si>
  <si>
    <t>Social security</t>
  </si>
  <si>
    <t>Others</t>
  </si>
  <si>
    <t>Fishing rights</t>
  </si>
  <si>
    <t>Bait</t>
  </si>
  <si>
    <t>Ice</t>
  </si>
  <si>
    <t>Food</t>
  </si>
  <si>
    <t>Fishing equipment</t>
  </si>
  <si>
    <t>Unloading</t>
  </si>
  <si>
    <t>Data provided by the PMU</t>
  </si>
  <si>
    <t>Works of Construction including endorsement</t>
  </si>
  <si>
    <t>Equipment (handling, furniture, signage, environment)</t>
  </si>
  <si>
    <t>Studies (architecture, techniques and control of the work)</t>
  </si>
  <si>
    <t>Market inTraining system</t>
  </si>
  <si>
    <t>Training centre Batha</t>
  </si>
  <si>
    <t xml:space="preserve">4.2 InTraining System Development </t>
  </si>
  <si>
    <t>Achat Platforme pour Duplication Système d'InTraining</t>
  </si>
  <si>
    <t xml:space="preserve">3.2 InTraining System Development </t>
  </si>
  <si>
    <t>Training</t>
  </si>
  <si>
    <t>Total expenses</t>
  </si>
  <si>
    <t>Data relating to the average unit values based on the report on the chain of value - August 2011,</t>
  </si>
  <si>
    <t>Data on daily performance, income and value added by Boat (in dirhams)</t>
  </si>
  <si>
    <t>Data on activity of the ports targeted by project - data of "The State of play of artisanal fisheries" - NHRI - August 2013</t>
  </si>
  <si>
    <t>Value added</t>
  </si>
  <si>
    <t>Total of la Value added net</t>
  </si>
  <si>
    <t>Value added net</t>
  </si>
  <si>
    <t>intermediaries</t>
  </si>
  <si>
    <t>Consommations intermediaries</t>
  </si>
  <si>
    <t>Fonds disponible pour démarrage of projets genre</t>
  </si>
  <si>
    <t>Service supplémentaires pour la réinstallation of fours à gaz</t>
  </si>
  <si>
    <t>ONG Sensibilisation Environnementale et Accompagnement of Populations</t>
  </si>
  <si>
    <t>Construction et réhabilitation of foundouks Chemmaïne/Sbtriyyine (Lot Unique)</t>
  </si>
  <si>
    <t>Gardiennage of sites</t>
  </si>
  <si>
    <t>Training of femmes artisanes à Barka</t>
  </si>
  <si>
    <t>Preparation TDR pour la structure of gestion of sites</t>
  </si>
  <si>
    <t>ESA Training of formateurs</t>
  </si>
  <si>
    <t>Consultant pour évaluation of l'activité extension of plantations</t>
  </si>
  <si>
    <t>Office National of Peches</t>
  </si>
  <si>
    <t>Etat of lieux</t>
  </si>
  <si>
    <t>Margin of intermediaries</t>
  </si>
  <si>
    <t>% Value added of intermediaries</t>
  </si>
  <si>
    <t>%/Sales</t>
  </si>
  <si>
    <t>Sales</t>
  </si>
  <si>
    <t>Structure of the value at the level of the sector, of fishermen and of inbtermediaires (based on the study on the chain of value of the small-scale fishing)</t>
  </si>
  <si>
    <t>Total Sector</t>
  </si>
  <si>
    <t>Sector</t>
  </si>
  <si>
    <t>Fishermen</t>
  </si>
  <si>
    <t>Effectif total of Fishermen formés</t>
  </si>
  <si>
    <t>Intermediate consumption</t>
  </si>
  <si>
    <t>Yield</t>
  </si>
  <si>
    <t>Mise in œuvre du RAP et du ESMP</t>
  </si>
  <si>
    <t>Consultant Expert in Réinstallation</t>
  </si>
  <si>
    <t>ONG Accompagnement Social pour la mise in œuvre du RAP</t>
  </si>
  <si>
    <t>Dépenses prévues pour la mise in œuvre du RAP (Wilaya/APP)</t>
  </si>
  <si>
    <t>Mise in place d'un système d'inTraining Géographique pour le projet PAF</t>
  </si>
  <si>
    <t>Utilisé in %</t>
  </si>
  <si>
    <t>Coût in 1000 Dh</t>
  </si>
  <si>
    <t>Markup in %</t>
  </si>
  <si>
    <t>Données sur l'activité of ports ciblés per le projet - situation in 2013</t>
  </si>
  <si>
    <t xml:space="preserve"> per Boat</t>
  </si>
  <si>
    <t>Value added net per Boat</t>
  </si>
  <si>
    <t>Répartition of coûts d’Maintenance per opération</t>
  </si>
  <si>
    <t>Répartition of coûts variables per opération</t>
  </si>
  <si>
    <t>Kg/day</t>
  </si>
  <si>
    <t>Number of days without projet</t>
  </si>
  <si>
    <t>Number of days with projet</t>
  </si>
  <si>
    <t>Coût/day</t>
  </si>
  <si>
    <t xml:space="preserve">Yield  in kg per day </t>
  </si>
  <si>
    <t xml:space="preserve"> Yield in dirhams per day </t>
  </si>
  <si>
    <t>Compte annual of production of la Boat</t>
  </si>
  <si>
    <t>coûts variables annuals</t>
  </si>
  <si>
    <t>coûts fixes annuals</t>
  </si>
  <si>
    <t>Revenue annual sea fishermen</t>
  </si>
  <si>
    <t>Gross operating surplus</t>
  </si>
  <si>
    <t>Value added gross</t>
  </si>
  <si>
    <t>days average of fish</t>
  </si>
  <si>
    <t>Source : APP- Etablissement of la situation of référence pour le suivi évaluation du projet "fish artisanale"-  déc 2010- page 112</t>
  </si>
  <si>
    <t>Source : APP- Etablissement of la situation of référence pour le suivi évaluation du projet "fish artisanale"-  déc 2010, page 117</t>
  </si>
  <si>
    <t>Source: Etat of lieux of la fish artisanale - INRH - Août 2013</t>
  </si>
  <si>
    <t xml:space="preserve"> Revenue</t>
  </si>
  <si>
    <t>Value fishur (1000  DH)</t>
  </si>
  <si>
    <t>Value intermediaries (1000  DH)</t>
  </si>
  <si>
    <t>Value</t>
  </si>
  <si>
    <t>Export (Value in %)</t>
  </si>
  <si>
    <t>Local (Value in %)</t>
  </si>
  <si>
    <t>Value of la production annualle</t>
  </si>
  <si>
    <t>Value(MDH)</t>
  </si>
  <si>
    <t>Value annualle (DH)</t>
  </si>
  <si>
    <t>Source:  Rapport sur les chaîne of Value dans les Sectors of la fish artisanale</t>
  </si>
  <si>
    <t>Value per unit (DH/kg)</t>
  </si>
  <si>
    <t>Value per unit - DH/kg</t>
  </si>
  <si>
    <t xml:space="preserve">Production global kg </t>
  </si>
  <si>
    <t xml:space="preserve">Production global dh </t>
  </si>
  <si>
    <t>Value added global net</t>
  </si>
  <si>
    <t>Rate (%)</t>
  </si>
  <si>
    <t>Rate of Value added net</t>
  </si>
  <si>
    <t>Price Dh/kg</t>
  </si>
  <si>
    <t>averagene</t>
  </si>
  <si>
    <t>Contrôle of studys et travaux</t>
  </si>
  <si>
    <t>Bureau spécialisé in study of sécurité</t>
  </si>
  <si>
    <t>Source: estimation à partir of l'study "Etat of lieux of la fish artisanale" - INRH - Août 2013 et du rapport sur les chaîne of Value dans les Sectors of la fish artisanale</t>
  </si>
  <si>
    <t>Price average in dh/kg (value chain study)</t>
  </si>
  <si>
    <t>Cephalopods and crustaceans</t>
  </si>
  <si>
    <t>Demersal fish &amp; tuna red</t>
  </si>
  <si>
    <t>&amp; tuna red</t>
  </si>
  <si>
    <t>Estimation of the structure of taken in the various ports from data of of 'State of places of the artisanal fish' - NHRI - August 2013</t>
  </si>
  <si>
    <t>Volume (ton)</t>
  </si>
  <si>
    <t>tons</t>
  </si>
  <si>
    <t>Export (volume in ton/day)</t>
  </si>
  <si>
    <t>Local (volume in ton/day)</t>
  </si>
  <si>
    <t>Weight</t>
  </si>
  <si>
    <t>Export (Weight in kg)</t>
  </si>
  <si>
    <t>Local (Weight in kg)</t>
  </si>
  <si>
    <t>Weight (tons)</t>
  </si>
  <si>
    <t>Undisbursed (from Tim Mooney email):</t>
  </si>
  <si>
    <t>Grand total - undisbursed - (M&amp;E+Admin):</t>
  </si>
  <si>
    <t>16.6% over 20 years</t>
  </si>
  <si>
    <t>The Small-Scale Fisheries Project targets the transformation of the small-scale fisheries sector by modernizing the means of catching, landing, storing, and marketing fish, thereby improving the quality of the catch, maintaining the value chain, and increasing fishers’ access to both local and export markets.  The Port Facilities portion of the Fish Landing and Port Facilities Project Activity will construct or upgrade port facilities in 13 major ports for the benefit of small-scale fishers.</t>
  </si>
  <si>
    <r>
      <t xml:space="preserve">The Small-Scale Fisheries Project targets the </t>
    </r>
    <r>
      <rPr>
        <sz val="10"/>
        <rFont val="Arial"/>
        <family val="2"/>
      </rPr>
      <t>transformation</t>
    </r>
    <r>
      <rPr>
        <sz val="10"/>
        <color theme="0" tint="-0.34998626667073579"/>
        <rFont val="Arial"/>
        <family val="2"/>
      </rPr>
      <t xml:space="preserve"> </t>
    </r>
    <r>
      <rPr>
        <sz val="10"/>
        <color theme="1"/>
        <rFont val="Arial"/>
        <family val="2"/>
      </rPr>
      <t>of the small-scale fisheries sector by modernizing the means of catching, landing, storing, and marketing fish, thereby improving the quality of the catch, maintaining the value chain, and increasing fishers’ access to both local and export markets.  The Port Facilities portion of the Fish Landing and Port Facilities Project Activity will construct or upgrade port facilities in 11 major ports for the benefit of small-scale fishers.</t>
    </r>
  </si>
  <si>
    <t>The Small-Scale Fisheries Project targets the transformation of the small-scale fisheries sector by modernizing the means of catching, landing, storing, and marketing fish, thereby improving the quality of the catch, maintaining the value chain, and increasing fishers’ access to both local and export markets.  The Port Facilities portion of the Fish Landing and Port Facilities Project Activity was originally intended to construct or upgrade port facilities in 13 major ports for the benefit of small-scale fishers.</t>
  </si>
  <si>
    <t xml:space="preserve">     While Morocco possesses a number of modern fishing ports with adequate infrastructure, these are mostly dedicated to the more modern, larger-scale high seas and coastal fleets. The smaller-scale fleet, dispersed along existing fishing grounds, has been marginalized and lacks sufficient landing site infrastructure to commercialize its products at their full value. Compact funding is sought to build/upgrade small storerooms, motor repair shops and unloading infrastructure at 11 existing urban ports in order to provide suitable levels of infrastructure and facilities to small-scale fishers operating out of major ports and improve their work conditions.</t>
  </si>
  <si>
    <t xml:space="preserve">     1.   Construction of improved port facilities at up to 11 urban ports, including small equipment storerooms and mechanics’ workshops as well as provision of related boat unloading infrastructure (floating docks, slipways and unloading winches).</t>
  </si>
  <si>
    <t xml:space="preserve">             e.   A gender assessment and piloting of 4 to 8 projects to integrate women into small business enterprises associated with the small-scale fisheries sector.</t>
  </si>
  <si>
    <t xml:space="preserve">             d.   Advisory support for the creation and development of effective fisher’s associations and cooperatives and         training to enable fishers to access financial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</si>
</sst>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44" formatCode="_(&quot;$&quot;* #,##0.00_);_(&quot;$&quot;* \(#,##0.00\);_(&quot;$&quot;* &quot;-&quot;??_);_(@_)"/>
    <numFmt numFmtId="43" formatCode="_(* #,##0.00_);_(* \(#,##0.00\);_(* &quot;-&quot;??_);_(@_)"/>
    <numFmt numFmtId="164" formatCode="0.0%"/>
    <numFmt numFmtId="165" formatCode="0.0"/>
    <numFmt numFmtId="166" formatCode="#,##0.0"/>
    <numFmt numFmtId="167" formatCode="#,##0\ _€"/>
    <numFmt numFmtId="168" formatCode="General_)"/>
    <numFmt numFmtId="169" formatCode="_-* #,##0.00\ [$€]_-;\-* #,##0.00\ [$€]_-;_-* &quot;-&quot;??\ [$€]_-;_-@_-"/>
    <numFmt numFmtId="170" formatCode="#,##0.0\ _€"/>
    <numFmt numFmtId="171" formatCode="0.0000"/>
    <numFmt numFmtId="172" formatCode="_(* #,##0_);_(* \(#,##0\);_(* &quot;-&quot;??_);_(@_)"/>
    <numFmt numFmtId="173" formatCode="#,##0_ ;\-#,##0\ "/>
    <numFmt numFmtId="174" formatCode="0.000%"/>
    <numFmt numFmtId="175" formatCode="_(&quot;$&quot;* #,##0_);_(&quot;$&quot;* \(#,##0\);_(&quot;$&quot;* &quot;-&quot;??_);_(@_)"/>
    <numFmt numFmtId="176" formatCode="_-* #,##0.00\ _F_-;\-* #,##0.00\ _F_-;_-* &quot;-&quot;??\ _F_-;_-@_-"/>
    <numFmt numFmtId="177" formatCode="_-* #,##0\ _F_-;\-* #,##0\ _F_-;_-* &quot;-&quot;??\ _F_-;_-@_-"/>
    <numFmt numFmtId="178" formatCode="[$-409]mmm\-yy;@"/>
    <numFmt numFmtId="179" formatCode="_-* #,##0.00\ _€_-;\-* #,##0.00\ _€_-;_-* &quot;-&quot;??\ _€_-;_-@_-"/>
    <numFmt numFmtId="180" formatCode="_-* #,##0\ _€_-;\-* #,##0\ _€_-;_-* &quot;-&quot;??\ _€_-;_-@_-"/>
  </numFmts>
  <fonts count="89" x14ac:knownFonts="1">
    <font>
      <sz val="10"/>
      <name val="Arial"/>
    </font>
    <font>
      <sz val="11"/>
      <color theme="1"/>
      <name val="Calibri"/>
      <family val="2"/>
      <scheme val="minor"/>
    </font>
    <font>
      <sz val="11"/>
      <color theme="1"/>
      <name val="Calibri"/>
      <family val="2"/>
      <scheme val="minor"/>
    </font>
    <font>
      <sz val="10"/>
      <name val="Arial"/>
      <family val="2"/>
    </font>
    <font>
      <sz val="8"/>
      <name val="Arial"/>
      <family val="2"/>
    </font>
    <font>
      <b/>
      <sz val="14"/>
      <name val="Arial"/>
      <family val="2"/>
    </font>
    <font>
      <u/>
      <sz val="10"/>
      <name val="Arial"/>
      <family val="2"/>
    </font>
    <font>
      <sz val="8"/>
      <color indexed="81"/>
      <name val="Tahoma"/>
      <family val="2"/>
    </font>
    <font>
      <b/>
      <sz val="8"/>
      <color indexed="81"/>
      <name val="Tahoma"/>
      <family val="2"/>
    </font>
    <font>
      <sz val="14"/>
      <name val="Arial"/>
      <family val="2"/>
    </font>
    <font>
      <sz val="8"/>
      <name val="Arial"/>
      <family val="2"/>
    </font>
    <font>
      <sz val="10"/>
      <color indexed="44"/>
      <name val="Arial"/>
      <family val="2"/>
    </font>
    <font>
      <sz val="13"/>
      <name val="Times New Roman"/>
      <family val="1"/>
    </font>
    <font>
      <u/>
      <sz val="10"/>
      <color indexed="12"/>
      <name val="Arial"/>
      <family val="2"/>
    </font>
    <font>
      <sz val="10"/>
      <name val="Courier"/>
      <family val="3"/>
    </font>
    <font>
      <sz val="10"/>
      <name val="Courier"/>
      <family val="3"/>
    </font>
    <font>
      <b/>
      <sz val="12"/>
      <name val="Arial"/>
      <family val="2"/>
    </font>
    <font>
      <b/>
      <sz val="10"/>
      <name val="Arial"/>
      <family val="2"/>
    </font>
    <font>
      <b/>
      <sz val="9"/>
      <name val="Arial"/>
      <family val="2"/>
    </font>
    <font>
      <sz val="10"/>
      <name val="Arial"/>
      <family val="2"/>
    </font>
    <font>
      <u/>
      <sz val="10"/>
      <name val="Arial"/>
      <family val="2"/>
    </font>
    <font>
      <sz val="9"/>
      <name val="Arial"/>
      <family val="2"/>
    </font>
    <font>
      <b/>
      <sz val="10"/>
      <color indexed="44"/>
      <name val="Arial"/>
      <family val="2"/>
    </font>
    <font>
      <b/>
      <sz val="10"/>
      <name val="Arial"/>
      <family val="2"/>
    </font>
    <font>
      <b/>
      <u/>
      <sz val="10"/>
      <name val="Arial"/>
      <family val="2"/>
    </font>
    <font>
      <b/>
      <sz val="8"/>
      <name val="Arial"/>
      <family val="2"/>
    </font>
    <font>
      <sz val="12"/>
      <name val="Arial"/>
      <family val="2"/>
    </font>
    <font>
      <sz val="10"/>
      <color indexed="10"/>
      <name val="Arial"/>
      <family val="2"/>
    </font>
    <font>
      <sz val="6"/>
      <name val="Arial"/>
      <family val="2"/>
    </font>
    <font>
      <sz val="8"/>
      <color indexed="10"/>
      <name val="Arial"/>
      <family val="2"/>
    </font>
    <font>
      <b/>
      <sz val="10"/>
      <color indexed="10"/>
      <name val="Arial"/>
      <family val="2"/>
    </font>
    <font>
      <sz val="6"/>
      <color indexed="10"/>
      <name val="Arial"/>
      <family val="2"/>
    </font>
    <font>
      <sz val="8"/>
      <color indexed="17"/>
      <name val="Arial"/>
      <family val="2"/>
    </font>
    <font>
      <b/>
      <sz val="16"/>
      <name val="Arial"/>
      <family val="2"/>
    </font>
    <font>
      <b/>
      <sz val="10"/>
      <color indexed="12"/>
      <name val="Arial"/>
      <family val="2"/>
    </font>
    <font>
      <b/>
      <sz val="8"/>
      <name val="Arial"/>
      <family val="2"/>
    </font>
    <font>
      <sz val="14"/>
      <name val="Arial"/>
      <family val="2"/>
    </font>
    <font>
      <sz val="10"/>
      <color indexed="23"/>
      <name val="Arial"/>
      <family val="2"/>
    </font>
    <font>
      <b/>
      <sz val="10"/>
      <color indexed="55"/>
      <name val="Arial"/>
      <family val="2"/>
    </font>
    <font>
      <sz val="10"/>
      <color indexed="9"/>
      <name val="Arial"/>
      <family val="2"/>
    </font>
    <font>
      <sz val="9"/>
      <color indexed="55"/>
      <name val="Arial"/>
      <family val="2"/>
    </font>
    <font>
      <sz val="10"/>
      <color indexed="12"/>
      <name val="Arial"/>
      <family val="2"/>
    </font>
    <font>
      <u/>
      <sz val="10"/>
      <color indexed="12"/>
      <name val="Arial"/>
      <family val="2"/>
      <charset val="204"/>
    </font>
    <font>
      <b/>
      <sz val="10"/>
      <name val="Arial"/>
      <family val="2"/>
      <charset val="204"/>
    </font>
    <font>
      <b/>
      <sz val="10"/>
      <color indexed="9"/>
      <name val="Arial"/>
      <family val="2"/>
    </font>
    <font>
      <sz val="10"/>
      <name val="Arial"/>
      <family val="2"/>
    </font>
    <font>
      <b/>
      <sz val="9"/>
      <name val="Arial"/>
      <family val="2"/>
    </font>
    <font>
      <b/>
      <u/>
      <sz val="10"/>
      <name val="Arial"/>
      <family val="2"/>
    </font>
    <font>
      <i/>
      <sz val="10"/>
      <name val="Arial"/>
      <family val="2"/>
    </font>
    <font>
      <b/>
      <i/>
      <sz val="10"/>
      <name val="Arial"/>
      <family val="2"/>
    </font>
    <font>
      <b/>
      <i/>
      <sz val="8"/>
      <name val="Arial"/>
      <family val="2"/>
    </font>
    <font>
      <sz val="11"/>
      <name val="Calibri"/>
      <family val="2"/>
    </font>
    <font>
      <b/>
      <sz val="9"/>
      <name val="Calibri"/>
      <family val="2"/>
    </font>
    <font>
      <b/>
      <sz val="8"/>
      <name val="Calibri"/>
      <family val="2"/>
    </font>
    <font>
      <sz val="8"/>
      <name val="Calibri"/>
      <family val="2"/>
    </font>
    <font>
      <b/>
      <sz val="8"/>
      <color rgb="FF000000"/>
      <name val="Calibri"/>
      <family val="2"/>
      <scheme val="minor"/>
    </font>
    <font>
      <sz val="8"/>
      <color rgb="FF000000"/>
      <name val="Calibri"/>
      <family val="2"/>
      <scheme val="minor"/>
    </font>
    <font>
      <b/>
      <sz val="8"/>
      <color theme="1"/>
      <name val="Calibri"/>
      <family val="2"/>
      <scheme val="minor"/>
    </font>
    <font>
      <b/>
      <sz val="9"/>
      <color rgb="FF000000"/>
      <name val="Calibri"/>
      <family val="2"/>
      <scheme val="minor"/>
    </font>
    <font>
      <sz val="9"/>
      <color theme="1"/>
      <name val="Calibri"/>
      <family val="2"/>
      <scheme val="minor"/>
    </font>
    <font>
      <b/>
      <sz val="8"/>
      <color rgb="FF000000"/>
      <name val="Calibri"/>
      <family val="2"/>
    </font>
    <font>
      <sz val="8"/>
      <color rgb="FF000000"/>
      <name val="Calibri"/>
      <family val="2"/>
    </font>
    <font>
      <b/>
      <sz val="10"/>
      <color rgb="FFFF0000"/>
      <name val="Arial"/>
      <family val="2"/>
    </font>
    <font>
      <b/>
      <sz val="11"/>
      <color rgb="FFFF0000"/>
      <name val="Arial"/>
      <family val="2"/>
    </font>
    <font>
      <b/>
      <sz val="12"/>
      <color rgb="FFFF0000"/>
      <name val="Arial"/>
      <family val="2"/>
    </font>
    <font>
      <sz val="10"/>
      <color rgb="FFFF0000"/>
      <name val="Arial"/>
      <family val="2"/>
    </font>
    <font>
      <b/>
      <sz val="10"/>
      <color rgb="FF00B050"/>
      <name val="Arial"/>
      <family val="2"/>
    </font>
    <font>
      <sz val="10"/>
      <color theme="1"/>
      <name val="Arial"/>
      <family val="2"/>
    </font>
    <font>
      <b/>
      <sz val="10"/>
      <color rgb="FF0000FF"/>
      <name val="Arial"/>
      <family val="2"/>
    </font>
    <font>
      <b/>
      <sz val="8"/>
      <color rgb="FFFFFFFF"/>
      <name val="Calibri"/>
      <family val="2"/>
    </font>
    <font>
      <sz val="8"/>
      <color rgb="FF548DD4"/>
      <name val="Calibri"/>
      <family val="2"/>
    </font>
    <font>
      <b/>
      <sz val="8"/>
      <color rgb="FFE36C0A"/>
      <name val="Calibri"/>
      <family val="2"/>
    </font>
    <font>
      <b/>
      <sz val="16"/>
      <color theme="0"/>
      <name val="Arial Narrow"/>
      <family val="2"/>
    </font>
    <font>
      <b/>
      <sz val="10"/>
      <name val="Arial Narrow"/>
      <family val="2"/>
    </font>
    <font>
      <b/>
      <sz val="10"/>
      <color theme="1"/>
      <name val="Arial Narrow"/>
      <family val="2"/>
    </font>
    <font>
      <sz val="10"/>
      <name val="Arial Narrow"/>
      <family val="2"/>
    </font>
    <font>
      <b/>
      <i/>
      <sz val="10"/>
      <name val="Arial Narrow"/>
      <family val="2"/>
    </font>
    <font>
      <b/>
      <sz val="10"/>
      <color theme="0"/>
      <name val="Arial Narrow"/>
      <family val="2"/>
    </font>
    <font>
      <sz val="10"/>
      <color rgb="FFFF0000"/>
      <name val="Arial Narrow"/>
      <family val="2"/>
    </font>
    <font>
      <i/>
      <sz val="10"/>
      <name val="Arial Narrow"/>
      <family val="2"/>
    </font>
    <font>
      <i/>
      <sz val="10"/>
      <color rgb="FFFF0000"/>
      <name val="Arial Narrow"/>
      <family val="2"/>
    </font>
    <font>
      <sz val="10"/>
      <color theme="1"/>
      <name val="Arial Narrow"/>
      <family val="2"/>
    </font>
    <font>
      <sz val="10"/>
      <color theme="1"/>
      <name val="Calibri"/>
      <family val="2"/>
      <scheme val="minor"/>
    </font>
    <font>
      <b/>
      <sz val="10"/>
      <color theme="0" tint="-0.499984740745262"/>
      <name val="Arial"/>
      <family val="2"/>
    </font>
    <font>
      <sz val="10"/>
      <color theme="0" tint="-0.34998626667073579"/>
      <name val="Arial"/>
      <family val="2"/>
    </font>
    <font>
      <sz val="10"/>
      <name val="Times New Roman"/>
      <family val="1"/>
    </font>
    <font>
      <b/>
      <sz val="10"/>
      <color indexed="18"/>
      <name val="Arial"/>
      <family val="2"/>
    </font>
    <font>
      <sz val="12"/>
      <color theme="1"/>
      <name val="Calibri"/>
      <family val="2"/>
      <scheme val="minor"/>
    </font>
    <font>
      <sz val="8"/>
      <name val="Calibri"/>
      <family val="2"/>
      <scheme val="minor"/>
    </font>
  </fonts>
  <fills count="31">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0"/>
        <bgColor indexed="64"/>
      </patternFill>
    </fill>
    <fill>
      <patternFill patternType="solid">
        <fgColor indexed="47"/>
        <bgColor indexed="64"/>
      </patternFill>
    </fill>
    <fill>
      <patternFill patternType="solid">
        <fgColor indexed="9"/>
        <bgColor indexed="64"/>
      </patternFill>
    </fill>
    <fill>
      <patternFill patternType="solid">
        <fgColor theme="5" tint="0.59999389629810485"/>
        <bgColor indexed="64"/>
      </patternFill>
    </fill>
    <fill>
      <patternFill patternType="solid">
        <fgColor rgb="FFFFFF00"/>
        <bgColor indexed="64"/>
      </patternFill>
    </fill>
    <fill>
      <patternFill patternType="solid">
        <fgColor rgb="FF538ED5"/>
        <bgColor indexed="64"/>
      </patternFill>
    </fill>
    <fill>
      <patternFill patternType="solid">
        <fgColor rgb="FF8DB4E3"/>
        <bgColor indexed="64"/>
      </patternFill>
    </fill>
    <fill>
      <patternFill patternType="solid">
        <fgColor rgb="FFE6B9B8"/>
        <bgColor indexed="64"/>
      </patternFill>
    </fill>
    <fill>
      <patternFill patternType="solid">
        <fgColor rgb="FFC2D69A"/>
        <bgColor indexed="64"/>
      </patternFill>
    </fill>
    <fill>
      <patternFill patternType="solid">
        <fgColor rgb="FFB2A1C7"/>
        <bgColor indexed="64"/>
      </patternFill>
    </fill>
    <fill>
      <patternFill patternType="solid">
        <fgColor rgb="FF93CDDD"/>
        <bgColor indexed="64"/>
      </patternFill>
    </fill>
    <fill>
      <patternFill patternType="solid">
        <fgColor rgb="FFE46D0A"/>
        <bgColor indexed="64"/>
      </patternFill>
    </fill>
    <fill>
      <patternFill patternType="solid">
        <fgColor indexed="8"/>
        <bgColor indexed="64"/>
      </patternFill>
    </fill>
    <fill>
      <patternFill patternType="solid">
        <fgColor indexed="22"/>
        <bgColor indexed="64"/>
      </patternFill>
    </fill>
    <fill>
      <patternFill patternType="solid">
        <fgColor rgb="FFFF99FF"/>
        <bgColor indexed="64"/>
      </patternFill>
    </fill>
    <fill>
      <patternFill patternType="solid">
        <fgColor rgb="FFCCFF66"/>
        <bgColor indexed="64"/>
      </patternFill>
    </fill>
    <fill>
      <patternFill patternType="solid">
        <fgColor rgb="FF99CCFF"/>
        <bgColor indexed="64"/>
      </patternFill>
    </fill>
    <fill>
      <patternFill patternType="solid">
        <fgColor theme="8" tint="0.79998168889431442"/>
        <bgColor indexed="64"/>
      </patternFill>
    </fill>
    <fill>
      <patternFill patternType="solid">
        <fgColor indexed="44"/>
        <bgColor indexed="64"/>
      </patternFill>
    </fill>
    <fill>
      <patternFill patternType="solid">
        <fgColor indexed="44"/>
        <bgColor indexed="55"/>
      </patternFill>
    </fill>
    <fill>
      <patternFill patternType="solid">
        <fgColor theme="0" tint="-0.249977111117893"/>
        <bgColor indexed="64"/>
      </patternFill>
    </fill>
    <fill>
      <patternFill patternType="solid">
        <fgColor theme="6" tint="0.59999389629810485"/>
        <bgColor indexed="64"/>
      </patternFill>
    </fill>
    <fill>
      <patternFill patternType="solid">
        <fgColor indexed="13"/>
        <bgColor indexed="64"/>
      </patternFill>
    </fill>
    <fill>
      <patternFill patternType="solid">
        <fgColor theme="0"/>
        <bgColor indexed="64"/>
      </patternFill>
    </fill>
    <fill>
      <patternFill patternType="solid">
        <fgColor theme="6" tint="0.79998168889431442"/>
        <bgColor indexed="64"/>
      </patternFill>
    </fill>
    <fill>
      <patternFill patternType="solid">
        <fgColor rgb="FFCCFFCC"/>
        <bgColor indexed="64"/>
      </patternFill>
    </fill>
  </fills>
  <borders count="133">
    <border>
      <left/>
      <right/>
      <top/>
      <bottom/>
      <diagonal/>
    </border>
    <border>
      <left style="thin">
        <color indexed="64"/>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top style="medium">
        <color indexed="23"/>
      </top>
      <bottom style="medium">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top/>
      <bottom/>
      <diagonal/>
    </border>
    <border>
      <left/>
      <right style="medium">
        <color indexed="64"/>
      </right>
      <top/>
      <bottom/>
      <diagonal/>
    </border>
    <border>
      <left/>
      <right style="thin">
        <color indexed="64"/>
      </right>
      <top/>
      <bottom style="medium">
        <color indexed="64"/>
      </bottom>
      <diagonal/>
    </border>
    <border>
      <left style="double">
        <color indexed="64"/>
      </left>
      <right style="thin">
        <color indexed="64"/>
      </right>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23"/>
      </top>
      <bottom style="medium">
        <color indexed="23"/>
      </bottom>
      <diagonal/>
    </border>
    <border>
      <left/>
      <right/>
      <top style="medium">
        <color indexed="23"/>
      </top>
      <bottom style="thin">
        <color indexed="64"/>
      </bottom>
      <diagonal/>
    </border>
    <border>
      <left/>
      <right style="thin">
        <color indexed="64"/>
      </right>
      <top style="medium">
        <color indexed="23"/>
      </top>
      <bottom style="thin">
        <color indexed="64"/>
      </bottom>
      <diagonal/>
    </border>
    <border>
      <left style="thin">
        <color indexed="64"/>
      </left>
      <right/>
      <top/>
      <bottom style="medium">
        <color indexed="23"/>
      </bottom>
      <diagonal/>
    </border>
    <border>
      <left/>
      <right/>
      <top/>
      <bottom style="medium">
        <color indexed="23"/>
      </bottom>
      <diagonal/>
    </border>
    <border>
      <left style="thin">
        <color indexed="64"/>
      </left>
      <right/>
      <top style="medium">
        <color indexed="23"/>
      </top>
      <bottom/>
      <diagonal/>
    </border>
    <border>
      <left style="thin">
        <color indexed="64"/>
      </left>
      <right/>
      <top style="medium">
        <color indexed="23"/>
      </top>
      <bottom style="medium">
        <color indexed="23"/>
      </bottom>
      <diagonal/>
    </border>
    <border>
      <left/>
      <right/>
      <top style="thin">
        <color indexed="23"/>
      </top>
      <bottom/>
      <diagonal/>
    </border>
    <border>
      <left/>
      <right style="thin">
        <color indexed="64"/>
      </right>
      <top style="thin">
        <color indexed="23"/>
      </top>
      <bottom/>
      <diagonal/>
    </border>
    <border>
      <left style="thin">
        <color indexed="64"/>
      </left>
      <right/>
      <top style="medium">
        <color indexed="23"/>
      </top>
      <bottom style="thin">
        <color indexed="64"/>
      </bottom>
      <diagonal/>
    </border>
    <border>
      <left/>
      <right style="thin">
        <color indexed="64"/>
      </right>
      <top/>
      <bottom style="medium">
        <color indexed="23"/>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23"/>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ck">
        <color indexed="64"/>
      </top>
      <bottom/>
      <diagonal/>
    </border>
    <border>
      <left style="thick">
        <color indexed="64"/>
      </left>
      <right style="medium">
        <color indexed="64"/>
      </right>
      <top/>
      <bottom style="medium">
        <color indexed="64"/>
      </bottom>
      <diagonal/>
    </border>
    <border>
      <left/>
      <right style="thick">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ck">
        <color indexed="64"/>
      </left>
      <right style="medium">
        <color indexed="64"/>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medium">
        <color indexed="23"/>
      </bottom>
      <diagonal/>
    </border>
    <border>
      <left/>
      <right style="thin">
        <color indexed="64"/>
      </right>
      <top style="thin">
        <color indexed="64"/>
      </top>
      <bottom style="medium">
        <color indexed="23"/>
      </bottom>
      <diagonal/>
    </border>
    <border>
      <left/>
      <right/>
      <top style="thin">
        <color indexed="23"/>
      </top>
      <bottom style="thin">
        <color indexed="23"/>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thin">
        <color indexed="64"/>
      </top>
      <bottom style="medium">
        <color indexed="23"/>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right/>
      <top style="medium">
        <color indexed="64"/>
      </top>
      <bottom style="medium">
        <color indexed="64"/>
      </bottom>
      <diagonal/>
    </border>
    <border>
      <left style="medium">
        <color indexed="64"/>
      </left>
      <right style="thick">
        <color indexed="64"/>
      </right>
      <top style="thick">
        <color indexed="64"/>
      </top>
      <bottom/>
      <diagonal/>
    </border>
    <border>
      <left style="medium">
        <color indexed="64"/>
      </left>
      <right style="thick">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bottom style="medium">
        <color indexed="64"/>
      </bottom>
      <diagonal/>
    </border>
    <border>
      <left/>
      <right style="medium">
        <color rgb="FF000000"/>
      </right>
      <top style="medium">
        <color indexed="64"/>
      </top>
      <bottom style="medium">
        <color indexed="64"/>
      </bottom>
      <diagonal/>
    </border>
    <border>
      <left style="dashed">
        <color indexed="9"/>
      </left>
      <right style="dashed">
        <color indexed="9"/>
      </right>
      <top style="dashed">
        <color indexed="9"/>
      </top>
      <bottom style="dashed">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bottom style="medium">
        <color indexed="9"/>
      </bottom>
      <diagonal/>
    </border>
    <border>
      <left style="medium">
        <color indexed="9"/>
      </left>
      <right/>
      <top/>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3">
    <xf numFmtId="0" fontId="0" fillId="0" borderId="0"/>
    <xf numFmtId="169" fontId="12" fillId="0" borderId="0" applyFont="0" applyFill="0" applyBorder="0" applyAlignment="0" applyProtection="0"/>
    <xf numFmtId="0" fontId="13" fillId="0" borderId="0" applyNumberFormat="0" applyFill="0" applyBorder="0" applyAlignment="0" applyProtection="0">
      <alignment vertical="top"/>
      <protection locked="0"/>
    </xf>
    <xf numFmtId="43" fontId="3" fillId="0" borderId="0" applyFont="0" applyFill="0" applyBorder="0" applyAlignment="0" applyProtection="0"/>
    <xf numFmtId="0" fontId="14" fillId="0" borderId="0"/>
    <xf numFmtId="37" fontId="12" fillId="0" borderId="0"/>
    <xf numFmtId="0" fontId="3" fillId="0" borderId="0"/>
    <xf numFmtId="9" fontId="3" fillId="0" borderId="0" applyFont="0" applyFill="0" applyBorder="0" applyAlignment="0" applyProtection="0"/>
    <xf numFmtId="168" fontId="15" fillId="0" borderId="0"/>
    <xf numFmtId="0" fontId="3" fillId="0" borderId="0"/>
    <xf numFmtId="44" fontId="3" fillId="0" borderId="0" applyFont="0" applyFill="0" applyBorder="0" applyAlignment="0" applyProtection="0"/>
    <xf numFmtId="176" fontId="3" fillId="0" borderId="0" applyFont="0" applyFill="0" applyBorder="0" applyAlignment="0" applyProtection="0"/>
    <xf numFmtId="0" fontId="2"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3" fillId="0" borderId="0"/>
    <xf numFmtId="0" fontId="3" fillId="0" borderId="0"/>
    <xf numFmtId="0" fontId="85" fillId="0" borderId="0"/>
    <xf numFmtId="0" fontId="3" fillId="0" borderId="0" applyFont="0" applyFill="0" applyBorder="0" applyAlignment="0" applyProtection="0"/>
    <xf numFmtId="43" fontId="87" fillId="0" borderId="0" applyFont="0" applyFill="0" applyBorder="0" applyAlignment="0" applyProtection="0"/>
    <xf numFmtId="179" fontId="3" fillId="0" borderId="0" applyFont="0" applyFill="0" applyBorder="0" applyAlignment="0" applyProtection="0"/>
  </cellStyleXfs>
  <cellXfs count="1126">
    <xf numFmtId="0" fontId="0" fillId="0" borderId="0" xfId="0"/>
    <xf numFmtId="0" fontId="4" fillId="0" borderId="0" xfId="0" applyFont="1" applyAlignment="1">
      <alignment wrapText="1"/>
    </xf>
    <xf numFmtId="0" fontId="0" fillId="0" borderId="1" xfId="0" applyBorder="1"/>
    <xf numFmtId="0" fontId="4" fillId="0" borderId="2" xfId="0" applyFont="1" applyBorder="1" applyAlignment="1">
      <alignment wrapText="1"/>
    </xf>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9" fontId="0" fillId="0" borderId="0" xfId="0" applyNumberFormat="1" applyBorder="1"/>
    <xf numFmtId="9" fontId="0" fillId="0" borderId="0" xfId="0" applyNumberFormat="1"/>
    <xf numFmtId="0" fontId="10" fillId="0" borderId="0" xfId="0" applyFont="1"/>
    <xf numFmtId="3" fontId="17" fillId="2" borderId="6" xfId="0" applyNumberFormat="1" applyFont="1" applyFill="1" applyBorder="1" applyAlignment="1"/>
    <xf numFmtId="0" fontId="17" fillId="0" borderId="0" xfId="0" applyFont="1"/>
    <xf numFmtId="0" fontId="4" fillId="0" borderId="0" xfId="0" applyFont="1"/>
    <xf numFmtId="3" fontId="17" fillId="0" borderId="6" xfId="0" applyNumberFormat="1" applyFont="1" applyFill="1" applyBorder="1" applyAlignment="1"/>
    <xf numFmtId="0" fontId="17" fillId="0" borderId="1" xfId="0" applyFont="1" applyBorder="1"/>
    <xf numFmtId="0" fontId="19" fillId="0" borderId="0" xfId="0" applyFont="1"/>
    <xf numFmtId="3" fontId="0" fillId="0" borderId="1" xfId="0" applyNumberFormat="1" applyBorder="1"/>
    <xf numFmtId="2" fontId="0" fillId="0" borderId="1" xfId="0" applyNumberFormat="1" applyBorder="1"/>
    <xf numFmtId="0" fontId="17" fillId="2" borderId="7" xfId="0" applyFont="1" applyFill="1" applyBorder="1"/>
    <xf numFmtId="3" fontId="17" fillId="2" borderId="8" xfId="0" applyNumberFormat="1" applyFont="1" applyFill="1" applyBorder="1"/>
    <xf numFmtId="2" fontId="17" fillId="2" borderId="7" xfId="0" applyNumberFormat="1" applyFont="1" applyFill="1" applyBorder="1"/>
    <xf numFmtId="2" fontId="17" fillId="2" borderId="8" xfId="0" applyNumberFormat="1" applyFont="1" applyFill="1" applyBorder="1"/>
    <xf numFmtId="2" fontId="17" fillId="0" borderId="1" xfId="0" applyNumberFormat="1" applyFont="1" applyBorder="1"/>
    <xf numFmtId="0" fontId="0" fillId="0" borderId="9" xfId="0" applyBorder="1"/>
    <xf numFmtId="165" fontId="0" fillId="0" borderId="5" xfId="0" applyNumberFormat="1" applyBorder="1"/>
    <xf numFmtId="0" fontId="0" fillId="0" borderId="8" xfId="0" applyBorder="1"/>
    <xf numFmtId="0" fontId="0" fillId="0" borderId="10" xfId="0" applyBorder="1"/>
    <xf numFmtId="1" fontId="0" fillId="0" borderId="7" xfId="0" applyNumberFormat="1" applyBorder="1"/>
    <xf numFmtId="1" fontId="0" fillId="0" borderId="1" xfId="0" applyNumberFormat="1" applyBorder="1"/>
    <xf numFmtId="0" fontId="4" fillId="3" borderId="11" xfId="0" applyFont="1" applyFill="1" applyBorder="1" applyAlignment="1">
      <alignment wrapText="1" shrinkToFit="1"/>
    </xf>
    <xf numFmtId="0" fontId="4" fillId="0" borderId="1" xfId="0" applyFont="1" applyBorder="1" applyAlignment="1">
      <alignment wrapText="1"/>
    </xf>
    <xf numFmtId="1" fontId="17" fillId="0" borderId="1" xfId="0" applyNumberFormat="1" applyFont="1" applyBorder="1"/>
    <xf numFmtId="0" fontId="4" fillId="2" borderId="11" xfId="0" applyFont="1" applyFill="1" applyBorder="1" applyAlignment="1">
      <alignment horizontal="center"/>
    </xf>
    <xf numFmtId="2" fontId="0" fillId="0" borderId="0" xfId="0" applyNumberFormat="1" applyBorder="1"/>
    <xf numFmtId="0" fontId="6" fillId="0" borderId="12" xfId="0" applyFont="1" applyBorder="1" applyAlignment="1">
      <alignment wrapText="1"/>
    </xf>
    <xf numFmtId="1" fontId="0" fillId="0" borderId="0" xfId="0" applyNumberFormat="1" applyBorder="1"/>
    <xf numFmtId="165" fontId="0" fillId="0" borderId="0" xfId="0" applyNumberFormat="1" applyBorder="1"/>
    <xf numFmtId="0" fontId="0" fillId="0" borderId="13" xfId="0" applyBorder="1"/>
    <xf numFmtId="0" fontId="17" fillId="0" borderId="0" xfId="0" applyFont="1" applyBorder="1"/>
    <xf numFmtId="0" fontId="0" fillId="2" borderId="7" xfId="0" applyFill="1" applyBorder="1"/>
    <xf numFmtId="166" fontId="17" fillId="0" borderId="6" xfId="0" applyNumberFormat="1" applyFont="1" applyFill="1" applyBorder="1" applyAlignment="1"/>
    <xf numFmtId="166" fontId="19" fillId="0" borderId="6" xfId="0" applyNumberFormat="1" applyFont="1" applyFill="1" applyBorder="1" applyAlignment="1"/>
    <xf numFmtId="0" fontId="11" fillId="0" borderId="0" xfId="0" applyFont="1" applyFill="1" applyBorder="1"/>
    <xf numFmtId="3" fontId="19" fillId="0" borderId="1" xfId="0" applyNumberFormat="1" applyFont="1" applyBorder="1"/>
    <xf numFmtId="3" fontId="0" fillId="0" borderId="0" xfId="0" applyNumberFormat="1" applyBorder="1"/>
    <xf numFmtId="0" fontId="0" fillId="0" borderId="0" xfId="0" applyFill="1" applyBorder="1"/>
    <xf numFmtId="0" fontId="17" fillId="0" borderId="0" xfId="0" applyFont="1" applyFill="1" applyBorder="1"/>
    <xf numFmtId="0" fontId="27" fillId="0" borderId="0" xfId="0" applyFont="1"/>
    <xf numFmtId="2" fontId="28" fillId="0" borderId="0" xfId="0" applyNumberFormat="1" applyFont="1"/>
    <xf numFmtId="0" fontId="0" fillId="0" borderId="14" xfId="0" applyBorder="1"/>
    <xf numFmtId="0" fontId="0" fillId="0" borderId="15" xfId="0" applyBorder="1"/>
    <xf numFmtId="2" fontId="0" fillId="0" borderId="15" xfId="0" applyNumberFormat="1" applyBorder="1"/>
    <xf numFmtId="0" fontId="3" fillId="0" borderId="16" xfId="0" applyFont="1" applyBorder="1" applyAlignment="1">
      <alignment wrapText="1"/>
    </xf>
    <xf numFmtId="2" fontId="0" fillId="0" borderId="0" xfId="0" applyNumberFormat="1" applyBorder="1" applyAlignment="1">
      <alignment vertical="distributed"/>
    </xf>
    <xf numFmtId="0" fontId="0" fillId="0" borderId="0" xfId="0" applyBorder="1" applyAlignment="1">
      <alignment vertical="distributed"/>
    </xf>
    <xf numFmtId="0" fontId="19" fillId="0" borderId="0" xfId="0" applyFont="1" applyBorder="1"/>
    <xf numFmtId="3" fontId="25" fillId="0" borderId="0" xfId="0" applyNumberFormat="1" applyFont="1" applyBorder="1"/>
    <xf numFmtId="3" fontId="10" fillId="0" borderId="0" xfId="0" applyNumberFormat="1" applyFont="1" applyBorder="1"/>
    <xf numFmtId="0" fontId="26" fillId="0" borderId="0" xfId="0" applyFont="1" applyFill="1" applyBorder="1"/>
    <xf numFmtId="0" fontId="19" fillId="0" borderId="0" xfId="0" applyFont="1" applyFill="1" applyBorder="1"/>
    <xf numFmtId="2" fontId="17" fillId="0" borderId="0" xfId="0" applyNumberFormat="1" applyFont="1" applyFill="1" applyBorder="1"/>
    <xf numFmtId="2" fontId="0" fillId="0" borderId="0" xfId="0" applyNumberFormat="1" applyFill="1" applyBorder="1"/>
    <xf numFmtId="0" fontId="4" fillId="0" borderId="16" xfId="0" applyFont="1" applyBorder="1" applyAlignment="1">
      <alignment wrapText="1"/>
    </xf>
    <xf numFmtId="0" fontId="0" fillId="0" borderId="0" xfId="0" applyAlignment="1">
      <alignment vertical="center" wrapText="1"/>
    </xf>
    <xf numFmtId="0" fontId="32" fillId="0" borderId="0" xfId="0" applyFont="1" applyAlignment="1">
      <alignment horizontal="right" vertical="center" wrapText="1"/>
    </xf>
    <xf numFmtId="0" fontId="32" fillId="0" borderId="0" xfId="0" applyFont="1" applyAlignment="1">
      <alignment horizontal="right" vertical="top"/>
    </xf>
    <xf numFmtId="0" fontId="36" fillId="0" borderId="0" xfId="0" applyFont="1"/>
    <xf numFmtId="0" fontId="32" fillId="0" borderId="0" xfId="0" applyFont="1" applyAlignment="1">
      <alignment horizontal="right" vertical="center"/>
    </xf>
    <xf numFmtId="0" fontId="16" fillId="0" borderId="0" xfId="0" applyFont="1"/>
    <xf numFmtId="0" fontId="34" fillId="0" borderId="2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0" fillId="0" borderId="23" xfId="0" applyFill="1" applyBorder="1" applyAlignment="1">
      <alignment vertical="center"/>
    </xf>
    <xf numFmtId="0" fontId="0" fillId="0" borderId="0" xfId="0" applyBorder="1" applyAlignment="1">
      <alignment vertical="center" wrapText="1"/>
    </xf>
    <xf numFmtId="9" fontId="34" fillId="2" borderId="1" xfId="0" applyNumberFormat="1" applyFont="1" applyFill="1" applyBorder="1" applyAlignment="1">
      <alignment horizontal="center" vertical="center"/>
    </xf>
    <xf numFmtId="9" fontId="0" fillId="0" borderId="23" xfId="0" applyNumberFormat="1" applyBorder="1" applyAlignment="1">
      <alignment horizontal="center" vertical="center"/>
    </xf>
    <xf numFmtId="0" fontId="0" fillId="0" borderId="4" xfId="0" applyBorder="1" applyAlignment="1">
      <alignment horizontal="center" vertical="center"/>
    </xf>
    <xf numFmtId="9" fontId="19" fillId="4" borderId="23" xfId="0" applyNumberFormat="1" applyFont="1" applyFill="1" applyBorder="1" applyAlignment="1">
      <alignment horizontal="center" vertical="center"/>
    </xf>
    <xf numFmtId="0" fontId="38" fillId="0" borderId="24" xfId="0" applyFont="1" applyFill="1" applyBorder="1" applyAlignment="1">
      <alignment horizontal="center" vertical="center" wrapText="1"/>
    </xf>
    <xf numFmtId="0" fontId="0" fillId="0" borderId="24" xfId="0" applyFill="1" applyBorder="1" applyAlignment="1">
      <alignment vertical="center"/>
    </xf>
    <xf numFmtId="0" fontId="0" fillId="0" borderId="5" xfId="0" applyBorder="1" applyAlignment="1">
      <alignment vertical="center" wrapText="1"/>
    </xf>
    <xf numFmtId="9" fontId="34" fillId="2" borderId="13" xfId="0" applyNumberFormat="1" applyFont="1" applyFill="1" applyBorder="1" applyAlignment="1">
      <alignment horizontal="center" vertical="center"/>
    </xf>
    <xf numFmtId="9" fontId="0" fillId="0" borderId="24" xfId="0" applyNumberFormat="1" applyBorder="1" applyAlignment="1">
      <alignment horizontal="center" vertical="center"/>
    </xf>
    <xf numFmtId="0" fontId="0" fillId="0" borderId="9" xfId="0" applyBorder="1" applyAlignment="1">
      <alignment horizontal="center" vertical="center"/>
    </xf>
    <xf numFmtId="9" fontId="19" fillId="4" borderId="24" xfId="0" applyNumberFormat="1" applyFont="1" applyFill="1" applyBorder="1" applyAlignment="1">
      <alignment horizontal="center" vertical="center"/>
    </xf>
    <xf numFmtId="0" fontId="39" fillId="0" borderId="0" xfId="0" applyFont="1" applyAlignment="1">
      <alignment horizontal="center" vertical="center"/>
    </xf>
    <xf numFmtId="0" fontId="17" fillId="0" borderId="7" xfId="0" applyFont="1" applyFill="1" applyBorder="1" applyAlignment="1">
      <alignment vertical="center" wrapText="1"/>
    </xf>
    <xf numFmtId="0" fontId="17" fillId="0" borderId="25" xfId="0" applyFont="1" applyFill="1" applyBorder="1" applyAlignment="1">
      <alignment vertical="center" wrapText="1"/>
    </xf>
    <xf numFmtId="0" fontId="0" fillId="0" borderId="0" xfId="0" applyAlignment="1">
      <alignment horizontal="left"/>
    </xf>
    <xf numFmtId="0" fontId="0" fillId="0" borderId="26" xfId="0" applyBorder="1" applyAlignment="1">
      <alignment vertical="center"/>
    </xf>
    <xf numFmtId="9" fontId="19" fillId="4" borderId="22" xfId="7" applyNumberFormat="1" applyFont="1" applyFill="1" applyBorder="1" applyAlignment="1">
      <alignment horizontal="center" vertical="center"/>
    </xf>
    <xf numFmtId="0" fontId="40" fillId="0" borderId="0" xfId="0" applyFont="1" applyBorder="1" applyAlignment="1">
      <alignment horizontal="center" vertical="center" wrapText="1"/>
    </xf>
    <xf numFmtId="0" fontId="17" fillId="0" borderId="11" xfId="0" applyFont="1" applyBorder="1" applyAlignment="1">
      <alignment horizontal="left" vertical="center"/>
    </xf>
    <xf numFmtId="0" fontId="0" fillId="0" borderId="1" xfId="0" applyBorder="1" applyAlignment="1">
      <alignment vertical="center"/>
    </xf>
    <xf numFmtId="9" fontId="19" fillId="4" borderId="23" xfId="7" applyNumberFormat="1" applyFont="1" applyFill="1" applyBorder="1" applyAlignment="1">
      <alignment horizontal="center" vertical="center"/>
    </xf>
    <xf numFmtId="0" fontId="41" fillId="0" borderId="23" xfId="2" applyFont="1" applyBorder="1" applyAlignment="1" applyProtection="1">
      <alignment vertical="center"/>
    </xf>
    <xf numFmtId="0" fontId="41" fillId="0" borderId="24" xfId="2" applyFont="1" applyBorder="1" applyAlignment="1" applyProtection="1">
      <alignment vertical="center"/>
    </xf>
    <xf numFmtId="0" fontId="0" fillId="0" borderId="13" xfId="0" applyBorder="1" applyAlignment="1">
      <alignment vertical="center"/>
    </xf>
    <xf numFmtId="9" fontId="19" fillId="4" borderId="24" xfId="7" applyNumberFormat="1" applyFont="1" applyFill="1" applyBorder="1" applyAlignment="1">
      <alignment horizontal="center" vertical="center"/>
    </xf>
    <xf numFmtId="0" fontId="43" fillId="0" borderId="0" xfId="0" applyFont="1" applyFill="1" applyAlignment="1">
      <alignment vertical="center" wrapText="1"/>
    </xf>
    <xf numFmtId="0" fontId="0" fillId="0" borderId="0" xfId="0" applyBorder="1" applyAlignment="1"/>
    <xf numFmtId="0" fontId="17" fillId="0" borderId="0" xfId="0" applyFont="1" applyFill="1" applyAlignment="1">
      <alignment horizontal="left" vertical="center" wrapText="1"/>
    </xf>
    <xf numFmtId="0" fontId="17" fillId="0" borderId="0" xfId="0" applyFont="1" applyAlignment="1">
      <alignment horizontal="right" vertical="center"/>
    </xf>
    <xf numFmtId="164" fontId="44" fillId="0" borderId="0" xfId="7" applyNumberFormat="1" applyFont="1" applyFill="1" applyBorder="1" applyAlignment="1">
      <alignment horizontal="center"/>
    </xf>
    <xf numFmtId="0" fontId="17" fillId="0" borderId="0" xfId="0" applyFont="1" applyAlignment="1">
      <alignment horizontal="right"/>
    </xf>
    <xf numFmtId="164" fontId="17" fillId="0" borderId="11" xfId="0" applyNumberFormat="1" applyFont="1" applyBorder="1" applyAlignment="1">
      <alignment horizontal="center"/>
    </xf>
    <xf numFmtId="164" fontId="17" fillId="0" borderId="0" xfId="0" applyNumberFormat="1" applyFont="1" applyBorder="1" applyAlignment="1">
      <alignment horizontal="center"/>
    </xf>
    <xf numFmtId="0" fontId="33" fillId="0" borderId="0" xfId="0" applyFont="1" applyAlignment="1">
      <alignment vertical="center" wrapText="1"/>
    </xf>
    <xf numFmtId="0" fontId="0" fillId="4" borderId="7" xfId="0" applyFill="1" applyBorder="1"/>
    <xf numFmtId="0" fontId="27" fillId="4" borderId="7" xfId="0" applyFont="1" applyFill="1" applyBorder="1"/>
    <xf numFmtId="0" fontId="0" fillId="4" borderId="5" xfId="0" applyFill="1" applyBorder="1"/>
    <xf numFmtId="0" fontId="29" fillId="4" borderId="5" xfId="0" applyFont="1" applyFill="1" applyBorder="1"/>
    <xf numFmtId="0" fontId="27" fillId="2" borderId="7" xfId="0" applyFont="1" applyFill="1" applyBorder="1"/>
    <xf numFmtId="0" fontId="27" fillId="0" borderId="0" xfId="0" applyFont="1" applyBorder="1"/>
    <xf numFmtId="0" fontId="0" fillId="2" borderId="27" xfId="0" applyFill="1" applyBorder="1"/>
    <xf numFmtId="0" fontId="0" fillId="2" borderId="28" xfId="0" applyFill="1" applyBorder="1"/>
    <xf numFmtId="0" fontId="0" fillId="4" borderId="29" xfId="0" applyFill="1" applyBorder="1"/>
    <xf numFmtId="0" fontId="27" fillId="0" borderId="0" xfId="0" applyFont="1" applyFill="1" applyBorder="1"/>
    <xf numFmtId="0" fontId="11" fillId="0" borderId="15" xfId="0" applyFont="1" applyFill="1" applyBorder="1"/>
    <xf numFmtId="0" fontId="17" fillId="0" borderId="14" xfId="0" applyFont="1" applyBorder="1"/>
    <xf numFmtId="9" fontId="17" fillId="0" borderId="0" xfId="0" applyNumberFormat="1" applyFont="1" applyBorder="1"/>
    <xf numFmtId="9" fontId="30" fillId="0" borderId="0" xfId="0" applyNumberFormat="1" applyFont="1" applyBorder="1"/>
    <xf numFmtId="9" fontId="22" fillId="0" borderId="0" xfId="0" applyNumberFormat="1" applyFont="1" applyBorder="1"/>
    <xf numFmtId="9" fontId="22" fillId="0" borderId="15" xfId="0" applyNumberFormat="1" applyFont="1" applyBorder="1"/>
    <xf numFmtId="0" fontId="0" fillId="4" borderId="27" xfId="0" applyFill="1" applyBorder="1"/>
    <xf numFmtId="0" fontId="0" fillId="4" borderId="28" xfId="0" applyFill="1" applyBorder="1"/>
    <xf numFmtId="0" fontId="29" fillId="0" borderId="0" xfId="0" applyFont="1" applyBorder="1" applyAlignment="1">
      <alignment horizontal="center"/>
    </xf>
    <xf numFmtId="2" fontId="28" fillId="0" borderId="14" xfId="0" applyNumberFormat="1" applyFont="1" applyBorder="1"/>
    <xf numFmtId="2" fontId="28" fillId="0" borderId="0" xfId="0" applyNumberFormat="1" applyFont="1" applyBorder="1"/>
    <xf numFmtId="2" fontId="31" fillId="0" borderId="0" xfId="0" applyNumberFormat="1" applyFont="1" applyBorder="1"/>
    <xf numFmtId="2" fontId="28" fillId="0" borderId="15" xfId="0" applyNumberFormat="1" applyFont="1" applyBorder="1"/>
    <xf numFmtId="0" fontId="0" fillId="0" borderId="30" xfId="0" applyBorder="1"/>
    <xf numFmtId="0" fontId="17" fillId="0" borderId="2" xfId="0" applyFont="1" applyBorder="1"/>
    <xf numFmtId="164" fontId="44" fillId="5" borderId="20" xfId="0" applyNumberFormat="1" applyFont="1" applyFill="1" applyBorder="1"/>
    <xf numFmtId="9" fontId="17" fillId="0" borderId="2" xfId="0" applyNumberFormat="1" applyFont="1" applyBorder="1"/>
    <xf numFmtId="9" fontId="30" fillId="0" borderId="2" xfId="0" applyNumberFormat="1" applyFont="1" applyBorder="1"/>
    <xf numFmtId="9" fontId="22" fillId="0" borderId="2" xfId="0" applyNumberFormat="1" applyFont="1" applyBorder="1"/>
    <xf numFmtId="9" fontId="22" fillId="0" borderId="31" xfId="0" applyNumberFormat="1" applyFont="1" applyBorder="1"/>
    <xf numFmtId="0" fontId="0" fillId="6" borderId="32" xfId="0" applyFill="1" applyBorder="1"/>
    <xf numFmtId="0" fontId="0" fillId="6" borderId="33" xfId="0" applyFill="1" applyBorder="1"/>
    <xf numFmtId="0" fontId="45" fillId="0" borderId="0" xfId="0" applyFont="1"/>
    <xf numFmtId="9" fontId="34" fillId="2" borderId="0" xfId="7" applyNumberFormat="1" applyFont="1" applyFill="1" applyBorder="1" applyAlignment="1">
      <alignment horizontal="center" vertical="center"/>
    </xf>
    <xf numFmtId="9" fontId="3" fillId="0" borderId="0" xfId="6" applyNumberFormat="1" applyFont="1" applyBorder="1" applyAlignment="1">
      <alignment horizontal="center" vertical="center"/>
    </xf>
    <xf numFmtId="9" fontId="34" fillId="2" borderId="5" xfId="7" applyNumberFormat="1" applyFont="1" applyFill="1" applyBorder="1" applyAlignment="1">
      <alignment horizontal="center" vertical="center"/>
    </xf>
    <xf numFmtId="9" fontId="3" fillId="0" borderId="5" xfId="6" applyNumberFormat="1" applyFont="1" applyBorder="1" applyAlignment="1">
      <alignment horizontal="center" vertical="center"/>
    </xf>
    <xf numFmtId="0" fontId="3" fillId="0" borderId="22" xfId="6" applyFont="1" applyBorder="1" applyAlignment="1">
      <alignment vertical="center" wrapText="1"/>
    </xf>
    <xf numFmtId="0" fontId="0" fillId="7" borderId="23" xfId="0" applyFill="1" applyBorder="1" applyAlignment="1">
      <alignment vertical="center" wrapText="1"/>
    </xf>
    <xf numFmtId="0" fontId="0" fillId="7" borderId="24" xfId="0" applyFill="1" applyBorder="1" applyAlignment="1">
      <alignment vertical="center" wrapText="1"/>
    </xf>
    <xf numFmtId="9" fontId="34" fillId="2" borderId="25" xfId="7" applyNumberFormat="1" applyFont="1" applyFill="1" applyBorder="1" applyAlignment="1">
      <alignment horizontal="center" vertical="center"/>
    </xf>
    <xf numFmtId="9" fontId="34" fillId="2" borderId="0" xfId="7" applyFont="1" applyFill="1" applyBorder="1" applyAlignment="1">
      <alignment horizontal="center" vertical="center"/>
    </xf>
    <xf numFmtId="1" fontId="3" fillId="0" borderId="25" xfId="6" applyNumberFormat="1" applyFont="1" applyBorder="1" applyAlignment="1">
      <alignment horizontal="center" vertical="center"/>
    </xf>
    <xf numFmtId="0" fontId="3" fillId="0" borderId="0" xfId="6" applyFont="1" applyBorder="1" applyAlignment="1">
      <alignment horizontal="center" vertical="center"/>
    </xf>
    <xf numFmtId="9" fontId="3" fillId="0" borderId="22" xfId="7" applyNumberFormat="1" applyBorder="1" applyAlignment="1">
      <alignment horizontal="center" vertical="center"/>
    </xf>
    <xf numFmtId="9" fontId="3" fillId="0" borderId="23" xfId="7" applyNumberFormat="1" applyBorder="1" applyAlignment="1">
      <alignment horizontal="center" vertical="center"/>
    </xf>
    <xf numFmtId="9" fontId="3" fillId="0" borderId="23" xfId="7" applyBorder="1" applyAlignment="1">
      <alignment horizontal="center" vertical="center"/>
    </xf>
    <xf numFmtId="9" fontId="3" fillId="0" borderId="24" xfId="7" applyNumberFormat="1" applyBorder="1" applyAlignment="1">
      <alignment horizontal="center" vertical="center"/>
    </xf>
    <xf numFmtId="0" fontId="9" fillId="0" borderId="0" xfId="0" applyFont="1" applyAlignment="1">
      <alignment vertical="center" wrapText="1"/>
    </xf>
    <xf numFmtId="0" fontId="17" fillId="0" borderId="0" xfId="0" applyFont="1" applyAlignment="1">
      <alignment vertical="center" wrapText="1"/>
    </xf>
    <xf numFmtId="0" fontId="0" fillId="0" borderId="0" xfId="0" applyAlignment="1">
      <alignment vertical="center"/>
    </xf>
    <xf numFmtId="0" fontId="0" fillId="0" borderId="0" xfId="0" applyBorder="1" applyAlignment="1">
      <alignment vertical="center"/>
    </xf>
    <xf numFmtId="0" fontId="0" fillId="0" borderId="4" xfId="0" applyBorder="1" applyAlignment="1">
      <alignment vertical="center"/>
    </xf>
    <xf numFmtId="3" fontId="19" fillId="0" borderId="0" xfId="0" applyNumberFormat="1" applyFont="1" applyBorder="1"/>
    <xf numFmtId="2" fontId="17" fillId="0" borderId="0" xfId="0" applyNumberFormat="1" applyFont="1" applyBorder="1"/>
    <xf numFmtId="0" fontId="20" fillId="4" borderId="7" xfId="0" applyFont="1" applyFill="1" applyBorder="1"/>
    <xf numFmtId="0" fontId="6" fillId="4" borderId="8" xfId="0" applyFont="1" applyFill="1" applyBorder="1"/>
    <xf numFmtId="0" fontId="0" fillId="4" borderId="10" xfId="0" applyFill="1" applyBorder="1"/>
    <xf numFmtId="0" fontId="0" fillId="4" borderId="8" xfId="0" applyFill="1" applyBorder="1"/>
    <xf numFmtId="0" fontId="19" fillId="0" borderId="1" xfId="0" applyFont="1" applyBorder="1"/>
    <xf numFmtId="3" fontId="0" fillId="0" borderId="4" xfId="0" applyNumberFormat="1" applyBorder="1"/>
    <xf numFmtId="0" fontId="17" fillId="2" borderId="8" xfId="0" applyFont="1" applyFill="1" applyBorder="1"/>
    <xf numFmtId="2" fontId="17" fillId="0" borderId="4" xfId="0" applyNumberFormat="1" applyFont="1" applyBorder="1"/>
    <xf numFmtId="0" fontId="0" fillId="3" borderId="8" xfId="0" applyFill="1" applyBorder="1"/>
    <xf numFmtId="0" fontId="0" fillId="3" borderId="7" xfId="0" applyFill="1" applyBorder="1"/>
    <xf numFmtId="0" fontId="10" fillId="0" borderId="1" xfId="0" applyFont="1" applyBorder="1"/>
    <xf numFmtId="3" fontId="17" fillId="0" borderId="34" xfId="0" applyNumberFormat="1" applyFont="1" applyFill="1" applyBorder="1" applyAlignment="1"/>
    <xf numFmtId="3" fontId="17" fillId="0" borderId="35" xfId="0" applyNumberFormat="1" applyFont="1" applyFill="1" applyBorder="1" applyAlignment="1"/>
    <xf numFmtId="3" fontId="17" fillId="0" borderId="36" xfId="0" applyNumberFormat="1" applyFont="1" applyFill="1" applyBorder="1" applyAlignment="1"/>
    <xf numFmtId="0" fontId="47" fillId="0" borderId="37" xfId="0" applyFont="1" applyFill="1" applyBorder="1" applyAlignment="1">
      <alignment horizontal="left"/>
    </xf>
    <xf numFmtId="0" fontId="23" fillId="0" borderId="38" xfId="0" applyFont="1" applyFill="1" applyBorder="1" applyAlignment="1">
      <alignment horizontal="center"/>
    </xf>
    <xf numFmtId="0" fontId="45" fillId="0" borderId="24" xfId="0" applyFont="1" applyBorder="1"/>
    <xf numFmtId="0" fontId="45" fillId="0" borderId="11" xfId="0" applyFont="1" applyBorder="1"/>
    <xf numFmtId="0" fontId="45" fillId="0" borderId="4" xfId="0" applyFont="1" applyBorder="1"/>
    <xf numFmtId="0" fontId="23" fillId="0" borderId="1" xfId="0" applyFont="1" applyFill="1" applyBorder="1" applyAlignment="1">
      <alignment horizontal="left"/>
    </xf>
    <xf numFmtId="0" fontId="4" fillId="0" borderId="0" xfId="0" applyFont="1" applyBorder="1"/>
    <xf numFmtId="0" fontId="45" fillId="0" borderId="0" xfId="0" applyFont="1" applyBorder="1"/>
    <xf numFmtId="167" fontId="45" fillId="0" borderId="11" xfId="0" applyNumberFormat="1" applyFont="1" applyBorder="1"/>
    <xf numFmtId="0" fontId="45" fillId="0" borderId="4" xfId="0" applyFont="1" applyFill="1" applyBorder="1"/>
    <xf numFmtId="0" fontId="45" fillId="0" borderId="0" xfId="0" applyFont="1" applyFill="1" applyBorder="1" applyAlignment="1"/>
    <xf numFmtId="2" fontId="45" fillId="0" borderId="11" xfId="0" applyNumberFormat="1" applyFont="1" applyBorder="1"/>
    <xf numFmtId="0" fontId="48" fillId="0" borderId="39" xfId="0" applyFont="1" applyFill="1" applyBorder="1" applyAlignment="1">
      <alignment horizontal="left"/>
    </xf>
    <xf numFmtId="0" fontId="45" fillId="0" borderId="1" xfId="0" applyFont="1" applyBorder="1"/>
    <xf numFmtId="0" fontId="23" fillId="0" borderId="8" xfId="0" applyFont="1" applyBorder="1"/>
    <xf numFmtId="0" fontId="45" fillId="0" borderId="7" xfId="0" applyFont="1" applyBorder="1"/>
    <xf numFmtId="2" fontId="23" fillId="0" borderId="11" xfId="0" applyNumberFormat="1" applyFont="1" applyBorder="1"/>
    <xf numFmtId="0" fontId="23" fillId="0" borderId="11" xfId="0" applyFont="1" applyBorder="1"/>
    <xf numFmtId="0" fontId="45" fillId="0" borderId="5" xfId="0" applyFont="1" applyBorder="1"/>
    <xf numFmtId="2" fontId="45" fillId="0" borderId="5" xfId="0" applyNumberFormat="1" applyFont="1" applyBorder="1"/>
    <xf numFmtId="0" fontId="23" fillId="0" borderId="1" xfId="0" applyFont="1" applyBorder="1"/>
    <xf numFmtId="0" fontId="23" fillId="0" borderId="0" xfId="0" applyFont="1" applyBorder="1"/>
    <xf numFmtId="167" fontId="23" fillId="0" borderId="0" xfId="0" applyNumberFormat="1" applyFont="1" applyBorder="1"/>
    <xf numFmtId="0" fontId="23" fillId="2" borderId="8" xfId="0" applyFont="1" applyFill="1" applyBorder="1"/>
    <xf numFmtId="0" fontId="23" fillId="2" borderId="7" xfId="0" applyFont="1" applyFill="1" applyBorder="1"/>
    <xf numFmtId="167" fontId="23" fillId="2" borderId="7" xfId="0" applyNumberFormat="1" applyFont="1" applyFill="1" applyBorder="1"/>
    <xf numFmtId="167" fontId="23" fillId="2" borderId="10" xfId="0" applyNumberFormat="1" applyFont="1" applyFill="1" applyBorder="1"/>
    <xf numFmtId="0" fontId="19" fillId="0" borderId="4" xfId="0" applyFont="1" applyBorder="1"/>
    <xf numFmtId="0" fontId="49" fillId="2" borderId="40" xfId="0" applyFont="1" applyFill="1" applyBorder="1" applyAlignment="1">
      <alignment horizontal="left"/>
    </xf>
    <xf numFmtId="0" fontId="49" fillId="2" borderId="6" xfId="0" applyFont="1" applyFill="1" applyBorder="1" applyAlignment="1">
      <alignment horizontal="left"/>
    </xf>
    <xf numFmtId="0" fontId="19" fillId="2" borderId="0" xfId="0" applyFont="1" applyFill="1"/>
    <xf numFmtId="0" fontId="19" fillId="2" borderId="5" xfId="0" applyFont="1" applyFill="1" applyBorder="1"/>
    <xf numFmtId="0" fontId="19" fillId="0" borderId="5" xfId="0" applyFont="1" applyBorder="1"/>
    <xf numFmtId="0" fontId="19" fillId="2" borderId="7" xfId="0" applyFont="1" applyFill="1" applyBorder="1"/>
    <xf numFmtId="0" fontId="19" fillId="0" borderId="7" xfId="0" applyFont="1" applyBorder="1"/>
    <xf numFmtId="0" fontId="17" fillId="4" borderId="6" xfId="0" applyFont="1" applyFill="1" applyBorder="1" applyAlignment="1">
      <alignment horizontal="centerContinuous"/>
    </xf>
    <xf numFmtId="0" fontId="17" fillId="4" borderId="34" xfId="0" applyFont="1" applyFill="1" applyBorder="1" applyAlignment="1">
      <alignment horizontal="centerContinuous"/>
    </xf>
    <xf numFmtId="0" fontId="17" fillId="0" borderId="40" xfId="0" applyFont="1" applyFill="1" applyBorder="1" applyAlignment="1">
      <alignment horizontal="left"/>
    </xf>
    <xf numFmtId="0" fontId="25" fillId="0" borderId="6" xfId="0" applyFont="1" applyFill="1" applyBorder="1" applyAlignment="1">
      <alignment horizontal="center"/>
    </xf>
    <xf numFmtId="0" fontId="17" fillId="0" borderId="6" xfId="0" applyFont="1" applyFill="1" applyBorder="1" applyAlignment="1">
      <alignment horizontal="center"/>
    </xf>
    <xf numFmtId="0" fontId="17" fillId="0" borderId="34" xfId="0" applyFont="1" applyFill="1" applyBorder="1" applyAlignment="1">
      <alignment horizontal="center"/>
    </xf>
    <xf numFmtId="0" fontId="49" fillId="0" borderId="40" xfId="0" applyFont="1" applyFill="1" applyBorder="1" applyAlignment="1">
      <alignment horizontal="left"/>
    </xf>
    <xf numFmtId="0" fontId="50" fillId="0" borderId="6" xfId="0" applyFont="1" applyFill="1" applyBorder="1" applyAlignment="1">
      <alignment horizontal="center"/>
    </xf>
    <xf numFmtId="0" fontId="10" fillId="0" borderId="41" xfId="0" applyFont="1" applyFill="1" applyBorder="1" applyAlignment="1">
      <alignment horizontal="center"/>
    </xf>
    <xf numFmtId="166" fontId="19" fillId="0" borderId="41" xfId="0" applyNumberFormat="1" applyFont="1" applyFill="1" applyBorder="1" applyAlignment="1"/>
    <xf numFmtId="3" fontId="19" fillId="0" borderId="41" xfId="0" applyNumberFormat="1" applyFont="1" applyFill="1" applyBorder="1" applyAlignment="1"/>
    <xf numFmtId="3" fontId="19" fillId="0" borderId="42" xfId="0" applyNumberFormat="1" applyFont="1" applyFill="1" applyBorder="1" applyAlignment="1"/>
    <xf numFmtId="0" fontId="10" fillId="0" borderId="6" xfId="0" applyFont="1" applyFill="1" applyBorder="1" applyAlignment="1">
      <alignment horizontal="center"/>
    </xf>
    <xf numFmtId="3" fontId="16" fillId="4" borderId="6" xfId="0" applyNumberFormat="1" applyFont="1" applyFill="1" applyBorder="1" applyAlignment="1">
      <alignment horizontal="centerContinuous"/>
    </xf>
    <xf numFmtId="0" fontId="10" fillId="0" borderId="0" xfId="0" applyFont="1" applyFill="1" applyBorder="1" applyAlignment="1">
      <alignment horizontal="center"/>
    </xf>
    <xf numFmtId="0" fontId="49" fillId="0" borderId="43" xfId="0" applyFont="1" applyFill="1" applyBorder="1" applyAlignment="1">
      <alignment horizontal="left"/>
    </xf>
    <xf numFmtId="0" fontId="19" fillId="0" borderId="0" xfId="0" applyFont="1" applyFill="1"/>
    <xf numFmtId="0" fontId="50" fillId="2" borderId="6" xfId="0" applyFont="1" applyFill="1" applyBorder="1" applyAlignment="1">
      <alignment horizontal="left"/>
    </xf>
    <xf numFmtId="0" fontId="19" fillId="0" borderId="0" xfId="0" applyFont="1" applyFill="1" applyBorder="1" applyAlignment="1"/>
    <xf numFmtId="3" fontId="10" fillId="0" borderId="41" xfId="0" applyNumberFormat="1" applyFont="1" applyFill="1" applyBorder="1" applyAlignment="1">
      <alignment horizontal="center"/>
    </xf>
    <xf numFmtId="3" fontId="10" fillId="0" borderId="41" xfId="0" applyNumberFormat="1" applyFont="1" applyFill="1" applyBorder="1" applyAlignment="1"/>
    <xf numFmtId="3" fontId="10" fillId="0" borderId="0" xfId="0" applyNumberFormat="1" applyFont="1" applyFill="1" applyBorder="1" applyAlignment="1">
      <alignment horizontal="center"/>
    </xf>
    <xf numFmtId="3" fontId="10" fillId="0" borderId="0" xfId="0" applyNumberFormat="1" applyFont="1" applyFill="1" applyBorder="1" applyAlignment="1"/>
    <xf numFmtId="166" fontId="10" fillId="0" borderId="41" xfId="0" applyNumberFormat="1" applyFont="1" applyFill="1" applyBorder="1" applyAlignment="1"/>
    <xf numFmtId="4" fontId="19" fillId="0" borderId="41" xfId="0" applyNumberFormat="1" applyFont="1" applyFill="1" applyBorder="1" applyAlignment="1"/>
    <xf numFmtId="0" fontId="21" fillId="4" borderId="7" xfId="0" applyFont="1" applyFill="1" applyBorder="1"/>
    <xf numFmtId="0" fontId="45" fillId="4" borderId="8" xfId="0" applyFont="1" applyFill="1" applyBorder="1"/>
    <xf numFmtId="0" fontId="45" fillId="4" borderId="7" xfId="0" applyFont="1" applyFill="1" applyBorder="1"/>
    <xf numFmtId="0" fontId="45" fillId="4" borderId="10" xfId="0" applyFont="1" applyFill="1" applyBorder="1"/>
    <xf numFmtId="0" fontId="46" fillId="4" borderId="8" xfId="0" applyFont="1" applyFill="1" applyBorder="1"/>
    <xf numFmtId="0" fontId="23" fillId="4" borderId="8" xfId="0" applyFont="1" applyFill="1" applyBorder="1"/>
    <xf numFmtId="0" fontId="21" fillId="4" borderId="8" xfId="0" applyFont="1" applyFill="1" applyBorder="1"/>
    <xf numFmtId="0" fontId="21" fillId="4" borderId="10" xfId="0" applyFont="1" applyFill="1" applyBorder="1"/>
    <xf numFmtId="0" fontId="35" fillId="0" borderId="37" xfId="0" applyFont="1" applyFill="1" applyBorder="1" applyAlignment="1">
      <alignment horizontal="center"/>
    </xf>
    <xf numFmtId="0" fontId="23" fillId="0" borderId="44" xfId="0" applyFont="1" applyFill="1" applyBorder="1" applyAlignment="1">
      <alignment horizontal="center"/>
    </xf>
    <xf numFmtId="0" fontId="4" fillId="0" borderId="1" xfId="0" applyFont="1" applyFill="1" applyBorder="1" applyAlignment="1"/>
    <xf numFmtId="9" fontId="45" fillId="0" borderId="4" xfId="0" applyNumberFormat="1" applyFont="1" applyFill="1" applyBorder="1" applyAlignment="1"/>
    <xf numFmtId="0" fontId="45" fillId="0" borderId="10" xfId="0" applyFont="1" applyBorder="1"/>
    <xf numFmtId="0" fontId="0" fillId="0" borderId="45" xfId="0" applyBorder="1"/>
    <xf numFmtId="0" fontId="0" fillId="0" borderId="46" xfId="0" applyBorder="1"/>
    <xf numFmtId="0" fontId="17" fillId="0" borderId="1" xfId="0" applyFont="1" applyFill="1" applyBorder="1" applyAlignment="1">
      <alignment horizontal="left"/>
    </xf>
    <xf numFmtId="0" fontId="19" fillId="0" borderId="4" xfId="0" applyFont="1" applyFill="1" applyBorder="1" applyAlignment="1"/>
    <xf numFmtId="0" fontId="19" fillId="0" borderId="47" xfId="0" applyFont="1" applyFill="1" applyBorder="1" applyAlignment="1">
      <alignment horizontal="left" indent="1"/>
    </xf>
    <xf numFmtId="3" fontId="10" fillId="0" borderId="4" xfId="0" applyNumberFormat="1" applyFont="1" applyFill="1" applyBorder="1" applyAlignment="1"/>
    <xf numFmtId="166" fontId="10" fillId="0" borderId="42" xfId="0" applyNumberFormat="1" applyFont="1" applyFill="1" applyBorder="1" applyAlignment="1"/>
    <xf numFmtId="4" fontId="19" fillId="0" borderId="42" xfId="0" applyNumberFormat="1" applyFont="1" applyFill="1" applyBorder="1" applyAlignment="1"/>
    <xf numFmtId="0" fontId="19" fillId="6" borderId="48" xfId="0" applyFont="1" applyFill="1" applyBorder="1"/>
    <xf numFmtId="0" fontId="19" fillId="6" borderId="49" xfId="0" applyFont="1" applyFill="1" applyBorder="1"/>
    <xf numFmtId="0" fontId="5" fillId="0" borderId="0" xfId="0" applyFont="1" applyFill="1" applyBorder="1" applyAlignment="1"/>
    <xf numFmtId="0" fontId="17" fillId="0" borderId="0" xfId="0" applyFont="1" applyFill="1" applyBorder="1" applyAlignment="1">
      <alignment vertical="center" wrapText="1"/>
    </xf>
    <xf numFmtId="37" fontId="18" fillId="2" borderId="0" xfId="5" applyFont="1" applyFill="1" applyBorder="1" applyAlignment="1">
      <alignment horizontal="center" wrapText="1"/>
    </xf>
    <xf numFmtId="0" fontId="18" fillId="2" borderId="0" xfId="0" applyFont="1" applyFill="1" applyBorder="1" applyAlignment="1">
      <alignment wrapText="1" shrinkToFit="1"/>
    </xf>
    <xf numFmtId="0" fontId="24" fillId="4" borderId="8" xfId="0" applyFont="1" applyFill="1" applyBorder="1"/>
    <xf numFmtId="0" fontId="16" fillId="2" borderId="8" xfId="0" applyFont="1" applyFill="1" applyBorder="1"/>
    <xf numFmtId="37" fontId="18" fillId="2" borderId="1" xfId="5" applyFont="1" applyFill="1" applyBorder="1" applyAlignment="1">
      <alignment horizontal="center" wrapText="1"/>
    </xf>
    <xf numFmtId="0" fontId="19" fillId="0" borderId="1" xfId="0" applyFont="1" applyBorder="1" applyAlignment="1">
      <alignment horizontal="left" indent="1"/>
    </xf>
    <xf numFmtId="0" fontId="17" fillId="0" borderId="23" xfId="0" applyFont="1" applyBorder="1" applyAlignment="1">
      <alignment horizontal="left"/>
    </xf>
    <xf numFmtId="0" fontId="17" fillId="0" borderId="8" xfId="0" applyFont="1" applyFill="1" applyBorder="1" applyAlignment="1">
      <alignment vertical="center" wrapText="1"/>
    </xf>
    <xf numFmtId="0" fontId="17" fillId="0" borderId="0" xfId="0" applyFont="1" applyFill="1" applyBorder="1" applyAlignment="1">
      <alignment horizontal="left" vertical="center" wrapText="1"/>
    </xf>
    <xf numFmtId="170" fontId="45" fillId="0" borderId="11" xfId="0" applyNumberFormat="1" applyFont="1" applyBorder="1"/>
    <xf numFmtId="2" fontId="17" fillId="0" borderId="4" xfId="0" applyNumberFormat="1" applyFont="1" applyFill="1" applyBorder="1"/>
    <xf numFmtId="2" fontId="45" fillId="8" borderId="0" xfId="0" applyNumberFormat="1" applyFont="1" applyFill="1" applyBorder="1"/>
    <xf numFmtId="0" fontId="17" fillId="0" borderId="0" xfId="0" applyFont="1" applyAlignment="1">
      <alignment horizontal="left" indent="1"/>
    </xf>
    <xf numFmtId="0" fontId="17" fillId="0" borderId="0" xfId="0" applyFont="1" applyAlignment="1">
      <alignment wrapText="1"/>
    </xf>
    <xf numFmtId="165" fontId="0" fillId="0" borderId="0" xfId="0" applyNumberFormat="1"/>
    <xf numFmtId="0" fontId="55" fillId="0" borderId="50" xfId="0" applyFont="1" applyBorder="1"/>
    <xf numFmtId="0" fontId="55" fillId="0" borderId="51" xfId="0" applyFont="1" applyBorder="1"/>
    <xf numFmtId="0" fontId="55" fillId="0" borderId="10" xfId="0" applyFont="1" applyBorder="1"/>
    <xf numFmtId="0" fontId="55" fillId="0" borderId="11" xfId="0" applyFont="1" applyBorder="1"/>
    <xf numFmtId="0" fontId="55" fillId="0" borderId="52" xfId="0" applyFont="1" applyBorder="1"/>
    <xf numFmtId="0" fontId="56" fillId="0" borderId="11" xfId="0" applyFont="1" applyBorder="1" applyAlignment="1">
      <alignment horizontal="right"/>
    </xf>
    <xf numFmtId="0" fontId="56" fillId="0" borderId="53" xfId="0" applyFont="1" applyBorder="1" applyAlignment="1">
      <alignment horizontal="right"/>
    </xf>
    <xf numFmtId="0" fontId="56" fillId="0" borderId="11" xfId="0" applyFont="1" applyBorder="1"/>
    <xf numFmtId="0" fontId="56" fillId="0" borderId="53" xfId="0" applyFont="1" applyBorder="1"/>
    <xf numFmtId="0" fontId="55" fillId="0" borderId="52" xfId="0" applyFont="1" applyBorder="1" applyAlignment="1">
      <alignment horizontal="left" indent="1"/>
    </xf>
    <xf numFmtId="0" fontId="55" fillId="0" borderId="10" xfId="0" applyFont="1" applyBorder="1" applyAlignment="1">
      <alignment horizontal="left" indent="1"/>
    </xf>
    <xf numFmtId="165" fontId="56" fillId="0" borderId="11" xfId="0" applyNumberFormat="1" applyFont="1" applyBorder="1" applyAlignment="1">
      <alignment horizontal="right"/>
    </xf>
    <xf numFmtId="165" fontId="56" fillId="0" borderId="53" xfId="0" applyNumberFormat="1" applyFont="1" applyBorder="1" applyAlignment="1">
      <alignment horizontal="right"/>
    </xf>
    <xf numFmtId="0" fontId="55" fillId="0" borderId="54" xfId="0" applyFont="1" applyBorder="1"/>
    <xf numFmtId="0" fontId="55" fillId="0" borderId="21" xfId="0" applyFont="1" applyBorder="1"/>
    <xf numFmtId="9" fontId="56" fillId="0" borderId="20" xfId="0" applyNumberFormat="1" applyFont="1" applyBorder="1" applyAlignment="1">
      <alignment horizontal="right"/>
    </xf>
    <xf numFmtId="9" fontId="56" fillId="0" borderId="55" xfId="0" applyNumberFormat="1" applyFont="1" applyBorder="1" applyAlignment="1">
      <alignment horizontal="right"/>
    </xf>
    <xf numFmtId="0" fontId="0" fillId="0" borderId="56" xfId="0" applyBorder="1"/>
    <xf numFmtId="0" fontId="0" fillId="0" borderId="57" xfId="0" applyBorder="1"/>
    <xf numFmtId="0" fontId="0" fillId="0" borderId="58" xfId="0" applyBorder="1"/>
    <xf numFmtId="0" fontId="55" fillId="0" borderId="59" xfId="0" applyFont="1" applyBorder="1"/>
    <xf numFmtId="0" fontId="55" fillId="0" borderId="58" xfId="0" applyFont="1" applyBorder="1" applyAlignment="1">
      <alignment horizontal="center" wrapText="1"/>
    </xf>
    <xf numFmtId="0" fontId="55" fillId="0" borderId="15" xfId="0" applyFont="1" applyBorder="1" applyAlignment="1">
      <alignment horizontal="center" wrapText="1"/>
    </xf>
    <xf numFmtId="0" fontId="55" fillId="0" borderId="59" xfId="0" applyFont="1" applyBorder="1"/>
    <xf numFmtId="0" fontId="55" fillId="0" borderId="58" xfId="0" applyFont="1" applyBorder="1"/>
    <xf numFmtId="0" fontId="57" fillId="0" borderId="31" xfId="0" applyFont="1" applyBorder="1" applyAlignment="1">
      <alignment wrapText="1"/>
    </xf>
    <xf numFmtId="0" fontId="55" fillId="0" borderId="31" xfId="0" applyFont="1" applyBorder="1"/>
    <xf numFmtId="0" fontId="55" fillId="0" borderId="60" xfId="0" applyFont="1" applyBorder="1"/>
    <xf numFmtId="0" fontId="55" fillId="0" borderId="31" xfId="0" applyFont="1" applyBorder="1" applyAlignment="1">
      <alignment horizontal="right" vertical="top" wrapText="1"/>
    </xf>
    <xf numFmtId="0" fontId="55" fillId="0" borderId="31" xfId="0" applyFont="1" applyBorder="1" applyAlignment="1">
      <alignment horizontal="right"/>
    </xf>
    <xf numFmtId="0" fontId="0" fillId="0" borderId="31" xfId="0" applyBorder="1"/>
    <xf numFmtId="0" fontId="56" fillId="0" borderId="31" xfId="0" applyFont="1" applyBorder="1" applyAlignment="1">
      <alignment horizontal="right" vertical="top" wrapText="1"/>
    </xf>
    <xf numFmtId="0" fontId="55" fillId="0" borderId="31" xfId="0" applyFont="1" applyBorder="1" applyAlignment="1">
      <alignment horizontal="right" wrapText="1"/>
    </xf>
    <xf numFmtId="0" fontId="55" fillId="0" borderId="0" xfId="0" applyFont="1" applyBorder="1"/>
    <xf numFmtId="0" fontId="55" fillId="0" borderId="0" xfId="0" applyFont="1" applyBorder="1" applyAlignment="1">
      <alignment horizontal="right" vertical="top" wrapText="1"/>
    </xf>
    <xf numFmtId="0" fontId="55" fillId="0" borderId="0" xfId="0" applyFont="1" applyBorder="1" applyAlignment="1">
      <alignment horizontal="right"/>
    </xf>
    <xf numFmtId="0" fontId="56" fillId="0" borderId="0" xfId="0" applyFont="1" applyBorder="1" applyAlignment="1">
      <alignment horizontal="right" vertical="top" wrapText="1"/>
    </xf>
    <xf numFmtId="0" fontId="55" fillId="0" borderId="59" xfId="0" applyFont="1" applyBorder="1" applyAlignment="1">
      <alignment horizontal="left" indent="1"/>
    </xf>
    <xf numFmtId="165" fontId="58" fillId="0" borderId="61" xfId="0" applyNumberFormat="1" applyFont="1" applyBorder="1" applyAlignment="1">
      <alignment horizontal="right" vertical="top" wrapText="1"/>
    </xf>
    <xf numFmtId="165" fontId="58" fillId="0" borderId="61" xfId="0" applyNumberFormat="1" applyFont="1" applyBorder="1" applyAlignment="1">
      <alignment horizontal="right"/>
    </xf>
    <xf numFmtId="165" fontId="58" fillId="0" borderId="61" xfId="0" applyNumberFormat="1" applyFont="1" applyBorder="1" applyAlignment="1">
      <alignment horizontal="right" wrapText="1"/>
    </xf>
    <xf numFmtId="0" fontId="55" fillId="0" borderId="62" xfId="0" applyFont="1" applyBorder="1" applyAlignment="1">
      <alignment horizontal="left" indent="1"/>
    </xf>
    <xf numFmtId="165" fontId="58" fillId="0" borderId="31" xfId="0" applyNumberFormat="1" applyFont="1" applyBorder="1" applyAlignment="1">
      <alignment horizontal="right" vertical="top" wrapText="1"/>
    </xf>
    <xf numFmtId="165" fontId="58" fillId="0" borderId="31" xfId="0" applyNumberFormat="1" applyFont="1" applyBorder="1" applyAlignment="1">
      <alignment horizontal="right"/>
    </xf>
    <xf numFmtId="165" fontId="59" fillId="0" borderId="31" xfId="0" applyNumberFormat="1" applyFont="1" applyBorder="1"/>
    <xf numFmtId="0" fontId="55" fillId="0" borderId="63" xfId="0" applyFont="1" applyBorder="1"/>
    <xf numFmtId="9" fontId="55" fillId="0" borderId="31" xfId="7" applyFont="1" applyBorder="1" applyAlignment="1">
      <alignment horizontal="right" vertical="top" wrapText="1"/>
    </xf>
    <xf numFmtId="0" fontId="52" fillId="0" borderId="0" xfId="0" applyFont="1"/>
    <xf numFmtId="0" fontId="60" fillId="0" borderId="64" xfId="0" applyFont="1" applyBorder="1" applyAlignment="1">
      <alignment wrapText="1"/>
    </xf>
    <xf numFmtId="0" fontId="60" fillId="0" borderId="31" xfId="0" applyFont="1" applyBorder="1" applyAlignment="1">
      <alignment wrapText="1"/>
    </xf>
    <xf numFmtId="0" fontId="60" fillId="0" borderId="65" xfId="0" applyFont="1" applyBorder="1"/>
    <xf numFmtId="0" fontId="61" fillId="0" borderId="31" xfId="0" applyFont="1" applyBorder="1" applyAlignment="1">
      <alignment horizontal="right"/>
    </xf>
    <xf numFmtId="3" fontId="61" fillId="0" borderId="31" xfId="0" applyNumberFormat="1" applyFont="1" applyBorder="1" applyAlignment="1">
      <alignment horizontal="right"/>
    </xf>
    <xf numFmtId="0" fontId="61" fillId="0" borderId="66" xfId="0" applyFont="1" applyBorder="1" applyAlignment="1">
      <alignment horizontal="right"/>
    </xf>
    <xf numFmtId="0" fontId="60" fillId="0" borderId="67" xfId="0" applyFont="1" applyBorder="1"/>
    <xf numFmtId="0" fontId="61" fillId="0" borderId="68" xfId="0" applyFont="1" applyBorder="1" applyAlignment="1">
      <alignment horizontal="right"/>
    </xf>
    <xf numFmtId="3" fontId="61" fillId="0" borderId="68" xfId="0" applyNumberFormat="1" applyFont="1" applyBorder="1" applyAlignment="1">
      <alignment horizontal="right"/>
    </xf>
    <xf numFmtId="0" fontId="61" fillId="0" borderId="69" xfId="0" applyFont="1" applyBorder="1" applyAlignment="1">
      <alignment horizontal="right"/>
    </xf>
    <xf numFmtId="0" fontId="60" fillId="0" borderId="70" xfId="0" applyFont="1" applyBorder="1"/>
    <xf numFmtId="0" fontId="60" fillId="0" borderId="65" xfId="0" applyFont="1" applyBorder="1"/>
    <xf numFmtId="0" fontId="60" fillId="0" borderId="71" xfId="0" applyFont="1" applyBorder="1" applyAlignment="1">
      <alignment wrapText="1"/>
    </xf>
    <xf numFmtId="0" fontId="60" fillId="0" borderId="60" xfId="0" applyFont="1" applyBorder="1" applyAlignment="1">
      <alignment wrapText="1"/>
    </xf>
    <xf numFmtId="0" fontId="51" fillId="0" borderId="0" xfId="0" applyFont="1"/>
    <xf numFmtId="0" fontId="60" fillId="0" borderId="72" xfId="0" applyFont="1" applyBorder="1"/>
    <xf numFmtId="0" fontId="60" fillId="0" borderId="73" xfId="0" applyFont="1" applyBorder="1" applyAlignment="1">
      <alignment wrapText="1"/>
    </xf>
    <xf numFmtId="0" fontId="60" fillId="0" borderId="74" xfId="0" applyFont="1" applyBorder="1"/>
    <xf numFmtId="3" fontId="61" fillId="0" borderId="66" xfId="0" applyNumberFormat="1" applyFont="1" applyBorder="1" applyAlignment="1">
      <alignment horizontal="right"/>
    </xf>
    <xf numFmtId="3" fontId="61" fillId="0" borderId="69" xfId="0" applyNumberFormat="1" applyFont="1" applyBorder="1" applyAlignment="1">
      <alignment horizontal="right"/>
    </xf>
    <xf numFmtId="0" fontId="19" fillId="4" borderId="27" xfId="0" applyFont="1" applyFill="1" applyBorder="1"/>
    <xf numFmtId="0" fontId="60" fillId="0" borderId="65" xfId="0" applyFont="1" applyBorder="1"/>
    <xf numFmtId="0" fontId="36" fillId="6" borderId="0" xfId="0" applyFont="1" applyFill="1" applyBorder="1" applyAlignment="1">
      <alignment horizontal="center"/>
    </xf>
    <xf numFmtId="0" fontId="0" fillId="4" borderId="0" xfId="0" applyFill="1" applyBorder="1"/>
    <xf numFmtId="1" fontId="0" fillId="0" borderId="31" xfId="0" applyNumberFormat="1" applyBorder="1"/>
    <xf numFmtId="1" fontId="55" fillId="0" borderId="31" xfId="0" applyNumberFormat="1" applyFont="1" applyBorder="1" applyAlignment="1">
      <alignment horizontal="right"/>
    </xf>
    <xf numFmtId="0" fontId="60" fillId="0" borderId="75" xfId="0" applyFont="1" applyBorder="1"/>
    <xf numFmtId="0" fontId="60" fillId="0" borderId="65" xfId="0" applyFont="1" applyFill="1" applyBorder="1"/>
    <xf numFmtId="0" fontId="61" fillId="0" borderId="15" xfId="0" applyFont="1" applyBorder="1" applyAlignment="1">
      <alignment horizontal="right"/>
    </xf>
    <xf numFmtId="0" fontId="61" fillId="0" borderId="31" xfId="0" applyFont="1" applyFill="1" applyBorder="1" applyAlignment="1">
      <alignment horizontal="right"/>
    </xf>
    <xf numFmtId="0" fontId="61" fillId="0" borderId="0" xfId="0" applyFont="1" applyAlignment="1">
      <alignment horizontal="right"/>
    </xf>
    <xf numFmtId="0" fontId="19" fillId="0" borderId="31" xfId="0" applyFont="1" applyBorder="1"/>
    <xf numFmtId="1" fontId="55" fillId="0" borderId="31" xfId="0" applyNumberFormat="1" applyFont="1" applyBorder="1" applyAlignment="1">
      <alignment horizontal="right" wrapText="1"/>
    </xf>
    <xf numFmtId="1" fontId="56" fillId="0" borderId="31" xfId="0" applyNumberFormat="1" applyFont="1" applyBorder="1" applyAlignment="1">
      <alignment horizontal="right" vertical="top" wrapText="1"/>
    </xf>
    <xf numFmtId="0" fontId="19" fillId="0" borderId="1" xfId="0" applyFont="1" applyFill="1" applyBorder="1" applyAlignment="1">
      <alignment horizontal="left" indent="1"/>
    </xf>
    <xf numFmtId="4" fontId="19" fillId="0" borderId="0" xfId="0" applyNumberFormat="1" applyFont="1" applyFill="1" applyBorder="1" applyAlignment="1"/>
    <xf numFmtId="4" fontId="19" fillId="0" borderId="4" xfId="0" applyNumberFormat="1" applyFont="1" applyFill="1" applyBorder="1" applyAlignment="1"/>
    <xf numFmtId="3" fontId="21" fillId="0" borderId="41" xfId="0" applyNumberFormat="1" applyFont="1" applyFill="1" applyBorder="1" applyAlignment="1">
      <alignment horizontal="left" indent="3"/>
    </xf>
    <xf numFmtId="166" fontId="19" fillId="0" borderId="42" xfId="0" applyNumberFormat="1" applyFont="1" applyFill="1" applyBorder="1" applyAlignment="1"/>
    <xf numFmtId="166" fontId="10" fillId="0" borderId="0" xfId="0" applyNumberFormat="1" applyFont="1" applyFill="1" applyBorder="1" applyAlignment="1"/>
    <xf numFmtId="0" fontId="62" fillId="0" borderId="0" xfId="0" applyFont="1"/>
    <xf numFmtId="1" fontId="19" fillId="0" borderId="41" xfId="0" applyNumberFormat="1" applyFont="1" applyFill="1" applyBorder="1" applyAlignment="1"/>
    <xf numFmtId="1" fontId="10" fillId="0" borderId="41" xfId="0" applyNumberFormat="1" applyFont="1" applyFill="1" applyBorder="1" applyAlignment="1"/>
    <xf numFmtId="165" fontId="10" fillId="0" borderId="0" xfId="0" applyNumberFormat="1" applyFont="1" applyFill="1" applyBorder="1" applyAlignment="1"/>
    <xf numFmtId="0" fontId="63" fillId="0" borderId="0" xfId="0" applyFont="1"/>
    <xf numFmtId="0" fontId="64" fillId="0" borderId="0" xfId="0" applyFont="1"/>
    <xf numFmtId="1" fontId="10" fillId="0" borderId="0" xfId="0" applyNumberFormat="1" applyFont="1" applyFill="1" applyBorder="1" applyAlignment="1"/>
    <xf numFmtId="3" fontId="63" fillId="0" borderId="0" xfId="0" applyNumberFormat="1" applyFont="1" applyFill="1" applyBorder="1" applyAlignment="1">
      <alignment horizontal="left" vertical="top"/>
    </xf>
    <xf numFmtId="0" fontId="19" fillId="0" borderId="0" xfId="0" applyFont="1" applyAlignment="1">
      <alignment vertical="center"/>
    </xf>
    <xf numFmtId="9" fontId="0" fillId="0" borderId="0" xfId="0" applyNumberFormat="1" applyAlignment="1">
      <alignment vertical="center"/>
    </xf>
    <xf numFmtId="0" fontId="4" fillId="0" borderId="0" xfId="0" applyFont="1" applyBorder="1" applyAlignment="1"/>
    <xf numFmtId="2" fontId="0" fillId="0" borderId="0" xfId="0" applyNumberFormat="1" applyBorder="1" applyAlignment="1"/>
    <xf numFmtId="1" fontId="0" fillId="0" borderId="0" xfId="0" applyNumberFormat="1" applyBorder="1" applyAlignment="1"/>
    <xf numFmtId="0" fontId="10" fillId="0" borderId="0" xfId="0" applyFont="1" applyBorder="1" applyAlignment="1"/>
    <xf numFmtId="165" fontId="0" fillId="0" borderId="0" xfId="0" applyNumberFormat="1" applyBorder="1" applyAlignment="1"/>
    <xf numFmtId="164" fontId="0" fillId="0" borderId="0" xfId="0" applyNumberFormat="1" applyBorder="1" applyAlignment="1"/>
    <xf numFmtId="0" fontId="17" fillId="0" borderId="0" xfId="0" applyFont="1" applyFill="1" applyBorder="1" applyAlignment="1">
      <alignment horizontal="left" vertical="center"/>
    </xf>
    <xf numFmtId="172" fontId="17" fillId="2" borderId="8" xfId="3" applyNumberFormat="1" applyFont="1" applyFill="1" applyBorder="1"/>
    <xf numFmtId="0" fontId="0" fillId="0" borderId="0" xfId="0" applyAlignment="1">
      <alignment horizontal="left" indent="1"/>
    </xf>
    <xf numFmtId="164" fontId="0" fillId="0" borderId="0" xfId="7" applyNumberFormat="1" applyFont="1"/>
    <xf numFmtId="0" fontId="0" fillId="0" borderId="0" xfId="0" applyAlignment="1">
      <alignment horizontal="right"/>
    </xf>
    <xf numFmtId="0" fontId="17" fillId="0" borderId="1" xfId="0" applyFont="1" applyBorder="1" applyAlignment="1">
      <alignment wrapText="1"/>
    </xf>
    <xf numFmtId="0" fontId="55" fillId="0" borderId="76" xfId="0" applyFont="1" applyBorder="1" applyAlignment="1">
      <alignment horizontal="center"/>
    </xf>
    <xf numFmtId="0" fontId="55" fillId="0" borderId="77" xfId="0" applyFont="1" applyBorder="1" applyAlignment="1">
      <alignment horizontal="center"/>
    </xf>
    <xf numFmtId="0" fontId="55" fillId="0" borderId="53" xfId="0" applyFont="1" applyBorder="1" applyAlignment="1">
      <alignment horizontal="center"/>
    </xf>
    <xf numFmtId="0" fontId="55" fillId="0" borderId="52" xfId="0" applyFont="1" applyBorder="1"/>
    <xf numFmtId="0" fontId="55" fillId="0" borderId="11" xfId="0" applyFont="1" applyBorder="1"/>
    <xf numFmtId="0" fontId="16" fillId="6" borderId="0" xfId="0" applyFont="1" applyFill="1" applyBorder="1" applyAlignment="1">
      <alignment horizontal="center"/>
    </xf>
    <xf numFmtId="0" fontId="19" fillId="6" borderId="0" xfId="0" applyFont="1" applyFill="1" applyBorder="1"/>
    <xf numFmtId="0" fontId="19" fillId="6" borderId="4" xfId="0" applyFont="1" applyFill="1" applyBorder="1"/>
    <xf numFmtId="0" fontId="4" fillId="3" borderId="0" xfId="0" applyFont="1" applyFill="1" applyBorder="1" applyAlignment="1">
      <alignment wrapText="1" shrinkToFit="1"/>
    </xf>
    <xf numFmtId="0" fontId="19" fillId="0" borderId="4" xfId="0" applyFont="1" applyBorder="1" applyProtection="1">
      <protection locked="0"/>
    </xf>
    <xf numFmtId="0" fontId="17" fillId="0" borderId="0" xfId="0" applyFont="1" applyFill="1" applyBorder="1" applyAlignment="1" applyProtection="1">
      <alignment vertical="center"/>
      <protection locked="0"/>
    </xf>
    <xf numFmtId="1" fontId="4" fillId="3" borderId="0" xfId="0" applyNumberFormat="1" applyFont="1" applyFill="1" applyBorder="1" applyAlignment="1">
      <alignment wrapText="1" shrinkToFit="1"/>
    </xf>
    <xf numFmtId="3" fontId="17" fillId="2" borderId="7" xfId="0" applyNumberFormat="1" applyFont="1" applyFill="1" applyBorder="1"/>
    <xf numFmtId="1" fontId="19" fillId="0" borderId="4" xfId="0" applyNumberFormat="1" applyFont="1" applyBorder="1"/>
    <xf numFmtId="2" fontId="19" fillId="0" borderId="4" xfId="0" applyNumberFormat="1" applyFont="1" applyBorder="1"/>
    <xf numFmtId="1" fontId="19" fillId="0" borderId="0" xfId="0" applyNumberFormat="1" applyFont="1"/>
    <xf numFmtId="0" fontId="0" fillId="0" borderId="0" xfId="0" applyAlignment="1">
      <alignment horizontal="left" indent="2"/>
    </xf>
    <xf numFmtId="0" fontId="0" fillId="0" borderId="0" xfId="0" applyAlignment="1">
      <alignment horizontal="left" indent="3"/>
    </xf>
    <xf numFmtId="0" fontId="19" fillId="0" borderId="0" xfId="0" applyFont="1" applyAlignment="1">
      <alignment horizontal="left" indent="2"/>
    </xf>
    <xf numFmtId="3" fontId="25" fillId="0" borderId="6" xfId="0" applyNumberFormat="1" applyFont="1" applyFill="1" applyBorder="1" applyAlignment="1"/>
    <xf numFmtId="1" fontId="19" fillId="0" borderId="0" xfId="0" applyNumberFormat="1" applyFont="1" applyFill="1" applyBorder="1" applyAlignment="1">
      <alignment vertical="center" wrapText="1"/>
    </xf>
    <xf numFmtId="3" fontId="17" fillId="0" borderId="0" xfId="0" applyNumberFormat="1" applyFont="1" applyFill="1" applyBorder="1" applyAlignment="1" applyProtection="1">
      <alignment vertical="center"/>
      <protection locked="0"/>
    </xf>
    <xf numFmtId="165" fontId="55" fillId="0" borderId="31" xfId="0" applyNumberFormat="1" applyFont="1" applyBorder="1" applyAlignment="1">
      <alignment horizontal="right" vertical="top" wrapText="1"/>
    </xf>
    <xf numFmtId="1" fontId="55" fillId="0" borderId="31" xfId="0" applyNumberFormat="1" applyFont="1" applyBorder="1" applyAlignment="1">
      <alignment horizontal="right" vertical="top" wrapText="1"/>
    </xf>
    <xf numFmtId="3" fontId="25" fillId="0" borderId="34" xfId="0" applyNumberFormat="1" applyFont="1" applyFill="1" applyBorder="1" applyAlignment="1"/>
    <xf numFmtId="171" fontId="0" fillId="0" borderId="0" xfId="0" applyNumberFormat="1"/>
    <xf numFmtId="165" fontId="0" fillId="0" borderId="31" xfId="0" applyNumberFormat="1" applyBorder="1"/>
    <xf numFmtId="165" fontId="55" fillId="0" borderId="31" xfId="0" applyNumberFormat="1" applyFont="1" applyBorder="1" applyAlignment="1">
      <alignment horizontal="right"/>
    </xf>
    <xf numFmtId="165" fontId="55" fillId="0" borderId="31" xfId="0" applyNumberFormat="1" applyFont="1" applyBorder="1" applyAlignment="1">
      <alignment horizontal="right" wrapText="1"/>
    </xf>
    <xf numFmtId="1" fontId="55" fillId="0" borderId="31" xfId="0" applyNumberFormat="1" applyFont="1" applyBorder="1"/>
    <xf numFmtId="1" fontId="0" fillId="0" borderId="0" xfId="0" applyNumberFormat="1"/>
    <xf numFmtId="9" fontId="0" fillId="0" borderId="0" xfId="7" applyNumberFormat="1" applyFont="1"/>
    <xf numFmtId="3" fontId="0" fillId="0" borderId="0" xfId="0" applyNumberFormat="1"/>
    <xf numFmtId="173" fontId="0" fillId="0" borderId="0" xfId="3" applyNumberFormat="1" applyFont="1" applyAlignment="1">
      <alignment horizontal="right"/>
    </xf>
    <xf numFmtId="9" fontId="0" fillId="0" borderId="0" xfId="7" applyFont="1"/>
    <xf numFmtId="9" fontId="61" fillId="0" borderId="31" xfId="7" applyFont="1" applyBorder="1" applyAlignment="1">
      <alignment horizontal="right"/>
    </xf>
    <xf numFmtId="0" fontId="61" fillId="0" borderId="0" xfId="0" applyFont="1" applyFill="1" applyBorder="1" applyAlignment="1">
      <alignment horizontal="right"/>
    </xf>
    <xf numFmtId="9" fontId="0" fillId="0" borderId="1" xfId="0" applyNumberFormat="1" applyBorder="1"/>
    <xf numFmtId="9" fontId="0" fillId="0" borderId="4" xfId="0" applyNumberFormat="1" applyBorder="1"/>
    <xf numFmtId="9" fontId="0" fillId="0" borderId="1" xfId="7" applyFont="1" applyBorder="1"/>
    <xf numFmtId="9" fontId="0" fillId="0" borderId="0" xfId="7" applyFont="1" applyBorder="1"/>
    <xf numFmtId="0" fontId="17" fillId="9" borderId="8" xfId="0" applyFont="1" applyFill="1" applyBorder="1"/>
    <xf numFmtId="2" fontId="0" fillId="9" borderId="7" xfId="0" applyNumberFormat="1" applyFill="1" applyBorder="1"/>
    <xf numFmtId="3" fontId="17" fillId="9" borderId="8" xfId="0" applyNumberFormat="1" applyFont="1" applyFill="1" applyBorder="1"/>
    <xf numFmtId="165" fontId="27" fillId="0" borderId="0" xfId="0" applyNumberFormat="1" applyFont="1" applyBorder="1"/>
    <xf numFmtId="165" fontId="0" fillId="0" borderId="15" xfId="0" applyNumberFormat="1" applyBorder="1"/>
    <xf numFmtId="9" fontId="17" fillId="0" borderId="0" xfId="7" applyFont="1" applyBorder="1"/>
    <xf numFmtId="9" fontId="30" fillId="0" borderId="0" xfId="7" applyFont="1" applyBorder="1"/>
    <xf numFmtId="9" fontId="22" fillId="0" borderId="0" xfId="7" applyFont="1" applyBorder="1"/>
    <xf numFmtId="9" fontId="22" fillId="0" borderId="15" xfId="7" applyFont="1" applyBorder="1"/>
    <xf numFmtId="0" fontId="62" fillId="0" borderId="1" xfId="0" applyFont="1" applyBorder="1"/>
    <xf numFmtId="0" fontId="62" fillId="3" borderId="11" xfId="0" applyFont="1" applyFill="1" applyBorder="1" applyAlignment="1">
      <alignment wrapText="1" shrinkToFit="1"/>
    </xf>
    <xf numFmtId="3" fontId="17" fillId="0" borderId="0" xfId="0" applyNumberFormat="1" applyFont="1" applyBorder="1"/>
    <xf numFmtId="172" fontId="17" fillId="0" borderId="0" xfId="3" applyNumberFormat="1" applyFont="1" applyBorder="1" applyAlignment="1">
      <alignment horizontal="center"/>
    </xf>
    <xf numFmtId="172" fontId="0" fillId="0" borderId="1" xfId="0" applyNumberFormat="1" applyBorder="1"/>
    <xf numFmtId="0" fontId="19" fillId="6" borderId="25" xfId="0" applyFont="1" applyFill="1" applyBorder="1"/>
    <xf numFmtId="0" fontId="19" fillId="6" borderId="78" xfId="0" applyFont="1" applyFill="1" applyBorder="1"/>
    <xf numFmtId="0" fontId="16" fillId="0" borderId="25" xfId="0" applyFont="1" applyFill="1" applyBorder="1" applyAlignment="1">
      <alignment horizontal="center"/>
    </xf>
    <xf numFmtId="0" fontId="19" fillId="0" borderId="25" xfId="0" applyFont="1" applyFill="1" applyBorder="1"/>
    <xf numFmtId="0" fontId="19" fillId="0" borderId="78" xfId="0" applyFont="1" applyFill="1" applyBorder="1"/>
    <xf numFmtId="0" fontId="50" fillId="2" borderId="40" xfId="0" applyFont="1" applyFill="1" applyBorder="1" applyAlignment="1">
      <alignment horizontal="left"/>
    </xf>
    <xf numFmtId="3" fontId="21" fillId="0" borderId="47" xfId="0" applyNumberFormat="1" applyFont="1" applyFill="1" applyBorder="1" applyAlignment="1">
      <alignment horizontal="left" indent="3"/>
    </xf>
    <xf numFmtId="166" fontId="10" fillId="0" borderId="4" xfId="0" applyNumberFormat="1" applyFont="1" applyFill="1" applyBorder="1" applyAlignment="1"/>
    <xf numFmtId="0" fontId="17" fillId="0" borderId="13" xfId="0" applyFont="1" applyBorder="1"/>
    <xf numFmtId="0" fontId="17" fillId="0" borderId="5" xfId="0" applyFont="1" applyBorder="1"/>
    <xf numFmtId="3" fontId="17" fillId="0" borderId="5" xfId="0" applyNumberFormat="1" applyFont="1" applyBorder="1"/>
    <xf numFmtId="172" fontId="17" fillId="0" borderId="5" xfId="3" applyNumberFormat="1" applyFont="1" applyBorder="1" applyAlignment="1">
      <alignment horizontal="center"/>
    </xf>
    <xf numFmtId="172" fontId="17" fillId="0" borderId="9" xfId="3" applyNumberFormat="1" applyFont="1" applyBorder="1" applyAlignment="1">
      <alignment horizontal="center"/>
    </xf>
    <xf numFmtId="0" fontId="17" fillId="4" borderId="79" xfId="0" applyFont="1" applyFill="1" applyBorder="1" applyAlignment="1">
      <alignment horizontal="centerContinuous"/>
    </xf>
    <xf numFmtId="0" fontId="17" fillId="4" borderId="80" xfId="0" applyFont="1" applyFill="1" applyBorder="1" applyAlignment="1">
      <alignment horizontal="centerContinuous"/>
    </xf>
    <xf numFmtId="3" fontId="19" fillId="0" borderId="5" xfId="0" applyNumberFormat="1" applyFont="1" applyBorder="1"/>
    <xf numFmtId="172" fontId="17" fillId="0" borderId="4" xfId="3" applyNumberFormat="1" applyFont="1" applyBorder="1" applyAlignment="1">
      <alignment horizontal="center"/>
    </xf>
    <xf numFmtId="0" fontId="17" fillId="4" borderId="79" xfId="0" applyFont="1" applyFill="1" applyBorder="1" applyAlignment="1">
      <alignment horizontal="center"/>
    </xf>
    <xf numFmtId="0" fontId="17" fillId="4" borderId="80" xfId="0" applyFont="1" applyFill="1" applyBorder="1" applyAlignment="1">
      <alignment horizontal="center"/>
    </xf>
    <xf numFmtId="3" fontId="17" fillId="0" borderId="0" xfId="0" applyNumberFormat="1" applyFont="1" applyBorder="1" applyAlignment="1">
      <alignment horizontal="right"/>
    </xf>
    <xf numFmtId="172" fontId="17" fillId="0" borderId="0" xfId="3" applyNumberFormat="1" applyFont="1" applyBorder="1" applyAlignment="1">
      <alignment horizontal="right"/>
    </xf>
    <xf numFmtId="172" fontId="17" fillId="0" borderId="4" xfId="3" applyNumberFormat="1" applyFont="1" applyBorder="1" applyAlignment="1">
      <alignment horizontal="right"/>
    </xf>
    <xf numFmtId="1" fontId="65" fillId="0" borderId="0" xfId="0" applyNumberFormat="1" applyFont="1" applyBorder="1"/>
    <xf numFmtId="1" fontId="0" fillId="0" borderId="15" xfId="0" applyNumberFormat="1" applyBorder="1"/>
    <xf numFmtId="164" fontId="56" fillId="0" borderId="31" xfId="7" applyNumberFormat="1" applyFont="1" applyBorder="1" applyAlignment="1">
      <alignment horizontal="right" vertical="top" wrapText="1"/>
    </xf>
    <xf numFmtId="0" fontId="55" fillId="0" borderId="58" xfId="0" applyFont="1" applyBorder="1" applyAlignment="1">
      <alignment wrapText="1"/>
    </xf>
    <xf numFmtId="0" fontId="55" fillId="0" borderId="31" xfId="0" applyFont="1" applyBorder="1" applyAlignment="1">
      <alignment wrapText="1"/>
    </xf>
    <xf numFmtId="0" fontId="18" fillId="0" borderId="0" xfId="0" applyFont="1" applyAlignment="1">
      <alignment horizontal="left"/>
    </xf>
    <xf numFmtId="0" fontId="4" fillId="0" borderId="0" xfId="0" applyFont="1" applyAlignment="1">
      <alignment horizontal="left" wrapText="1"/>
    </xf>
    <xf numFmtId="164" fontId="61" fillId="0" borderId="66" xfId="7" applyNumberFormat="1" applyFont="1" applyBorder="1" applyAlignment="1">
      <alignment horizontal="right"/>
    </xf>
    <xf numFmtId="164" fontId="61" fillId="0" borderId="69" xfId="7" applyNumberFormat="1" applyFont="1" applyBorder="1" applyAlignment="1">
      <alignment horizontal="right"/>
    </xf>
    <xf numFmtId="0" fontId="60" fillId="0" borderId="74" xfId="0" applyFont="1" applyBorder="1" applyAlignment="1">
      <alignment wrapText="1"/>
    </xf>
    <xf numFmtId="3" fontId="19" fillId="0" borderId="81" xfId="0" applyNumberFormat="1" applyFont="1" applyFill="1" applyBorder="1" applyAlignment="1"/>
    <xf numFmtId="0" fontId="60" fillId="0" borderId="75" xfId="0" applyFont="1" applyFill="1" applyBorder="1"/>
    <xf numFmtId="0" fontId="60" fillId="0" borderId="0" xfId="0" applyFont="1" applyFill="1" applyBorder="1"/>
    <xf numFmtId="0" fontId="19" fillId="0" borderId="0" xfId="0" applyFont="1" applyAlignment="1">
      <alignment horizontal="left" indent="1"/>
    </xf>
    <xf numFmtId="2" fontId="61" fillId="0" borderId="69" xfId="0" applyNumberFormat="1" applyFont="1" applyBorder="1" applyAlignment="1">
      <alignment horizontal="right"/>
    </xf>
    <xf numFmtId="165" fontId="45" fillId="0" borderId="0" xfId="0" applyNumberFormat="1" applyFont="1"/>
    <xf numFmtId="1" fontId="66" fillId="0" borderId="0" xfId="0" applyNumberFormat="1" applyFont="1" applyBorder="1"/>
    <xf numFmtId="0" fontId="17" fillId="0" borderId="0" xfId="0" applyFont="1" applyAlignment="1">
      <alignment vertical="center"/>
    </xf>
    <xf numFmtId="0" fontId="17" fillId="0" borderId="50" xfId="0" applyFont="1" applyBorder="1" applyAlignment="1">
      <alignment vertical="center"/>
    </xf>
    <xf numFmtId="0" fontId="17" fillId="0" borderId="52" xfId="0" applyFont="1" applyBorder="1" applyAlignment="1">
      <alignment vertical="center"/>
    </xf>
    <xf numFmtId="0" fontId="17" fillId="0" borderId="54" xfId="0" applyFont="1" applyBorder="1" applyAlignment="1">
      <alignment vertical="center"/>
    </xf>
    <xf numFmtId="3" fontId="19" fillId="0" borderId="0" xfId="0" applyNumberFormat="1" applyFont="1"/>
    <xf numFmtId="172" fontId="0" fillId="0" borderId="0" xfId="0" applyNumberFormat="1"/>
    <xf numFmtId="0" fontId="53" fillId="0" borderId="77" xfId="0" applyFont="1" applyBorder="1" applyAlignment="1">
      <alignment vertical="top"/>
    </xf>
    <xf numFmtId="9" fontId="54" fillId="0" borderId="53" xfId="0" applyNumberFormat="1" applyFont="1" applyBorder="1" applyAlignment="1">
      <alignment vertical="top"/>
    </xf>
    <xf numFmtId="9" fontId="54" fillId="0" borderId="82" xfId="0" applyNumberFormat="1" applyFont="1" applyBorder="1" applyAlignment="1">
      <alignment vertical="top"/>
    </xf>
    <xf numFmtId="10" fontId="44" fillId="5" borderId="11" xfId="7" applyNumberFormat="1" applyFont="1" applyFill="1" applyBorder="1" applyAlignment="1">
      <alignment horizontal="center" vertical="center" wrapText="1"/>
    </xf>
    <xf numFmtId="1" fontId="17" fillId="0" borderId="0" xfId="0" applyNumberFormat="1" applyFont="1" applyBorder="1"/>
    <xf numFmtId="1" fontId="17" fillId="0" borderId="4" xfId="0" applyNumberFormat="1" applyFont="1" applyBorder="1"/>
    <xf numFmtId="9" fontId="54" fillId="0" borderId="83" xfId="0" applyNumberFormat="1" applyFont="1" applyFill="1" applyBorder="1" applyAlignment="1">
      <alignment vertical="top"/>
    </xf>
    <xf numFmtId="0" fontId="19" fillId="7" borderId="23" xfId="0" applyFont="1" applyFill="1" applyBorder="1" applyAlignment="1">
      <alignment vertical="center" wrapText="1"/>
    </xf>
    <xf numFmtId="0" fontId="41" fillId="0" borderId="0" xfId="2" applyFont="1" applyBorder="1" applyAlignment="1" applyProtection="1">
      <alignment vertical="center"/>
    </xf>
    <xf numFmtId="164" fontId="0" fillId="0" borderId="0" xfId="0" applyNumberFormat="1" applyBorder="1"/>
    <xf numFmtId="10" fontId="0" fillId="0" borderId="0" xfId="0" applyNumberFormat="1" applyBorder="1"/>
    <xf numFmtId="10" fontId="0" fillId="0" borderId="15" xfId="0" applyNumberFormat="1" applyBorder="1"/>
    <xf numFmtId="174" fontId="0" fillId="0" borderId="2" xfId="0" applyNumberFormat="1" applyBorder="1"/>
    <xf numFmtId="174" fontId="0" fillId="0" borderId="31" xfId="0" applyNumberFormat="1" applyBorder="1"/>
    <xf numFmtId="10" fontId="0" fillId="0" borderId="5" xfId="0" applyNumberFormat="1" applyBorder="1"/>
    <xf numFmtId="10" fontId="0" fillId="0" borderId="29" xfId="0" applyNumberFormat="1" applyBorder="1"/>
    <xf numFmtId="164" fontId="0" fillId="0" borderId="25" xfId="0" applyNumberFormat="1" applyBorder="1"/>
    <xf numFmtId="10" fontId="0" fillId="0" borderId="25" xfId="0" applyNumberFormat="1" applyBorder="1"/>
    <xf numFmtId="10" fontId="0" fillId="0" borderId="84" xfId="0" applyNumberFormat="1" applyBorder="1"/>
    <xf numFmtId="0" fontId="0" fillId="0" borderId="84" xfId="0" applyBorder="1"/>
    <xf numFmtId="164" fontId="0" fillId="0" borderId="84" xfId="7" applyNumberFormat="1" applyFont="1" applyBorder="1"/>
    <xf numFmtId="0" fontId="0" fillId="0" borderId="85" xfId="0" applyBorder="1"/>
    <xf numFmtId="0" fontId="0" fillId="0" borderId="23" xfId="0" applyBorder="1"/>
    <xf numFmtId="0" fontId="19" fillId="0" borderId="22" xfId="0" applyFont="1" applyBorder="1"/>
    <xf numFmtId="0" fontId="48" fillId="0" borderId="24" xfId="0" applyFont="1" applyBorder="1" applyAlignment="1">
      <alignment horizontal="left" indent="1"/>
    </xf>
    <xf numFmtId="0" fontId="19" fillId="0" borderId="23" xfId="0" applyFont="1" applyBorder="1"/>
    <xf numFmtId="0" fontId="48" fillId="0" borderId="23" xfId="0" applyFont="1" applyBorder="1" applyAlignment="1">
      <alignment horizontal="left" indent="1"/>
    </xf>
    <xf numFmtId="0" fontId="48" fillId="0" borderId="86" xfId="0" applyFont="1" applyBorder="1" applyAlignment="1">
      <alignment horizontal="left" indent="1"/>
    </xf>
    <xf numFmtId="9" fontId="17" fillId="0" borderId="8" xfId="0" applyNumberFormat="1" applyFont="1" applyBorder="1" applyAlignment="1">
      <alignment horizontal="center"/>
    </xf>
    <xf numFmtId="9" fontId="17" fillId="0" borderId="7" xfId="0" applyNumberFormat="1" applyFont="1" applyBorder="1" applyAlignment="1">
      <alignment horizontal="center"/>
    </xf>
    <xf numFmtId="0" fontId="17" fillId="0" borderId="7" xfId="0" applyFont="1" applyBorder="1" applyAlignment="1">
      <alignment horizontal="center"/>
    </xf>
    <xf numFmtId="9" fontId="17" fillId="0" borderId="28" xfId="0" applyNumberFormat="1" applyFont="1" applyBorder="1" applyAlignment="1">
      <alignment horizontal="center"/>
    </xf>
    <xf numFmtId="164" fontId="0" fillId="0" borderId="25" xfId="0" applyNumberFormat="1" applyBorder="1" applyAlignment="1">
      <alignment horizontal="center"/>
    </xf>
    <xf numFmtId="9" fontId="0" fillId="0" borderId="5" xfId="0" applyNumberFormat="1" applyBorder="1" applyAlignment="1">
      <alignment horizontal="center"/>
    </xf>
    <xf numFmtId="164" fontId="0" fillId="0" borderId="0" xfId="0" applyNumberForma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0" borderId="15" xfId="0" applyBorder="1" applyAlignment="1">
      <alignment vertical="center"/>
    </xf>
    <xf numFmtId="10" fontId="45" fillId="0" borderId="0" xfId="7" applyNumberFormat="1" applyFont="1"/>
    <xf numFmtId="10" fontId="45" fillId="0" borderId="0" xfId="0" applyNumberFormat="1" applyFont="1"/>
    <xf numFmtId="1" fontId="45" fillId="0" borderId="0" xfId="0" applyNumberFormat="1" applyFont="1"/>
    <xf numFmtId="1" fontId="45" fillId="0" borderId="11" xfId="0" applyNumberFormat="1" applyFont="1" applyBorder="1"/>
    <xf numFmtId="1" fontId="23" fillId="0" borderId="11" xfId="0" applyNumberFormat="1" applyFont="1" applyBorder="1"/>
    <xf numFmtId="0" fontId="23" fillId="0" borderId="1" xfId="0" applyFont="1" applyFill="1" applyBorder="1" applyAlignment="1" applyProtection="1">
      <alignment horizontal="left"/>
      <protection locked="0"/>
    </xf>
    <xf numFmtId="0" fontId="4" fillId="0" borderId="1" xfId="0" applyFont="1" applyFill="1" applyBorder="1" applyAlignment="1" applyProtection="1">
      <protection locked="0"/>
    </xf>
    <xf numFmtId="0" fontId="45" fillId="0" borderId="0" xfId="0" applyFont="1" applyFill="1" applyBorder="1" applyAlignment="1" applyProtection="1">
      <protection locked="0"/>
    </xf>
    <xf numFmtId="9" fontId="45" fillId="0" borderId="4" xfId="0" applyNumberFormat="1" applyFont="1" applyFill="1" applyBorder="1" applyAlignment="1" applyProtection="1">
      <protection locked="0"/>
    </xf>
    <xf numFmtId="1" fontId="45" fillId="0" borderId="11" xfId="0" applyNumberFormat="1" applyFont="1" applyBorder="1" applyProtection="1">
      <protection locked="0"/>
    </xf>
    <xf numFmtId="165" fontId="45" fillId="0" borderId="11" xfId="0" applyNumberFormat="1" applyFont="1" applyBorder="1" applyProtection="1">
      <protection locked="0"/>
    </xf>
    <xf numFmtId="0" fontId="45" fillId="0" borderId="4" xfId="0" applyFont="1" applyFill="1" applyBorder="1" applyProtection="1">
      <protection locked="0"/>
    </xf>
    <xf numFmtId="0" fontId="45" fillId="0" borderId="0" xfId="0" applyFont="1" applyProtection="1">
      <protection locked="0"/>
    </xf>
    <xf numFmtId="3" fontId="4" fillId="0" borderId="47" xfId="0" applyNumberFormat="1" applyFont="1" applyFill="1" applyBorder="1" applyAlignment="1" applyProtection="1">
      <protection locked="0"/>
    </xf>
    <xf numFmtId="0" fontId="4" fillId="0" borderId="0" xfId="0" applyFont="1" applyBorder="1" applyProtection="1">
      <protection locked="0"/>
    </xf>
    <xf numFmtId="0" fontId="45" fillId="0" borderId="4" xfId="0" applyFont="1" applyBorder="1" applyProtection="1">
      <protection locked="0"/>
    </xf>
    <xf numFmtId="167" fontId="45" fillId="0" borderId="11" xfId="0" applyNumberFormat="1" applyFont="1" applyBorder="1" applyProtection="1">
      <protection locked="0"/>
    </xf>
    <xf numFmtId="3" fontId="45" fillId="0" borderId="41" xfId="0" applyNumberFormat="1" applyFont="1" applyFill="1" applyBorder="1" applyAlignment="1" applyProtection="1">
      <protection locked="0"/>
    </xf>
    <xf numFmtId="9" fontId="45" fillId="0" borderId="42" xfId="7" applyFont="1" applyFill="1" applyBorder="1" applyAlignment="1" applyProtection="1">
      <protection locked="0"/>
    </xf>
    <xf numFmtId="2" fontId="45" fillId="0" borderId="11" xfId="0" applyNumberFormat="1" applyFont="1" applyBorder="1" applyProtection="1">
      <protection locked="0"/>
    </xf>
    <xf numFmtId="0" fontId="17" fillId="0" borderId="1" xfId="0" applyFont="1" applyFill="1" applyBorder="1" applyAlignment="1" applyProtection="1">
      <alignment horizontal="left"/>
      <protection locked="0"/>
    </xf>
    <xf numFmtId="0" fontId="45" fillId="0" borderId="11" xfId="0" applyFont="1" applyBorder="1" applyProtection="1">
      <protection locked="0"/>
    </xf>
    <xf numFmtId="9" fontId="0" fillId="0" borderId="112" xfId="0" applyNumberFormat="1" applyBorder="1" applyAlignment="1">
      <alignment vertical="center"/>
    </xf>
    <xf numFmtId="0" fontId="19" fillId="0" borderId="1" xfId="0" applyFont="1" applyBorder="1" applyAlignment="1">
      <alignment vertical="center"/>
    </xf>
    <xf numFmtId="172" fontId="0" fillId="0" borderId="0" xfId="3" applyNumberFormat="1" applyFont="1" applyBorder="1"/>
    <xf numFmtId="172" fontId="0" fillId="0" borderId="0" xfId="0" applyNumberFormat="1" applyBorder="1"/>
    <xf numFmtId="0" fontId="69" fillId="10" borderId="58" xfId="9" applyFont="1" applyFill="1" applyBorder="1" applyAlignment="1">
      <alignment horizontal="center" vertical="center" wrapText="1"/>
    </xf>
    <xf numFmtId="0" fontId="3" fillId="0" borderId="0" xfId="9"/>
    <xf numFmtId="0" fontId="69" fillId="10" borderId="59" xfId="9" applyFont="1" applyFill="1" applyBorder="1" applyAlignment="1">
      <alignment vertical="center" wrapText="1"/>
    </xf>
    <xf numFmtId="0" fontId="69" fillId="10" borderId="58" xfId="9" applyFont="1" applyFill="1" applyBorder="1" applyAlignment="1">
      <alignment vertical="center" wrapText="1"/>
    </xf>
    <xf numFmtId="0" fontId="69" fillId="10" borderId="31" xfId="9" applyFont="1" applyFill="1" applyBorder="1" applyAlignment="1">
      <alignment horizontal="center" vertical="center" wrapText="1"/>
    </xf>
    <xf numFmtId="0" fontId="69" fillId="10" borderId="15" xfId="9" applyFont="1" applyFill="1" applyBorder="1" applyAlignment="1">
      <alignment horizontal="center" vertical="center" wrapText="1"/>
    </xf>
    <xf numFmtId="0" fontId="69" fillId="10" borderId="60" xfId="9" applyFont="1" applyFill="1" applyBorder="1" applyAlignment="1">
      <alignment vertical="center" wrapText="1"/>
    </xf>
    <xf numFmtId="0" fontId="69" fillId="10" borderId="102" xfId="9" applyFont="1" applyFill="1" applyBorder="1" applyAlignment="1">
      <alignment vertical="center" wrapText="1"/>
    </xf>
    <xf numFmtId="0" fontId="69" fillId="10" borderId="15" xfId="9" applyFont="1" applyFill="1" applyBorder="1" applyAlignment="1">
      <alignment vertical="center" wrapText="1"/>
    </xf>
    <xf numFmtId="0" fontId="3" fillId="0" borderId="0" xfId="9" applyFont="1"/>
    <xf numFmtId="0" fontId="53" fillId="0" borderId="102" xfId="9" applyFont="1" applyBorder="1" applyAlignment="1">
      <alignment vertical="center"/>
    </xf>
    <xf numFmtId="0" fontId="54" fillId="0" borderId="31" xfId="9" applyFont="1" applyBorder="1" applyAlignment="1">
      <alignment horizontal="center" vertical="center"/>
    </xf>
    <xf numFmtId="0" fontId="54" fillId="0" borderId="31" xfId="9" applyFont="1" applyBorder="1" applyAlignment="1">
      <alignment vertical="center"/>
    </xf>
    <xf numFmtId="0" fontId="54" fillId="0" borderId="31" xfId="9" applyFont="1" applyBorder="1" applyAlignment="1">
      <alignment horizontal="center" vertical="center" wrapText="1"/>
    </xf>
    <xf numFmtId="14" fontId="54" fillId="0" borderId="31" xfId="9" applyNumberFormat="1" applyFont="1" applyBorder="1" applyAlignment="1">
      <alignment horizontal="center" vertical="center" wrapText="1"/>
    </xf>
    <xf numFmtId="9" fontId="54" fillId="0" borderId="31" xfId="9" applyNumberFormat="1" applyFont="1" applyBorder="1" applyAlignment="1">
      <alignment horizontal="center" vertical="center" wrapText="1"/>
    </xf>
    <xf numFmtId="175" fontId="54" fillId="0" borderId="31" xfId="10" applyNumberFormat="1" applyFont="1" applyBorder="1" applyAlignment="1">
      <alignment horizontal="right" vertical="center" wrapText="1"/>
    </xf>
    <xf numFmtId="177" fontId="54" fillId="0" borderId="31" xfId="11" applyNumberFormat="1" applyFont="1" applyBorder="1" applyAlignment="1">
      <alignment horizontal="right" vertical="center" wrapText="1"/>
    </xf>
    <xf numFmtId="0" fontId="53" fillId="0" borderId="31" xfId="9" applyFont="1" applyBorder="1" applyAlignment="1">
      <alignment horizontal="center" vertical="center" wrapText="1"/>
    </xf>
    <xf numFmtId="0" fontId="53" fillId="0" borderId="59" xfId="9" applyFont="1" applyBorder="1" applyAlignment="1">
      <alignment vertical="center"/>
    </xf>
    <xf numFmtId="0" fontId="54" fillId="0" borderId="31" xfId="9" applyFont="1" applyBorder="1" applyAlignment="1">
      <alignment horizontal="right" vertical="center" wrapText="1"/>
    </xf>
    <xf numFmtId="0" fontId="70" fillId="0" borderId="31" xfId="9" applyFont="1" applyBorder="1" applyAlignment="1">
      <alignment vertical="center" wrapText="1"/>
    </xf>
    <xf numFmtId="0" fontId="70" fillId="0" borderId="31" xfId="9" applyFont="1" applyBorder="1" applyAlignment="1">
      <alignment horizontal="center" vertical="center" wrapText="1"/>
    </xf>
    <xf numFmtId="9" fontId="70" fillId="0" borderId="31" xfId="9" applyNumberFormat="1" applyFont="1" applyBorder="1" applyAlignment="1">
      <alignment horizontal="center" vertical="center" wrapText="1"/>
    </xf>
    <xf numFmtId="175" fontId="70" fillId="0" borderId="31" xfId="10" applyNumberFormat="1" applyFont="1" applyBorder="1" applyAlignment="1">
      <alignment horizontal="right" vertical="center" wrapText="1"/>
    </xf>
    <xf numFmtId="0" fontId="3" fillId="0" borderId="0" xfId="9" applyFont="1" applyFill="1" applyBorder="1"/>
    <xf numFmtId="0" fontId="54" fillId="0" borderId="31" xfId="9" applyFont="1" applyBorder="1" applyAlignment="1">
      <alignment vertical="center" wrapText="1"/>
    </xf>
    <xf numFmtId="0" fontId="54" fillId="0" borderId="59" xfId="9" applyFont="1" applyBorder="1" applyAlignment="1">
      <alignment vertical="center" wrapText="1"/>
    </xf>
    <xf numFmtId="0" fontId="54" fillId="0" borderId="15" xfId="9" applyFont="1" applyBorder="1" applyAlignment="1">
      <alignment vertical="center" wrapText="1"/>
    </xf>
    <xf numFmtId="9" fontId="54" fillId="0" borderId="59" xfId="9" applyNumberFormat="1" applyFont="1" applyBorder="1" applyAlignment="1">
      <alignment vertical="center" wrapText="1"/>
    </xf>
    <xf numFmtId="175" fontId="54" fillId="0" borderId="59" xfId="10" applyNumberFormat="1" applyFont="1" applyBorder="1" applyAlignment="1">
      <alignment vertical="center" wrapText="1"/>
    </xf>
    <xf numFmtId="14" fontId="71" fillId="0" borderId="59" xfId="9" applyNumberFormat="1" applyFont="1" applyBorder="1" applyAlignment="1">
      <alignment vertical="center" wrapText="1"/>
    </xf>
    <xf numFmtId="0" fontId="70" fillId="0" borderId="31" xfId="9" applyFont="1" applyBorder="1" applyAlignment="1">
      <alignment horizontal="center" vertical="center"/>
    </xf>
    <xf numFmtId="0" fontId="70" fillId="0" borderId="31" xfId="9" applyFont="1" applyBorder="1" applyAlignment="1">
      <alignment vertical="center"/>
    </xf>
    <xf numFmtId="14" fontId="70" fillId="0" borderId="31" xfId="9" applyNumberFormat="1" applyFont="1" applyBorder="1" applyAlignment="1">
      <alignment horizontal="center" vertical="center" wrapText="1"/>
    </xf>
    <xf numFmtId="0" fontId="70" fillId="0" borderId="31" xfId="9" applyFont="1" applyBorder="1" applyAlignment="1">
      <alignment horizontal="right" vertical="center" wrapText="1"/>
    </xf>
    <xf numFmtId="0" fontId="54" fillId="0" borderId="60" xfId="9" applyFont="1" applyBorder="1" applyAlignment="1">
      <alignment vertical="center" wrapText="1"/>
    </xf>
    <xf numFmtId="9" fontId="54" fillId="0" borderId="60" xfId="9" applyNumberFormat="1" applyFont="1" applyBorder="1" applyAlignment="1">
      <alignment vertical="center" wrapText="1"/>
    </xf>
    <xf numFmtId="175" fontId="54" fillId="0" borderId="60" xfId="10" applyNumberFormat="1" applyFont="1" applyBorder="1" applyAlignment="1">
      <alignment vertical="center" wrapText="1"/>
    </xf>
    <xf numFmtId="14" fontId="71" fillId="0" borderId="60" xfId="9" applyNumberFormat="1" applyFont="1" applyBorder="1" applyAlignment="1">
      <alignment vertical="center" wrapText="1"/>
    </xf>
    <xf numFmtId="0" fontId="70" fillId="0" borderId="59" xfId="9" applyFont="1" applyBorder="1" applyAlignment="1">
      <alignment vertical="center" wrapText="1"/>
    </xf>
    <xf numFmtId="0" fontId="70" fillId="0" borderId="15" xfId="9" applyFont="1" applyBorder="1" applyAlignment="1">
      <alignment vertical="center" wrapText="1"/>
    </xf>
    <xf numFmtId="9" fontId="70" fillId="0" borderId="59" xfId="9" applyNumberFormat="1" applyFont="1" applyBorder="1" applyAlignment="1">
      <alignment vertical="center" wrapText="1"/>
    </xf>
    <xf numFmtId="175" fontId="70" fillId="0" borderId="59" xfId="10" applyNumberFormat="1" applyFont="1" applyBorder="1" applyAlignment="1">
      <alignment vertical="center" wrapText="1"/>
    </xf>
    <xf numFmtId="0" fontId="53" fillId="0" borderId="59" xfId="9" applyFont="1" applyBorder="1" applyAlignment="1">
      <alignment vertical="center" wrapText="1"/>
    </xf>
    <xf numFmtId="14" fontId="71" fillId="0" borderId="31" xfId="9" applyNumberFormat="1" applyFont="1" applyBorder="1" applyAlignment="1">
      <alignment horizontal="center" vertical="center" wrapText="1"/>
    </xf>
    <xf numFmtId="0" fontId="53" fillId="0" borderId="60" xfId="9" applyFont="1" applyBorder="1" applyAlignment="1">
      <alignment vertical="center"/>
    </xf>
    <xf numFmtId="0" fontId="53" fillId="0" borderId="60" xfId="9" applyFont="1" applyBorder="1" applyAlignment="1">
      <alignment vertical="center" wrapText="1"/>
    </xf>
    <xf numFmtId="175" fontId="0" fillId="0" borderId="0" xfId="10" applyNumberFormat="1" applyFont="1"/>
    <xf numFmtId="0" fontId="71" fillId="0" borderId="31" xfId="9" applyFont="1" applyBorder="1" applyAlignment="1">
      <alignment horizontal="center" vertical="center" wrapText="1"/>
    </xf>
    <xf numFmtId="0" fontId="53" fillId="0" borderId="60" xfId="9" applyFont="1" applyBorder="1" applyAlignment="1">
      <alignment horizontal="center" vertical="center" wrapText="1"/>
    </xf>
    <xf numFmtId="0" fontId="54" fillId="0" borderId="101" xfId="9" applyFont="1" applyBorder="1" applyAlignment="1">
      <alignment vertical="center" wrapText="1"/>
    </xf>
    <xf numFmtId="0" fontId="54" fillId="0" borderId="61" xfId="9" applyFont="1" applyBorder="1" applyAlignment="1">
      <alignment vertical="center" wrapText="1"/>
    </xf>
    <xf numFmtId="175" fontId="3" fillId="0" borderId="0" xfId="9" applyNumberFormat="1"/>
    <xf numFmtId="0" fontId="4" fillId="3" borderId="11" xfId="9" applyFont="1" applyFill="1" applyBorder="1" applyAlignment="1">
      <alignment wrapText="1" shrinkToFit="1"/>
    </xf>
    <xf numFmtId="0" fontId="4" fillId="3" borderId="11" xfId="9" quotePrefix="1" applyFont="1" applyFill="1" applyBorder="1" applyAlignment="1">
      <alignment horizontal="left" wrapText="1" shrinkToFit="1"/>
    </xf>
    <xf numFmtId="0" fontId="72" fillId="17" borderId="5" xfId="12" applyFont="1" applyFill="1" applyBorder="1" applyAlignment="1">
      <alignment horizontal="center" vertical="center" wrapText="1"/>
    </xf>
    <xf numFmtId="0" fontId="73" fillId="18" borderId="11" xfId="12" applyFont="1" applyFill="1" applyBorder="1" applyAlignment="1">
      <alignment horizontal="center" vertical="center" wrapText="1"/>
    </xf>
    <xf numFmtId="0" fontId="74" fillId="19" borderId="11" xfId="12" applyFont="1" applyFill="1" applyBorder="1" applyAlignment="1">
      <alignment horizontal="center" vertical="center" wrapText="1"/>
    </xf>
    <xf numFmtId="49" fontId="74" fillId="19" borderId="11" xfId="13" applyNumberFormat="1" applyFont="1" applyFill="1" applyBorder="1" applyAlignment="1">
      <alignment horizontal="center" vertical="center" wrapText="1"/>
    </xf>
    <xf numFmtId="0" fontId="73" fillId="20" borderId="11" xfId="12" applyFont="1" applyFill="1" applyBorder="1" applyAlignment="1">
      <alignment horizontal="center" vertical="center" wrapText="1"/>
    </xf>
    <xf numFmtId="178" fontId="73" fillId="21" borderId="7" xfId="12" applyNumberFormat="1" applyFont="1" applyFill="1" applyBorder="1" applyAlignment="1">
      <alignment horizontal="center" vertical="center" wrapText="1"/>
    </xf>
    <xf numFmtId="178" fontId="73" fillId="22" borderId="25" xfId="12" applyNumberFormat="1" applyFont="1" applyFill="1" applyBorder="1" applyAlignment="1">
      <alignment horizontal="center" vertical="center" wrapText="1"/>
    </xf>
    <xf numFmtId="4" fontId="74" fillId="18" borderId="11" xfId="13" applyNumberFormat="1" applyFont="1" applyFill="1" applyBorder="1" applyAlignment="1">
      <alignment horizontal="center" vertical="center" wrapText="1"/>
    </xf>
    <xf numFmtId="0" fontId="2" fillId="0" borderId="0" xfId="12"/>
    <xf numFmtId="0" fontId="73" fillId="18" borderId="11" xfId="12" applyFont="1" applyFill="1" applyBorder="1" applyAlignment="1">
      <alignment horizontal="left" vertical="center"/>
    </xf>
    <xf numFmtId="0" fontId="73" fillId="18" borderId="13" xfId="12" applyFont="1" applyFill="1" applyBorder="1" applyAlignment="1">
      <alignment horizontal="center" vertical="center"/>
    </xf>
    <xf numFmtId="178" fontId="73" fillId="22" borderId="5" xfId="12" applyNumberFormat="1" applyFont="1" applyFill="1" applyBorder="1" applyAlignment="1">
      <alignment horizontal="center" vertical="center" wrapText="1"/>
    </xf>
    <xf numFmtId="0" fontId="75" fillId="6" borderId="11" xfId="12" applyFont="1" applyFill="1" applyBorder="1" applyAlignment="1">
      <alignment vertical="center"/>
    </xf>
    <xf numFmtId="0" fontId="75" fillId="6" borderId="11" xfId="12" applyFont="1" applyFill="1" applyBorder="1" applyAlignment="1">
      <alignment horizontal="center" vertical="center"/>
    </xf>
    <xf numFmtId="172" fontId="74" fillId="6" borderId="11" xfId="13" applyNumberFormat="1" applyFont="1" applyFill="1" applyBorder="1" applyAlignment="1">
      <alignment horizontal="center"/>
    </xf>
    <xf numFmtId="172" fontId="76" fillId="6" borderId="11" xfId="13" applyNumberFormat="1" applyFont="1" applyFill="1" applyBorder="1" applyAlignment="1">
      <alignment horizontal="center"/>
    </xf>
    <xf numFmtId="172" fontId="73" fillId="6" borderId="11" xfId="13" applyNumberFormat="1" applyFont="1" applyFill="1" applyBorder="1" applyAlignment="1">
      <alignment horizontal="center"/>
    </xf>
    <xf numFmtId="3" fontId="73" fillId="6" borderId="11" xfId="13" applyNumberFormat="1" applyFont="1" applyFill="1" applyBorder="1" applyAlignment="1">
      <alignment horizontal="center"/>
    </xf>
    <xf numFmtId="4" fontId="73" fillId="6" borderId="11" xfId="13" applyNumberFormat="1" applyFont="1" applyFill="1" applyBorder="1" applyAlignment="1">
      <alignment horizontal="center"/>
    </xf>
    <xf numFmtId="0" fontId="77" fillId="17" borderId="8" xfId="12" applyFont="1" applyFill="1" applyBorder="1" applyAlignment="1">
      <alignment vertical="center" wrapText="1"/>
    </xf>
    <xf numFmtId="0" fontId="73" fillId="17" borderId="8" xfId="12" applyFont="1" applyFill="1" applyBorder="1" applyAlignment="1">
      <alignment horizontal="center" vertical="center" wrapText="1"/>
    </xf>
    <xf numFmtId="3" fontId="73" fillId="17" borderId="11" xfId="13" applyNumberFormat="1" applyFont="1" applyFill="1" applyBorder="1" applyAlignment="1">
      <alignment horizontal="center"/>
    </xf>
    <xf numFmtId="3" fontId="76" fillId="17" borderId="11" xfId="13" applyNumberFormat="1" applyFont="1" applyFill="1" applyBorder="1" applyAlignment="1">
      <alignment horizontal="center"/>
    </xf>
    <xf numFmtId="4" fontId="73" fillId="17" borderId="11" xfId="13" applyNumberFormat="1" applyFont="1" applyFill="1" applyBorder="1" applyAlignment="1">
      <alignment horizontal="center"/>
    </xf>
    <xf numFmtId="3" fontId="73" fillId="23" borderId="8" xfId="12" applyNumberFormat="1" applyFont="1" applyFill="1" applyBorder="1" applyAlignment="1">
      <alignment vertical="center" wrapText="1"/>
    </xf>
    <xf numFmtId="3" fontId="73" fillId="23" borderId="8" xfId="12" applyNumberFormat="1" applyFont="1" applyFill="1" applyBorder="1" applyAlignment="1">
      <alignment horizontal="center" vertical="center" wrapText="1"/>
    </xf>
    <xf numFmtId="3" fontId="73" fillId="24" borderId="11" xfId="12" applyNumberFormat="1" applyFont="1" applyFill="1" applyBorder="1" applyAlignment="1">
      <alignment horizontal="right" wrapText="1"/>
    </xf>
    <xf numFmtId="3" fontId="76" fillId="24" borderId="11" xfId="12" applyNumberFormat="1" applyFont="1" applyFill="1" applyBorder="1" applyAlignment="1">
      <alignment horizontal="right" wrapText="1"/>
    </xf>
    <xf numFmtId="3" fontId="73" fillId="23" borderId="11" xfId="13" applyNumberFormat="1" applyFont="1" applyFill="1" applyBorder="1" applyAlignment="1">
      <alignment horizontal="right" wrapText="1"/>
    </xf>
    <xf numFmtId="3" fontId="75" fillId="0" borderId="8" xfId="12" quotePrefix="1" applyNumberFormat="1" applyFont="1" applyBorder="1" applyAlignment="1">
      <alignment horizontal="left" vertical="center" wrapText="1" indent="1"/>
    </xf>
    <xf numFmtId="3" fontId="75" fillId="0" borderId="8" xfId="12" applyNumberFormat="1" applyFont="1" applyBorder="1" applyAlignment="1">
      <alignment horizontal="center" vertical="center" wrapText="1"/>
    </xf>
    <xf numFmtId="3" fontId="75" fillId="0" borderId="11" xfId="12" applyNumberFormat="1" applyFont="1" applyBorder="1" applyAlignment="1">
      <alignment horizontal="right" wrapText="1"/>
    </xf>
    <xf numFmtId="3" fontId="78" fillId="0" borderId="11" xfId="12" applyNumberFormat="1" applyFont="1" applyBorder="1" applyAlignment="1">
      <alignment horizontal="right" wrapText="1"/>
    </xf>
    <xf numFmtId="3" fontId="75" fillId="25" borderId="11" xfId="13" applyNumberFormat="1" applyFont="1" applyFill="1" applyBorder="1" applyAlignment="1">
      <alignment horizontal="right" wrapText="1"/>
    </xf>
    <xf numFmtId="3" fontId="75" fillId="0" borderId="8" xfId="12" quotePrefix="1" applyNumberFormat="1" applyFont="1" applyFill="1" applyBorder="1" applyAlignment="1">
      <alignment horizontal="left" vertical="center" wrapText="1" indent="1"/>
    </xf>
    <xf numFmtId="3" fontId="75" fillId="0" borderId="11" xfId="13" applyNumberFormat="1" applyFont="1" applyFill="1" applyBorder="1" applyAlignment="1">
      <alignment horizontal="right"/>
    </xf>
    <xf numFmtId="3" fontId="78" fillId="0" borderId="11" xfId="13" applyNumberFormat="1" applyFont="1" applyFill="1" applyBorder="1" applyAlignment="1">
      <alignment horizontal="right"/>
    </xf>
    <xf numFmtId="3" fontId="75" fillId="25" borderId="11" xfId="13" applyNumberFormat="1" applyFont="1" applyFill="1" applyBorder="1" applyAlignment="1">
      <alignment horizontal="right"/>
    </xf>
    <xf numFmtId="3" fontId="75" fillId="0" borderId="11" xfId="13" applyNumberFormat="1" applyFont="1" applyBorder="1" applyAlignment="1">
      <alignment horizontal="right"/>
    </xf>
    <xf numFmtId="3" fontId="79" fillId="0" borderId="11" xfId="13" applyNumberFormat="1" applyFont="1" applyBorder="1" applyAlignment="1">
      <alignment horizontal="right"/>
    </xf>
    <xf numFmtId="3" fontId="79" fillId="0" borderId="8" xfId="12" quotePrefix="1" applyNumberFormat="1" applyFont="1" applyFill="1" applyBorder="1" applyAlignment="1">
      <alignment horizontal="left" vertical="center" wrapText="1" indent="2"/>
    </xf>
    <xf numFmtId="3" fontId="79" fillId="0" borderId="8" xfId="12" applyNumberFormat="1" applyFont="1" applyBorder="1" applyAlignment="1">
      <alignment horizontal="center" vertical="center" wrapText="1"/>
    </xf>
    <xf numFmtId="3" fontId="79" fillId="25" borderId="11" xfId="13" applyNumberFormat="1" applyFont="1" applyFill="1" applyBorder="1" applyAlignment="1">
      <alignment horizontal="right"/>
    </xf>
    <xf numFmtId="3" fontId="79" fillId="18" borderId="11" xfId="13" applyNumberFormat="1" applyFont="1" applyFill="1" applyBorder="1" applyAlignment="1">
      <alignment horizontal="right" wrapText="1"/>
    </xf>
    <xf numFmtId="3" fontId="79" fillId="0" borderId="8" xfId="12" applyNumberFormat="1" applyFont="1" applyFill="1" applyBorder="1" applyAlignment="1">
      <alignment horizontal="center" vertical="center" wrapText="1"/>
    </xf>
    <xf numFmtId="3" fontId="80" fillId="0" borderId="11" xfId="13" applyNumberFormat="1" applyFont="1" applyBorder="1" applyAlignment="1">
      <alignment horizontal="right"/>
    </xf>
    <xf numFmtId="3" fontId="75" fillId="0" borderId="8" xfId="12" applyNumberFormat="1" applyFont="1" applyFill="1" applyBorder="1" applyAlignment="1">
      <alignment horizontal="center" vertical="center" wrapText="1"/>
    </xf>
    <xf numFmtId="3" fontId="78" fillId="0" borderId="11" xfId="13" applyNumberFormat="1" applyFont="1" applyBorder="1" applyAlignment="1">
      <alignment horizontal="right"/>
    </xf>
    <xf numFmtId="3" fontId="75" fillId="26" borderId="8" xfId="12" applyNumberFormat="1" applyFont="1" applyFill="1" applyBorder="1" applyAlignment="1">
      <alignment horizontal="left" vertical="center" wrapText="1" indent="1"/>
    </xf>
    <xf numFmtId="3" fontId="75" fillId="26" borderId="8" xfId="12" applyNumberFormat="1" applyFont="1" applyFill="1" applyBorder="1" applyAlignment="1">
      <alignment horizontal="center" vertical="center" wrapText="1"/>
    </xf>
    <xf numFmtId="3" fontId="75" fillId="26" borderId="11" xfId="12" applyNumberFormat="1" applyFont="1" applyFill="1" applyBorder="1" applyAlignment="1">
      <alignment horizontal="right" wrapText="1"/>
    </xf>
    <xf numFmtId="3" fontId="78" fillId="26" borderId="11" xfId="12" applyNumberFormat="1" applyFont="1" applyFill="1" applyBorder="1" applyAlignment="1">
      <alignment horizontal="right" wrapText="1"/>
    </xf>
    <xf numFmtId="3" fontId="73" fillId="23" borderId="11" xfId="12" applyNumberFormat="1" applyFont="1" applyFill="1" applyBorder="1" applyAlignment="1">
      <alignment horizontal="right" wrapText="1"/>
    </xf>
    <xf numFmtId="3" fontId="76" fillId="23" borderId="11" xfId="12" applyNumberFormat="1" applyFont="1" applyFill="1" applyBorder="1" applyAlignment="1">
      <alignment horizontal="right" wrapText="1"/>
    </xf>
    <xf numFmtId="3" fontId="75" fillId="4" borderId="8" xfId="12" quotePrefix="1" applyNumberFormat="1" applyFont="1" applyFill="1" applyBorder="1" applyAlignment="1">
      <alignment horizontal="left" vertical="center" wrapText="1"/>
    </xf>
    <xf numFmtId="3" fontId="75" fillId="4" borderId="8" xfId="12" applyNumberFormat="1" applyFont="1" applyFill="1" applyBorder="1" applyAlignment="1">
      <alignment horizontal="center" vertical="center" wrapText="1"/>
    </xf>
    <xf numFmtId="3" fontId="75" fillId="4" borderId="11" xfId="12" applyNumberFormat="1" applyFont="1" applyFill="1" applyBorder="1" applyAlignment="1">
      <alignment horizontal="right" wrapText="1"/>
    </xf>
    <xf numFmtId="3" fontId="75" fillId="4" borderId="8" xfId="12" applyNumberFormat="1" applyFont="1" applyFill="1" applyBorder="1" applyAlignment="1">
      <alignment horizontal="left" vertical="center" wrapText="1"/>
    </xf>
    <xf numFmtId="3" fontId="75" fillId="4" borderId="11" xfId="13" applyNumberFormat="1" applyFont="1" applyFill="1" applyBorder="1" applyAlignment="1">
      <alignment horizontal="right"/>
    </xf>
    <xf numFmtId="3" fontId="79" fillId="4" borderId="11" xfId="13" applyNumberFormat="1" applyFont="1" applyFill="1" applyBorder="1" applyAlignment="1">
      <alignment horizontal="right"/>
    </xf>
    <xf numFmtId="3" fontId="79" fillId="0" borderId="8" xfId="12" quotePrefix="1" applyNumberFormat="1" applyFont="1" applyBorder="1" applyAlignment="1">
      <alignment horizontal="left" vertical="center" wrapText="1" indent="4"/>
    </xf>
    <xf numFmtId="3" fontId="79" fillId="0" borderId="8" xfId="12" applyNumberFormat="1" applyFont="1" applyFill="1" applyBorder="1" applyAlignment="1">
      <alignment horizontal="center" vertical="center"/>
    </xf>
    <xf numFmtId="3" fontId="79" fillId="18" borderId="11" xfId="13" applyNumberFormat="1" applyFont="1" applyFill="1" applyBorder="1" applyAlignment="1">
      <alignment horizontal="right"/>
    </xf>
    <xf numFmtId="3" fontId="79" fillId="0" borderId="8" xfId="12" applyNumberFormat="1" applyFont="1" applyBorder="1" applyAlignment="1">
      <alignment horizontal="center" vertical="center"/>
    </xf>
    <xf numFmtId="3" fontId="79" fillId="9" borderId="8" xfId="12" quotePrefix="1" applyNumberFormat="1" applyFont="1" applyFill="1" applyBorder="1" applyAlignment="1">
      <alignment horizontal="left" vertical="center" wrapText="1" indent="4"/>
    </xf>
    <xf numFmtId="3" fontId="79" fillId="9" borderId="8" xfId="12" applyNumberFormat="1" applyFont="1" applyFill="1" applyBorder="1" applyAlignment="1">
      <alignment horizontal="center" vertical="center"/>
    </xf>
    <xf numFmtId="3" fontId="73" fillId="23" borderId="8" xfId="12" applyNumberFormat="1" applyFont="1" applyFill="1" applyBorder="1" applyAlignment="1">
      <alignment horizontal="left" vertical="center" wrapText="1"/>
    </xf>
    <xf numFmtId="3" fontId="79" fillId="0" borderId="11" xfId="13" applyNumberFormat="1" applyFont="1" applyFill="1" applyBorder="1" applyAlignment="1">
      <alignment horizontal="right"/>
    </xf>
    <xf numFmtId="3" fontId="75" fillId="0" borderId="11" xfId="13" applyNumberFormat="1" applyFont="1" applyFill="1" applyBorder="1" applyAlignment="1">
      <alignment horizontal="left" vertical="center" wrapText="1" indent="1"/>
    </xf>
    <xf numFmtId="3" fontId="75" fillId="0" borderId="11" xfId="13" applyNumberFormat="1" applyFont="1" applyFill="1" applyBorder="1" applyAlignment="1">
      <alignment horizontal="center" vertical="center"/>
    </xf>
    <xf numFmtId="3" fontId="79" fillId="0" borderId="8" xfId="12" applyNumberFormat="1" applyFont="1" applyFill="1" applyBorder="1" applyAlignment="1">
      <alignment horizontal="left" vertical="center" wrapText="1" indent="3"/>
    </xf>
    <xf numFmtId="3" fontId="79" fillId="4" borderId="11" xfId="12" applyNumberFormat="1" applyFont="1" applyFill="1" applyBorder="1" applyAlignment="1">
      <alignment horizontal="right" wrapText="1"/>
    </xf>
    <xf numFmtId="3" fontId="75" fillId="0" borderId="8" xfId="12" quotePrefix="1" applyNumberFormat="1" applyFont="1" applyFill="1" applyBorder="1" applyAlignment="1">
      <alignment horizontal="left" vertical="center" wrapText="1"/>
    </xf>
    <xf numFmtId="3" fontId="79" fillId="0" borderId="8" xfId="12" applyNumberFormat="1" applyFont="1" applyBorder="1" applyAlignment="1">
      <alignment horizontal="left" vertical="center" wrapText="1" indent="2"/>
    </xf>
    <xf numFmtId="3" fontId="80" fillId="0" borderId="11" xfId="13" applyNumberFormat="1" applyFont="1" applyFill="1" applyBorder="1" applyAlignment="1">
      <alignment horizontal="right"/>
    </xf>
    <xf numFmtId="3" fontId="75" fillId="0" borderId="11" xfId="12" quotePrefix="1" applyNumberFormat="1" applyFont="1" applyFill="1" applyBorder="1" applyAlignment="1">
      <alignment horizontal="left" vertical="center" wrapText="1" indent="1"/>
    </xf>
    <xf numFmtId="3" fontId="75" fillId="0" borderId="11" xfId="12" quotePrefix="1" applyNumberFormat="1" applyFont="1" applyFill="1" applyBorder="1" applyAlignment="1">
      <alignment horizontal="center" vertical="center" wrapText="1"/>
    </xf>
    <xf numFmtId="3" fontId="79" fillId="0" borderId="11" xfId="12" quotePrefix="1" applyNumberFormat="1" applyFont="1" applyFill="1" applyBorder="1" applyAlignment="1">
      <alignment horizontal="left" vertical="center" wrapText="1" indent="5"/>
    </xf>
    <xf numFmtId="3" fontId="75" fillId="0" borderId="0" xfId="12" quotePrefix="1" applyNumberFormat="1" applyFont="1" applyFill="1" applyBorder="1" applyAlignment="1">
      <alignment horizontal="center" vertical="center" wrapText="1"/>
    </xf>
    <xf numFmtId="3" fontId="75" fillId="0" borderId="8" xfId="12" applyNumberFormat="1" applyFont="1" applyBorder="1" applyAlignment="1">
      <alignment horizontal="left" vertical="center" wrapText="1" indent="1"/>
    </xf>
    <xf numFmtId="3" fontId="78" fillId="0" borderId="11" xfId="12" applyNumberFormat="1" applyFont="1" applyFill="1" applyBorder="1" applyAlignment="1">
      <alignment horizontal="right" wrapText="1"/>
    </xf>
    <xf numFmtId="3" fontId="75" fillId="0" borderId="11" xfId="12" applyNumberFormat="1" applyFont="1" applyBorder="1" applyAlignment="1">
      <alignment horizontal="left" vertical="center" wrapText="1" indent="2"/>
    </xf>
    <xf numFmtId="3" fontId="75" fillId="0" borderId="11" xfId="12" applyNumberFormat="1" applyFont="1" applyBorder="1" applyAlignment="1">
      <alignment horizontal="center" vertical="center" wrapText="1"/>
    </xf>
    <xf numFmtId="3" fontId="73" fillId="27" borderId="8" xfId="13" quotePrefix="1" applyNumberFormat="1" applyFont="1" applyFill="1" applyBorder="1" applyAlignment="1">
      <alignment horizontal="left" vertical="center" wrapText="1"/>
    </xf>
    <xf numFmtId="3" fontId="73" fillId="27" borderId="8" xfId="13" quotePrefix="1" applyNumberFormat="1" applyFont="1" applyFill="1" applyBorder="1" applyAlignment="1">
      <alignment horizontal="center" vertical="center" wrapText="1"/>
    </xf>
    <xf numFmtId="3" fontId="73" fillId="27" borderId="11" xfId="13" applyNumberFormat="1" applyFont="1" applyFill="1" applyBorder="1" applyAlignment="1">
      <alignment wrapText="1"/>
    </xf>
    <xf numFmtId="3" fontId="76" fillId="27" borderId="11" xfId="13" applyNumberFormat="1" applyFont="1" applyFill="1" applyBorder="1" applyAlignment="1">
      <alignment wrapText="1"/>
    </xf>
    <xf numFmtId="3" fontId="73" fillId="27" borderId="11" xfId="13" applyNumberFormat="1" applyFont="1" applyFill="1" applyBorder="1" applyAlignment="1">
      <alignment horizontal="right" wrapText="1"/>
    </xf>
    <xf numFmtId="3" fontId="73" fillId="9" borderId="11" xfId="13" applyNumberFormat="1" applyFont="1" applyFill="1" applyBorder="1" applyAlignment="1">
      <alignment wrapText="1"/>
    </xf>
    <xf numFmtId="3" fontId="77" fillId="17" borderId="8" xfId="12" applyNumberFormat="1" applyFont="1" applyFill="1" applyBorder="1" applyAlignment="1">
      <alignment vertical="center" wrapText="1"/>
    </xf>
    <xf numFmtId="3" fontId="73" fillId="17" borderId="8" xfId="12" applyNumberFormat="1" applyFont="1" applyFill="1" applyBorder="1" applyAlignment="1">
      <alignment horizontal="center" vertical="center" wrapText="1"/>
    </xf>
    <xf numFmtId="3" fontId="73" fillId="21" borderId="8" xfId="12" applyNumberFormat="1" applyFont="1" applyFill="1" applyBorder="1" applyAlignment="1">
      <alignment horizontal="center" vertical="center" wrapText="1"/>
    </xf>
    <xf numFmtId="3" fontId="75" fillId="0" borderId="8" xfId="12" applyNumberFormat="1" applyFont="1" applyFill="1" applyBorder="1" applyAlignment="1">
      <alignment horizontal="left" vertical="center" wrapText="1" indent="1"/>
    </xf>
    <xf numFmtId="3" fontId="78" fillId="0" borderId="11" xfId="12" applyNumberFormat="1" applyFont="1" applyBorder="1"/>
    <xf numFmtId="3" fontId="78" fillId="0" borderId="8" xfId="12" applyNumberFormat="1" applyFont="1" applyFill="1" applyBorder="1" applyAlignment="1">
      <alignment horizontal="left" vertical="center" wrapText="1" indent="1"/>
    </xf>
    <xf numFmtId="3" fontId="78" fillId="0" borderId="8" xfId="12" applyNumberFormat="1" applyFont="1" applyBorder="1" applyAlignment="1">
      <alignment horizontal="center" vertical="center" wrapText="1"/>
    </xf>
    <xf numFmtId="3" fontId="75" fillId="7" borderId="8" xfId="12" applyNumberFormat="1" applyFont="1" applyFill="1" applyBorder="1" applyAlignment="1">
      <alignment horizontal="left" vertical="center" wrapText="1" indent="1"/>
    </xf>
    <xf numFmtId="3" fontId="78" fillId="0" borderId="8" xfId="12" applyNumberFormat="1" applyFont="1" applyFill="1" applyBorder="1" applyAlignment="1">
      <alignment horizontal="center" vertical="center" wrapText="1"/>
    </xf>
    <xf numFmtId="3" fontId="73" fillId="23" borderId="8" xfId="12" quotePrefix="1" applyNumberFormat="1" applyFont="1" applyFill="1" applyBorder="1" applyAlignment="1">
      <alignment horizontal="left" vertical="center" wrapText="1"/>
    </xf>
    <xf numFmtId="3" fontId="75" fillId="0" borderId="8" xfId="12" applyNumberFormat="1" applyFont="1" applyBorder="1" applyAlignment="1">
      <alignment horizontal="left" vertical="center" wrapText="1" indent="2"/>
    </xf>
    <xf numFmtId="3" fontId="73" fillId="27" borderId="8" xfId="13" quotePrefix="1" applyNumberFormat="1" applyFont="1" applyFill="1" applyBorder="1" applyAlignment="1">
      <alignment horizontal="left" vertical="center"/>
    </xf>
    <xf numFmtId="3" fontId="76" fillId="27" borderId="11" xfId="13" applyNumberFormat="1" applyFont="1" applyFill="1" applyBorder="1" applyAlignment="1">
      <alignment horizontal="right" wrapText="1"/>
    </xf>
    <xf numFmtId="3" fontId="73" fillId="17" borderId="13" xfId="12" applyNumberFormat="1" applyFont="1" applyFill="1" applyBorder="1" applyAlignment="1">
      <alignment horizontal="center" vertical="center" wrapText="1"/>
    </xf>
    <xf numFmtId="3" fontId="73" fillId="17" borderId="11" xfId="13" applyNumberFormat="1" applyFont="1" applyFill="1" applyBorder="1" applyAlignment="1">
      <alignment horizontal="right"/>
    </xf>
    <xf numFmtId="3" fontId="76" fillId="17" borderId="11" xfId="13" applyNumberFormat="1" applyFont="1" applyFill="1" applyBorder="1" applyAlignment="1">
      <alignment horizontal="right"/>
    </xf>
    <xf numFmtId="3" fontId="75" fillId="4" borderId="11" xfId="12" applyNumberFormat="1" applyFont="1" applyFill="1" applyBorder="1" applyAlignment="1">
      <alignment horizontal="left" wrapText="1"/>
    </xf>
    <xf numFmtId="3" fontId="75" fillId="4" borderId="11" xfId="12" applyNumberFormat="1" applyFont="1" applyFill="1" applyBorder="1" applyAlignment="1">
      <alignment horizontal="center" vertical="center" wrapText="1"/>
    </xf>
    <xf numFmtId="3" fontId="75" fillId="25" borderId="11" xfId="14" applyNumberFormat="1" applyFont="1" applyFill="1" applyBorder="1" applyAlignment="1">
      <alignment horizontal="right" wrapText="1"/>
    </xf>
    <xf numFmtId="3" fontId="75" fillId="25" borderId="11" xfId="13" applyNumberFormat="1" applyFont="1" applyFill="1" applyBorder="1" applyAlignment="1">
      <alignment wrapText="1"/>
    </xf>
    <xf numFmtId="3" fontId="75" fillId="0" borderId="11" xfId="12" applyNumberFormat="1" applyFont="1" applyFill="1" applyBorder="1" applyAlignment="1">
      <alignment horizontal="left" wrapText="1" indent="1"/>
    </xf>
    <xf numFmtId="3" fontId="75" fillId="0" borderId="11" xfId="12" applyNumberFormat="1" applyFont="1" applyFill="1" applyBorder="1" applyAlignment="1">
      <alignment horizontal="center" vertical="center" wrapText="1"/>
    </xf>
    <xf numFmtId="3" fontId="75" fillId="0" borderId="11" xfId="12" applyNumberFormat="1" applyFont="1" applyFill="1" applyBorder="1" applyAlignment="1">
      <alignment horizontal="left" vertical="center" wrapText="1" indent="1"/>
    </xf>
    <xf numFmtId="3" fontId="75" fillId="0" borderId="11" xfId="12" applyNumberFormat="1" applyFont="1" applyFill="1" applyBorder="1" applyAlignment="1">
      <alignment horizontal="right" wrapText="1"/>
    </xf>
    <xf numFmtId="3" fontId="75" fillId="25" borderId="11" xfId="14" applyNumberFormat="1" applyFont="1" applyFill="1" applyBorder="1" applyAlignment="1">
      <alignment horizontal="right"/>
    </xf>
    <xf numFmtId="3" fontId="73" fillId="23" borderId="8" xfId="12" applyNumberFormat="1" applyFont="1" applyFill="1" applyBorder="1" applyAlignment="1">
      <alignment horizontal="center" wrapText="1"/>
    </xf>
    <xf numFmtId="3" fontId="79" fillId="0" borderId="8" xfId="12" applyNumberFormat="1" applyFont="1" applyFill="1" applyBorder="1" applyAlignment="1">
      <alignment horizontal="left" vertical="center" wrapText="1" indent="2"/>
    </xf>
    <xf numFmtId="3" fontId="79" fillId="18" borderId="11" xfId="14" applyNumberFormat="1" applyFont="1" applyFill="1" applyBorder="1" applyAlignment="1">
      <alignment horizontal="right"/>
    </xf>
    <xf numFmtId="3" fontId="79" fillId="18" borderId="11" xfId="13" applyNumberFormat="1" applyFont="1" applyFill="1" applyBorder="1" applyAlignment="1">
      <alignment wrapText="1"/>
    </xf>
    <xf numFmtId="3" fontId="75" fillId="26" borderId="8" xfId="12" applyNumberFormat="1" applyFont="1" applyFill="1" applyBorder="1" applyAlignment="1">
      <alignment horizontal="center" wrapText="1"/>
    </xf>
    <xf numFmtId="3" fontId="75" fillId="0" borderId="11" xfId="12" applyNumberFormat="1" applyFont="1" applyFill="1" applyBorder="1" applyAlignment="1">
      <alignment vertical="center" wrapText="1"/>
    </xf>
    <xf numFmtId="3" fontId="75" fillId="28" borderId="8" xfId="12" applyNumberFormat="1" applyFont="1" applyFill="1" applyBorder="1" applyAlignment="1">
      <alignment horizontal="center" vertical="center" wrapText="1"/>
    </xf>
    <xf numFmtId="3" fontId="81" fillId="0" borderId="11" xfId="12" applyNumberFormat="1" applyFont="1" applyFill="1" applyBorder="1" applyAlignment="1">
      <alignment vertical="center" wrapText="1"/>
    </xf>
    <xf numFmtId="3" fontId="81" fillId="28" borderId="8" xfId="12" applyNumberFormat="1" applyFont="1" applyFill="1" applyBorder="1" applyAlignment="1">
      <alignment horizontal="center" vertical="center" wrapText="1"/>
    </xf>
    <xf numFmtId="3" fontId="75" fillId="29" borderId="8" xfId="12" applyNumberFormat="1" applyFont="1" applyFill="1" applyBorder="1" applyAlignment="1">
      <alignment horizontal="left" vertical="center" wrapText="1"/>
    </xf>
    <xf numFmtId="3" fontId="75" fillId="29" borderId="8" xfId="12" applyNumberFormat="1" applyFont="1" applyFill="1" applyBorder="1" applyAlignment="1">
      <alignment horizontal="center" vertical="center" wrapText="1"/>
    </xf>
    <xf numFmtId="3" fontId="75" fillId="29" borderId="11" xfId="13" applyNumberFormat="1" applyFont="1" applyFill="1" applyBorder="1" applyAlignment="1">
      <alignment horizontal="right"/>
    </xf>
    <xf numFmtId="3" fontId="78" fillId="29" borderId="11" xfId="13" applyNumberFormat="1" applyFont="1" applyFill="1" applyBorder="1" applyAlignment="1">
      <alignment horizontal="right"/>
    </xf>
    <xf numFmtId="3" fontId="75" fillId="29" borderId="11" xfId="13" applyNumberFormat="1" applyFont="1" applyFill="1" applyBorder="1" applyAlignment="1">
      <alignment horizontal="right" vertical="center"/>
    </xf>
    <xf numFmtId="3" fontId="75" fillId="0" borderId="8" xfId="12" applyNumberFormat="1" applyFont="1" applyFill="1" applyBorder="1" applyAlignment="1">
      <alignment horizontal="left" vertical="center" wrapText="1"/>
    </xf>
    <xf numFmtId="3" fontId="75" fillId="0" borderId="11" xfId="12" quotePrefix="1" applyNumberFormat="1" applyFont="1" applyBorder="1" applyAlignment="1">
      <alignment horizontal="left" vertical="center" wrapText="1" indent="1"/>
    </xf>
    <xf numFmtId="3" fontId="75" fillId="0" borderId="11" xfId="12" quotePrefix="1" applyNumberFormat="1" applyFont="1" applyBorder="1" applyAlignment="1">
      <alignment horizontal="center" vertical="center"/>
    </xf>
    <xf numFmtId="3" fontId="75" fillId="0" borderId="11" xfId="12" applyNumberFormat="1" applyFont="1" applyBorder="1" applyAlignment="1">
      <alignment horizontal="left" vertical="center" wrapText="1" indent="1"/>
    </xf>
    <xf numFmtId="3" fontId="75" fillId="25" borderId="11" xfId="13" applyNumberFormat="1" applyFont="1" applyFill="1" applyBorder="1" applyAlignment="1"/>
    <xf numFmtId="3" fontId="78" fillId="26" borderId="11" xfId="15" applyNumberFormat="1" applyFont="1" applyFill="1" applyBorder="1" applyAlignment="1">
      <alignment horizontal="right"/>
    </xf>
    <xf numFmtId="3" fontId="75" fillId="26" borderId="11" xfId="15" applyNumberFormat="1" applyFont="1" applyFill="1" applyBorder="1" applyAlignment="1">
      <alignment horizontal="right"/>
    </xf>
    <xf numFmtId="3" fontId="73" fillId="17" borderId="24" xfId="12" applyNumberFormat="1" applyFont="1" applyFill="1" applyBorder="1" applyAlignment="1">
      <alignment horizontal="right" wrapText="1"/>
    </xf>
    <xf numFmtId="3" fontId="76" fillId="17" borderId="24" xfId="12" applyNumberFormat="1" applyFont="1" applyFill="1" applyBorder="1" applyAlignment="1">
      <alignment horizontal="right" wrapText="1"/>
    </xf>
    <xf numFmtId="3" fontId="73" fillId="17" borderId="11" xfId="13" applyNumberFormat="1" applyFont="1" applyFill="1" applyBorder="1" applyAlignment="1">
      <alignment horizontal="right" wrapText="1"/>
    </xf>
    <xf numFmtId="3" fontId="75" fillId="0" borderId="8" xfId="12" applyNumberFormat="1" applyFont="1" applyFill="1" applyBorder="1" applyAlignment="1">
      <alignment horizontal="left" vertical="center" wrapText="1" indent="3"/>
    </xf>
    <xf numFmtId="3" fontId="79" fillId="28" borderId="8" xfId="12" applyNumberFormat="1" applyFont="1" applyFill="1" applyBorder="1" applyAlignment="1">
      <alignment horizontal="center" vertical="center" wrapText="1"/>
    </xf>
    <xf numFmtId="3" fontId="78" fillId="4" borderId="11" xfId="13" applyNumberFormat="1" applyFont="1" applyFill="1" applyBorder="1" applyAlignment="1">
      <alignment horizontal="right"/>
    </xf>
    <xf numFmtId="3" fontId="75" fillId="0" borderId="11" xfId="12" applyNumberFormat="1" applyFont="1" applyFill="1" applyBorder="1" applyAlignment="1">
      <alignment horizontal="left" indent="1"/>
    </xf>
    <xf numFmtId="3" fontId="75" fillId="0" borderId="11" xfId="12" applyNumberFormat="1" applyFont="1" applyBorder="1" applyAlignment="1">
      <alignment horizontal="left" wrapText="1" indent="1"/>
    </xf>
    <xf numFmtId="3" fontId="75" fillId="28" borderId="11" xfId="13" applyNumberFormat="1" applyFont="1" applyFill="1" applyBorder="1" applyAlignment="1">
      <alignment horizontal="right"/>
    </xf>
    <xf numFmtId="3" fontId="73" fillId="17" borderId="11" xfId="12" applyNumberFormat="1" applyFont="1" applyFill="1" applyBorder="1" applyAlignment="1">
      <alignment horizontal="right" wrapText="1"/>
    </xf>
    <xf numFmtId="3" fontId="76" fillId="17" borderId="11" xfId="12" applyNumberFormat="1" applyFont="1" applyFill="1" applyBorder="1" applyAlignment="1">
      <alignment horizontal="right" wrapText="1"/>
    </xf>
    <xf numFmtId="3" fontId="75" fillId="30" borderId="8" xfId="12" applyNumberFormat="1" applyFont="1" applyFill="1" applyBorder="1" applyAlignment="1">
      <alignment horizontal="center" vertical="center" wrapText="1"/>
    </xf>
    <xf numFmtId="3" fontId="79" fillId="0" borderId="8" xfId="12" applyNumberFormat="1" applyFont="1" applyBorder="1" applyAlignment="1">
      <alignment horizontal="left" vertical="center" wrapText="1" indent="3"/>
    </xf>
    <xf numFmtId="3" fontId="79" fillId="0" borderId="11" xfId="12" applyNumberFormat="1" applyFont="1" applyBorder="1" applyAlignment="1">
      <alignment horizontal="right" wrapText="1"/>
    </xf>
    <xf numFmtId="3" fontId="78" fillId="4" borderId="11" xfId="12" applyNumberFormat="1" applyFont="1" applyFill="1" applyBorder="1" applyAlignment="1">
      <alignment horizontal="right" wrapText="1"/>
    </xf>
    <xf numFmtId="3" fontId="73" fillId="23" borderId="8" xfId="13" applyNumberFormat="1" applyFont="1" applyFill="1" applyBorder="1" applyAlignment="1">
      <alignment horizontal="center" vertical="center" wrapText="1"/>
    </xf>
    <xf numFmtId="3" fontId="73" fillId="23" borderId="8" xfId="12" quotePrefix="1" applyNumberFormat="1" applyFont="1" applyFill="1" applyBorder="1" applyAlignment="1">
      <alignment horizontal="center" vertical="center" wrapText="1"/>
    </xf>
    <xf numFmtId="3" fontId="75" fillId="0" borderId="11" xfId="12" applyNumberFormat="1" applyFont="1" applyBorder="1" applyAlignment="1">
      <alignment horizontal="left" vertical="center" indent="1"/>
    </xf>
    <xf numFmtId="3" fontId="75" fillId="0" borderId="11" xfId="12" applyNumberFormat="1" applyFont="1" applyBorder="1" applyAlignment="1">
      <alignment horizontal="center" vertical="center"/>
    </xf>
    <xf numFmtId="3" fontId="75" fillId="0" borderId="8" xfId="13" applyNumberFormat="1" applyFont="1" applyFill="1" applyBorder="1" applyAlignment="1">
      <alignment horizontal="center" vertical="center" wrapText="1"/>
    </xf>
    <xf numFmtId="3" fontId="73" fillId="27" borderId="8" xfId="13" applyNumberFormat="1" applyFont="1" applyFill="1" applyBorder="1" applyAlignment="1">
      <alignment horizontal="left" vertical="center" wrapText="1"/>
    </xf>
    <xf numFmtId="3" fontId="73" fillId="27" borderId="8" xfId="13" applyNumberFormat="1" applyFont="1" applyFill="1" applyBorder="1" applyAlignment="1">
      <alignment horizontal="center" vertical="center" wrapText="1"/>
    </xf>
    <xf numFmtId="3" fontId="73" fillId="23" borderId="11" xfId="12" applyNumberFormat="1" applyFont="1" applyFill="1" applyBorder="1" applyAlignment="1">
      <alignment horizontal="left" vertical="center"/>
    </xf>
    <xf numFmtId="3" fontId="73" fillId="23" borderId="11" xfId="12" applyNumberFormat="1" applyFont="1" applyFill="1" applyBorder="1" applyAlignment="1">
      <alignment horizontal="center" vertical="center" wrapText="1"/>
    </xf>
    <xf numFmtId="3" fontId="73" fillId="23" borderId="24" xfId="12" applyNumberFormat="1" applyFont="1" applyFill="1" applyBorder="1" applyAlignment="1">
      <alignment horizontal="right" wrapText="1"/>
    </xf>
    <xf numFmtId="3" fontId="76" fillId="23" borderId="24" xfId="12" applyNumberFormat="1" applyFont="1" applyFill="1" applyBorder="1" applyAlignment="1">
      <alignment horizontal="right" wrapText="1"/>
    </xf>
    <xf numFmtId="3" fontId="73" fillId="4" borderId="11" xfId="12" applyNumberFormat="1" applyFont="1" applyFill="1" applyBorder="1" applyAlignment="1">
      <alignment horizontal="left" vertical="center" wrapText="1"/>
    </xf>
    <xf numFmtId="3" fontId="73" fillId="4" borderId="11" xfId="12" applyNumberFormat="1" applyFont="1" applyFill="1" applyBorder="1" applyAlignment="1">
      <alignment horizontal="center" vertical="center" wrapText="1"/>
    </xf>
    <xf numFmtId="3" fontId="73" fillId="4" borderId="24" xfId="12" applyNumberFormat="1" applyFont="1" applyFill="1" applyBorder="1" applyAlignment="1">
      <alignment horizontal="right" wrapText="1"/>
    </xf>
    <xf numFmtId="3" fontId="76" fillId="4" borderId="24" xfId="12" applyNumberFormat="1" applyFont="1" applyFill="1" applyBorder="1" applyAlignment="1">
      <alignment horizontal="right" wrapText="1"/>
    </xf>
    <xf numFmtId="3" fontId="73" fillId="18" borderId="11" xfId="13" applyNumberFormat="1" applyFont="1" applyFill="1" applyBorder="1" applyAlignment="1">
      <alignment horizontal="right" wrapText="1"/>
    </xf>
    <xf numFmtId="3" fontId="73" fillId="18" borderId="11" xfId="13" applyNumberFormat="1" applyFont="1" applyFill="1" applyBorder="1" applyAlignment="1">
      <alignment wrapText="1"/>
    </xf>
    <xf numFmtId="3" fontId="75" fillId="6" borderId="11" xfId="12" quotePrefix="1" applyNumberFormat="1" applyFont="1" applyFill="1" applyBorder="1" applyAlignment="1">
      <alignment horizontal="left" vertical="center" wrapText="1"/>
    </xf>
    <xf numFmtId="3" fontId="75" fillId="6" borderId="11" xfId="12" applyNumberFormat="1" applyFont="1" applyFill="1" applyBorder="1" applyAlignment="1">
      <alignment horizontal="center" vertical="center" wrapText="1"/>
    </xf>
    <xf numFmtId="3" fontId="75" fillId="6" borderId="11" xfId="13" applyNumberFormat="1" applyFont="1" applyFill="1" applyBorder="1" applyAlignment="1">
      <alignment horizontal="right"/>
    </xf>
    <xf numFmtId="3" fontId="79" fillId="6" borderId="11" xfId="13" applyNumberFormat="1" applyFont="1" applyFill="1" applyBorder="1" applyAlignment="1">
      <alignment horizontal="right"/>
    </xf>
    <xf numFmtId="3" fontId="75" fillId="6" borderId="11" xfId="12" applyNumberFormat="1" applyFont="1" applyFill="1" applyBorder="1" applyAlignment="1">
      <alignment horizontal="left" vertical="center" wrapText="1"/>
    </xf>
    <xf numFmtId="3" fontId="79" fillId="0" borderId="11" xfId="12" applyNumberFormat="1" applyFont="1" applyFill="1" applyBorder="1" applyAlignment="1">
      <alignment horizontal="left" vertical="center" wrapText="1" indent="3"/>
    </xf>
    <xf numFmtId="3" fontId="79" fillId="0" borderId="11" xfId="12" applyNumberFormat="1" applyFont="1" applyFill="1" applyBorder="1" applyAlignment="1">
      <alignment horizontal="center" vertical="center" wrapText="1"/>
    </xf>
    <xf numFmtId="3" fontId="73" fillId="4" borderId="11" xfId="12" applyNumberFormat="1" applyFont="1" applyFill="1" applyBorder="1" applyAlignment="1">
      <alignment horizontal="right" wrapText="1"/>
    </xf>
    <xf numFmtId="3" fontId="76" fillId="4" borderId="11" xfId="12" applyNumberFormat="1" applyFont="1" applyFill="1" applyBorder="1" applyAlignment="1">
      <alignment horizontal="right" wrapText="1"/>
    </xf>
    <xf numFmtId="3" fontId="73" fillId="6" borderId="11" xfId="12" applyNumberFormat="1" applyFont="1" applyFill="1" applyBorder="1" applyAlignment="1">
      <alignment horizontal="left" vertical="center" wrapText="1"/>
    </xf>
    <xf numFmtId="3" fontId="73" fillId="6" borderId="11" xfId="12" applyNumberFormat="1" applyFont="1" applyFill="1" applyBorder="1" applyAlignment="1">
      <alignment horizontal="center" vertical="center" wrapText="1"/>
    </xf>
    <xf numFmtId="3" fontId="73" fillId="6" borderId="11" xfId="12" applyNumberFormat="1" applyFont="1" applyFill="1" applyBorder="1" applyAlignment="1">
      <alignment horizontal="right" wrapText="1"/>
    </xf>
    <xf numFmtId="3" fontId="76" fillId="6" borderId="11" xfId="12" applyNumberFormat="1" applyFont="1" applyFill="1" applyBorder="1" applyAlignment="1">
      <alignment horizontal="right" wrapText="1"/>
    </xf>
    <xf numFmtId="3" fontId="73" fillId="18" borderId="11" xfId="13" applyNumberFormat="1" applyFont="1" applyFill="1" applyBorder="1" applyAlignment="1"/>
    <xf numFmtId="3" fontId="73" fillId="18" borderId="11" xfId="13" applyNumberFormat="1" applyFont="1" applyFill="1" applyBorder="1" applyAlignment="1">
      <alignment horizontal="right"/>
    </xf>
    <xf numFmtId="3" fontId="73" fillId="6" borderId="11" xfId="13" applyNumberFormat="1" applyFont="1" applyFill="1" applyBorder="1" applyAlignment="1">
      <alignment horizontal="right"/>
    </xf>
    <xf numFmtId="3" fontId="76" fillId="6" borderId="11" xfId="13" applyNumberFormat="1" applyFont="1" applyFill="1" applyBorder="1" applyAlignment="1">
      <alignment horizontal="right"/>
    </xf>
    <xf numFmtId="3" fontId="73" fillId="23" borderId="11" xfId="12" quotePrefix="1" applyNumberFormat="1" applyFont="1" applyFill="1" applyBorder="1" applyAlignment="1">
      <alignment horizontal="left" vertical="center" wrapText="1"/>
    </xf>
    <xf numFmtId="3" fontId="75" fillId="23" borderId="11" xfId="12" applyNumberFormat="1" applyFont="1" applyFill="1" applyBorder="1" applyAlignment="1">
      <alignment horizontal="center" vertical="center" wrapText="1"/>
    </xf>
    <xf numFmtId="3" fontId="73" fillId="27" borderId="11" xfId="13" quotePrefix="1" applyNumberFormat="1" applyFont="1" applyFill="1" applyBorder="1" applyAlignment="1">
      <alignment horizontal="left" vertical="center" wrapText="1"/>
    </xf>
    <xf numFmtId="3" fontId="73" fillId="27" borderId="11" xfId="13" quotePrefix="1" applyNumberFormat="1" applyFont="1" applyFill="1" applyBorder="1" applyAlignment="1">
      <alignment horizontal="center" vertical="center" wrapText="1"/>
    </xf>
    <xf numFmtId="3" fontId="73" fillId="6" borderId="11" xfId="13" applyNumberFormat="1" applyFont="1" applyFill="1" applyBorder="1" applyAlignment="1">
      <alignment horizontal="left" vertical="center" wrapText="1"/>
    </xf>
    <xf numFmtId="3" fontId="73" fillId="6" borderId="11" xfId="13" applyNumberFormat="1" applyFont="1" applyFill="1" applyBorder="1" applyAlignment="1">
      <alignment horizontal="center" vertical="center" wrapText="1"/>
    </xf>
    <xf numFmtId="3" fontId="73" fillId="6" borderId="11" xfId="13" applyNumberFormat="1" applyFont="1" applyFill="1" applyBorder="1" applyAlignment="1">
      <alignment horizontal="right" wrapText="1"/>
    </xf>
    <xf numFmtId="3" fontId="76" fillId="6" borderId="11" xfId="13" applyNumberFormat="1" applyFont="1" applyFill="1" applyBorder="1" applyAlignment="1">
      <alignment horizontal="right" wrapText="1"/>
    </xf>
    <xf numFmtId="3" fontId="2" fillId="0" borderId="0" xfId="12" applyNumberFormat="1"/>
    <xf numFmtId="0" fontId="3" fillId="0" borderId="0" xfId="0" applyFont="1"/>
    <xf numFmtId="0" fontId="4" fillId="0" borderId="4" xfId="0" applyFont="1" applyBorder="1"/>
    <xf numFmtId="0" fontId="82" fillId="0" borderId="0" xfId="0" applyFont="1" applyAlignment="1">
      <alignment horizontal="left" indent="1"/>
    </xf>
    <xf numFmtId="179" fontId="0" fillId="0" borderId="0" xfId="11" applyNumberFormat="1" applyFont="1"/>
    <xf numFmtId="0" fontId="4" fillId="0" borderId="0" xfId="0" applyFont="1" applyFill="1" applyBorder="1"/>
    <xf numFmtId="177" fontId="4" fillId="0" borderId="0" xfId="11" applyNumberFormat="1" applyFont="1" applyBorder="1"/>
    <xf numFmtId="172" fontId="0" fillId="0" borderId="0" xfId="3" applyNumberFormat="1" applyFont="1"/>
    <xf numFmtId="172" fontId="4" fillId="0" borderId="0" xfId="3" applyNumberFormat="1" applyFont="1" applyBorder="1"/>
    <xf numFmtId="177" fontId="0" fillId="0" borderId="0" xfId="0" applyNumberFormat="1"/>
    <xf numFmtId="43" fontId="0" fillId="0" borderId="0" xfId="0" applyNumberFormat="1"/>
    <xf numFmtId="0" fontId="3" fillId="0" borderId="0" xfId="16" applyAlignment="1">
      <alignment vertical="center" wrapText="1"/>
    </xf>
    <xf numFmtId="2" fontId="32" fillId="0" borderId="115" xfId="17" applyNumberFormat="1" applyFont="1" applyBorder="1" applyAlignment="1">
      <alignment horizontal="right" vertical="center" wrapText="1"/>
    </xf>
    <xf numFmtId="0" fontId="3" fillId="0" borderId="116" xfId="16" applyBorder="1" applyAlignment="1">
      <alignment vertical="center" wrapText="1"/>
    </xf>
    <xf numFmtId="0" fontId="3" fillId="0" borderId="117" xfId="16" applyBorder="1" applyAlignment="1">
      <alignment vertical="center" wrapText="1"/>
    </xf>
    <xf numFmtId="0" fontId="3" fillId="0" borderId="118" xfId="16" applyBorder="1" applyAlignment="1">
      <alignment vertical="center" wrapText="1"/>
    </xf>
    <xf numFmtId="0" fontId="3" fillId="0" borderId="121" xfId="16" applyBorder="1" applyAlignment="1">
      <alignment vertical="center" wrapText="1"/>
    </xf>
    <xf numFmtId="0" fontId="3" fillId="0" borderId="122" xfId="16" applyBorder="1" applyAlignment="1">
      <alignment vertical="center" wrapText="1"/>
    </xf>
    <xf numFmtId="0" fontId="3" fillId="0" borderId="123" xfId="16" applyBorder="1" applyAlignment="1">
      <alignment vertical="center" wrapText="1"/>
    </xf>
    <xf numFmtId="0" fontId="3" fillId="0" borderId="124" xfId="16" applyFont="1" applyBorder="1" applyAlignment="1">
      <alignment vertical="center" wrapText="1"/>
    </xf>
    <xf numFmtId="0" fontId="3" fillId="0" borderId="125" xfId="16" applyFont="1" applyBorder="1" applyAlignment="1">
      <alignment vertical="center" wrapText="1"/>
    </xf>
    <xf numFmtId="0" fontId="17" fillId="0" borderId="126" xfId="18" applyFont="1" applyBorder="1" applyAlignment="1">
      <alignment horizontal="left" vertical="center" wrapText="1"/>
    </xf>
    <xf numFmtId="0" fontId="83" fillId="0" borderId="127" xfId="17" applyFont="1" applyBorder="1"/>
    <xf numFmtId="0" fontId="17" fillId="0" borderId="128" xfId="17" applyFont="1" applyBorder="1"/>
    <xf numFmtId="0" fontId="3" fillId="0" borderId="121" xfId="17" applyBorder="1" applyAlignment="1">
      <alignment vertical="center" wrapText="1"/>
    </xf>
    <xf numFmtId="0" fontId="3" fillId="0" borderId="122" xfId="17" applyBorder="1" applyAlignment="1">
      <alignment vertical="center" wrapText="1"/>
    </xf>
    <xf numFmtId="0" fontId="3" fillId="0" borderId="0" xfId="17" applyAlignment="1">
      <alignment vertical="center" wrapText="1"/>
    </xf>
    <xf numFmtId="0" fontId="17" fillId="0" borderId="18" xfId="18" applyFont="1" applyBorder="1" applyAlignment="1">
      <alignment horizontal="left" vertical="center" wrapText="1"/>
    </xf>
    <xf numFmtId="14" fontId="84" fillId="9" borderId="11" xfId="18" applyNumberFormat="1" applyFont="1" applyFill="1" applyBorder="1" applyAlignment="1">
      <alignment horizontal="left" vertical="center" wrapText="1"/>
    </xf>
    <xf numFmtId="14" fontId="3" fillId="9" borderId="129" xfId="18" applyNumberFormat="1" applyFont="1" applyFill="1" applyBorder="1" applyAlignment="1">
      <alignment horizontal="left" vertical="center" wrapText="1"/>
    </xf>
    <xf numFmtId="6" fontId="84" fillId="9" borderId="11" xfId="18" applyNumberFormat="1" applyFont="1" applyFill="1" applyBorder="1" applyAlignment="1">
      <alignment horizontal="left" vertical="center" wrapText="1"/>
    </xf>
    <xf numFmtId="6" fontId="3" fillId="9" borderId="129" xfId="18" applyNumberFormat="1" applyFont="1" applyFill="1" applyBorder="1" applyAlignment="1">
      <alignment horizontal="left" vertical="center" wrapText="1"/>
    </xf>
    <xf numFmtId="0" fontId="17" fillId="0" borderId="19" xfId="17" applyFont="1" applyBorder="1" applyAlignment="1">
      <alignment vertical="center"/>
    </xf>
    <xf numFmtId="0" fontId="84" fillId="9" borderId="11" xfId="18" applyFont="1" applyFill="1" applyBorder="1" applyAlignment="1">
      <alignment horizontal="justify" vertical="center" wrapText="1"/>
    </xf>
    <xf numFmtId="0" fontId="67" fillId="9" borderId="129" xfId="18" applyFont="1" applyFill="1" applyBorder="1" applyAlignment="1">
      <alignment horizontal="justify" vertical="center" wrapText="1"/>
    </xf>
    <xf numFmtId="0" fontId="3" fillId="0" borderId="121" xfId="17" applyBorder="1" applyAlignment="1">
      <alignment horizontal="left" vertical="center" wrapText="1"/>
    </xf>
    <xf numFmtId="0" fontId="3" fillId="0" borderId="122" xfId="17" applyBorder="1" applyAlignment="1">
      <alignment horizontal="left" vertical="center" wrapText="1"/>
    </xf>
    <xf numFmtId="0" fontId="3" fillId="0" borderId="0" xfId="17" applyAlignment="1">
      <alignment horizontal="left" vertical="center" wrapText="1"/>
    </xf>
    <xf numFmtId="0" fontId="84" fillId="9" borderId="11" xfId="18" applyFont="1" applyFill="1" applyBorder="1" applyAlignment="1">
      <alignment vertical="center" wrapText="1"/>
    </xf>
    <xf numFmtId="0" fontId="67" fillId="9" borderId="129" xfId="18" applyFont="1" applyFill="1" applyBorder="1" applyAlignment="1">
      <alignment vertical="center" wrapText="1"/>
    </xf>
    <xf numFmtId="0" fontId="17" fillId="0" borderId="130" xfId="17" applyFont="1" applyBorder="1"/>
    <xf numFmtId="9" fontId="84" fillId="9" borderId="131" xfId="18" applyNumberFormat="1" applyFont="1" applyFill="1" applyBorder="1" applyAlignment="1">
      <alignment horizontal="left" vertical="center" wrapText="1"/>
    </xf>
    <xf numFmtId="0" fontId="3" fillId="9" borderId="132" xfId="18" applyFont="1" applyFill="1" applyBorder="1" applyAlignment="1">
      <alignment horizontal="left" vertical="center" wrapText="1"/>
    </xf>
    <xf numFmtId="0" fontId="3" fillId="0" borderId="125" xfId="17" applyBorder="1" applyAlignment="1">
      <alignment vertical="center" wrapText="1"/>
    </xf>
    <xf numFmtId="0" fontId="3" fillId="0" borderId="0" xfId="17" applyFont="1" applyBorder="1" applyAlignment="1">
      <alignment vertical="center" wrapText="1"/>
    </xf>
    <xf numFmtId="0" fontId="3" fillId="0" borderId="0" xfId="17" applyBorder="1" applyAlignment="1">
      <alignment vertical="center" wrapText="1"/>
    </xf>
    <xf numFmtId="0" fontId="3" fillId="0" borderId="123" xfId="17" applyBorder="1" applyAlignment="1">
      <alignment vertical="center" wrapText="1"/>
    </xf>
    <xf numFmtId="0" fontId="17" fillId="0" borderId="0" xfId="17" applyFont="1" applyBorder="1" applyAlignment="1">
      <alignment vertical="center" wrapText="1"/>
    </xf>
    <xf numFmtId="0" fontId="13" fillId="0" borderId="0" xfId="2" applyBorder="1" applyAlignment="1" applyProtection="1">
      <alignment vertical="center" wrapText="1"/>
    </xf>
    <xf numFmtId="0" fontId="3" fillId="0" borderId="123" xfId="17" applyFont="1" applyBorder="1" applyAlignment="1">
      <alignment vertical="center" wrapText="1"/>
    </xf>
    <xf numFmtId="0" fontId="3" fillId="0" borderId="121" xfId="17" applyFont="1" applyBorder="1" applyAlignment="1">
      <alignment vertical="center" wrapText="1"/>
    </xf>
    <xf numFmtId="0" fontId="3" fillId="0" borderId="122" xfId="17" applyFont="1" applyBorder="1" applyAlignment="1">
      <alignment vertical="center" wrapText="1"/>
    </xf>
    <xf numFmtId="0" fontId="3" fillId="0" borderId="0" xfId="17" applyFont="1" applyAlignment="1">
      <alignment vertical="center" wrapText="1"/>
    </xf>
    <xf numFmtId="0" fontId="3" fillId="0" borderId="0" xfId="2" applyFont="1" applyBorder="1" applyAlignment="1" applyProtection="1">
      <alignment vertical="center"/>
    </xf>
    <xf numFmtId="0" fontId="13" fillId="0" borderId="0" xfId="2" applyBorder="1" applyAlignment="1" applyProtection="1">
      <alignment vertical="center"/>
    </xf>
    <xf numFmtId="0" fontId="3" fillId="0" borderId="0" xfId="20" applyNumberFormat="1" applyBorder="1" applyAlignment="1">
      <alignment vertical="center"/>
    </xf>
    <xf numFmtId="0" fontId="13" fillId="0" borderId="0" xfId="2" applyNumberFormat="1" applyBorder="1" applyAlignment="1" applyProtection="1">
      <alignment vertical="center"/>
    </xf>
    <xf numFmtId="0" fontId="3" fillId="0" borderId="0" xfId="9" applyBorder="1" applyAlignment="1">
      <alignment vertical="center"/>
    </xf>
    <xf numFmtId="0" fontId="3" fillId="0" borderId="0" xfId="19" applyFont="1" applyBorder="1" applyAlignment="1">
      <alignment wrapText="1"/>
    </xf>
    <xf numFmtId="0" fontId="3" fillId="0" borderId="0" xfId="19" applyNumberFormat="1" applyFont="1" applyBorder="1" applyAlignment="1">
      <alignment wrapText="1"/>
    </xf>
    <xf numFmtId="0" fontId="19" fillId="0" borderId="0" xfId="0" applyFont="1" applyBorder="1" applyAlignment="1">
      <alignment vertical="center"/>
    </xf>
    <xf numFmtId="0" fontId="19" fillId="0" borderId="0" xfId="0" applyFont="1" applyBorder="1" applyAlignment="1">
      <alignment horizontal="left" vertical="center"/>
    </xf>
    <xf numFmtId="0" fontId="13" fillId="0" borderId="0" xfId="2" applyFill="1" applyBorder="1" applyAlignment="1" applyProtection="1">
      <alignment horizontal="justify" vertical="center"/>
    </xf>
    <xf numFmtId="0" fontId="0" fillId="0" borderId="0" xfId="0" applyNumberFormat="1" applyBorder="1" applyAlignment="1">
      <alignment vertical="center"/>
    </xf>
    <xf numFmtId="0" fontId="3" fillId="0" borderId="0" xfId="0" applyFont="1" applyBorder="1" applyAlignment="1">
      <alignment vertical="center"/>
    </xf>
    <xf numFmtId="0" fontId="3" fillId="0" borderId="0" xfId="0" applyFont="1" applyBorder="1" applyAlignment="1">
      <alignment horizontal="justify" vertical="center" wrapText="1"/>
    </xf>
    <xf numFmtId="0" fontId="3" fillId="0" borderId="0" xfId="0" applyFont="1" applyAlignment="1">
      <alignment vertical="center" wrapText="1"/>
    </xf>
    <xf numFmtId="0" fontId="3" fillId="0" borderId="0" xfId="17" applyFont="1" applyFill="1" applyBorder="1" applyAlignment="1">
      <alignment vertical="center" wrapText="1"/>
    </xf>
    <xf numFmtId="0" fontId="17" fillId="0" borderId="0" xfId="17" applyFont="1" applyFill="1" applyAlignment="1">
      <alignment vertical="center" wrapText="1"/>
    </xf>
    <xf numFmtId="0" fontId="32" fillId="0" borderId="0" xfId="17" applyFont="1" applyFill="1" applyBorder="1" applyAlignment="1">
      <alignment horizontal="right" vertical="center"/>
    </xf>
    <xf numFmtId="0" fontId="3" fillId="0" borderId="0" xfId="17" applyFont="1" applyFill="1" applyBorder="1" applyAlignment="1">
      <alignment vertical="center"/>
    </xf>
    <xf numFmtId="0" fontId="3" fillId="0" borderId="0" xfId="17" applyFont="1" applyFill="1"/>
    <xf numFmtId="0" fontId="26" fillId="0" borderId="0" xfId="17" applyFont="1" applyFill="1"/>
    <xf numFmtId="0" fontId="3" fillId="0" borderId="5" xfId="17" applyFont="1" applyFill="1" applyBorder="1" applyAlignment="1">
      <alignment horizontal="center"/>
    </xf>
    <xf numFmtId="0" fontId="86" fillId="0" borderId="5" xfId="17" applyFont="1" applyFill="1" applyBorder="1" applyAlignment="1">
      <alignment horizontal="center" vertical="top" wrapText="1"/>
    </xf>
    <xf numFmtId="0" fontId="86" fillId="0" borderId="5" xfId="17" applyNumberFormat="1" applyFont="1" applyFill="1" applyBorder="1" applyAlignment="1">
      <alignment horizontal="center" vertical="top" wrapText="1"/>
    </xf>
    <xf numFmtId="43" fontId="3" fillId="0" borderId="0" xfId="17" applyNumberFormat="1" applyFont="1" applyFill="1"/>
    <xf numFmtId="0" fontId="17" fillId="0" borderId="0" xfId="17" applyFont="1" applyFill="1"/>
    <xf numFmtId="43" fontId="3" fillId="0" borderId="0" xfId="21" applyFont="1" applyFill="1"/>
    <xf numFmtId="180" fontId="3" fillId="0" borderId="0" xfId="22" applyNumberFormat="1" applyFont="1" applyFill="1"/>
    <xf numFmtId="172" fontId="3" fillId="0" borderId="0" xfId="17" applyNumberFormat="1" applyFont="1" applyFill="1"/>
    <xf numFmtId="164" fontId="3" fillId="0" borderId="0" xfId="17" applyNumberFormat="1" applyFont="1" applyFill="1"/>
    <xf numFmtId="179" fontId="0" fillId="0" borderId="0" xfId="0" applyNumberFormat="1"/>
    <xf numFmtId="0" fontId="3" fillId="0" borderId="0" xfId="0" applyFont="1" applyFill="1" applyBorder="1"/>
    <xf numFmtId="0" fontId="1" fillId="0" borderId="0" xfId="20" applyFont="1"/>
    <xf numFmtId="43" fontId="3" fillId="0" borderId="0" xfId="20" applyNumberFormat="1"/>
    <xf numFmtId="0" fontId="3" fillId="0" borderId="0" xfId="20"/>
    <xf numFmtId="180" fontId="1" fillId="0" borderId="0" xfId="22" applyNumberFormat="1" applyFont="1"/>
    <xf numFmtId="3" fontId="3" fillId="0" borderId="0" xfId="20" applyNumberFormat="1"/>
    <xf numFmtId="0" fontId="33" fillId="0" borderId="119" xfId="9" applyFont="1" applyBorder="1" applyAlignment="1">
      <alignment horizontal="center" vertical="center" wrapText="1"/>
    </xf>
    <xf numFmtId="0" fontId="33" fillId="0" borderId="120" xfId="9" applyFont="1" applyBorder="1" applyAlignment="1">
      <alignment horizontal="center" vertical="center" wrapText="1"/>
    </xf>
    <xf numFmtId="0" fontId="33" fillId="0" borderId="117" xfId="9" applyFont="1" applyBorder="1" applyAlignment="1">
      <alignment horizontal="center" vertical="center" wrapText="1"/>
    </xf>
    <xf numFmtId="0" fontId="33" fillId="0" borderId="118" xfId="9" applyFont="1" applyBorder="1" applyAlignment="1">
      <alignment horizontal="center" vertical="center" wrapText="1"/>
    </xf>
    <xf numFmtId="0" fontId="17" fillId="0" borderId="19" xfId="17" applyFont="1" applyBorder="1" applyAlignment="1">
      <alignment horizontal="left" vertical="center"/>
    </xf>
    <xf numFmtId="0" fontId="17" fillId="0" borderId="17" xfId="17" applyFont="1" applyBorder="1" applyAlignment="1">
      <alignment horizontal="left" vertical="center"/>
    </xf>
    <xf numFmtId="0" fontId="3" fillId="0" borderId="0" xfId="19" applyNumberFormat="1" applyFont="1" applyBorder="1" applyAlignment="1">
      <alignment horizontal="left" wrapText="1"/>
    </xf>
    <xf numFmtId="0" fontId="19" fillId="7" borderId="87" xfId="0" applyFont="1" applyFill="1" applyBorder="1" applyAlignment="1">
      <alignment vertical="center" wrapText="1"/>
    </xf>
    <xf numFmtId="0" fontId="0" fillId="0" borderId="30" xfId="0" applyBorder="1" applyAlignment="1">
      <alignment wrapText="1"/>
    </xf>
    <xf numFmtId="0" fontId="0" fillId="7" borderId="87" xfId="0" applyFill="1" applyBorder="1" applyAlignment="1">
      <alignment vertical="center" wrapText="1"/>
    </xf>
    <xf numFmtId="0" fontId="0" fillId="0" borderId="88" xfId="0" applyBorder="1" applyAlignment="1">
      <alignment wrapText="1"/>
    </xf>
    <xf numFmtId="0" fontId="16" fillId="0" borderId="2" xfId="0" applyFont="1" applyBorder="1" applyAlignment="1">
      <alignment horizontal="center"/>
    </xf>
    <xf numFmtId="0" fontId="17" fillId="0" borderId="89" xfId="0" applyFont="1" applyBorder="1" applyAlignment="1">
      <alignment horizontal="center"/>
    </xf>
    <xf numFmtId="0" fontId="17" fillId="0" borderId="57" xfId="0" applyFont="1" applyBorder="1" applyAlignment="1">
      <alignment horizontal="center"/>
    </xf>
    <xf numFmtId="0" fontId="17" fillId="0" borderId="58" xfId="0" applyFont="1" applyBorder="1" applyAlignment="1">
      <alignment horizontal="center"/>
    </xf>
    <xf numFmtId="0" fontId="40" fillId="0" borderId="0" xfId="0" applyFont="1" applyBorder="1" applyAlignment="1">
      <alignment horizontal="center" vertical="center" wrapText="1"/>
    </xf>
    <xf numFmtId="0" fontId="17" fillId="0" borderId="0" xfId="0" applyFont="1" applyFill="1" applyAlignment="1">
      <alignment horizontal="left" vertical="center" wrapText="1"/>
    </xf>
    <xf numFmtId="0" fontId="33" fillId="0" borderId="0" xfId="0" applyFont="1" applyAlignment="1">
      <alignment horizontal="left" vertical="center" wrapText="1"/>
    </xf>
    <xf numFmtId="0" fontId="0" fillId="0" borderId="0" xfId="0" applyAlignment="1">
      <alignment horizontal="left" wrapText="1"/>
    </xf>
    <xf numFmtId="0" fontId="23" fillId="0" borderId="22" xfId="0" applyFont="1" applyFill="1" applyBorder="1" applyAlignment="1">
      <alignment horizontal="left" vertical="center"/>
    </xf>
    <xf numFmtId="0" fontId="23" fillId="0" borderId="86" xfId="0" applyFont="1" applyFill="1" applyBorder="1" applyAlignment="1">
      <alignment horizontal="left" vertical="center"/>
    </xf>
    <xf numFmtId="0" fontId="16" fillId="0" borderId="78" xfId="0" applyFont="1" applyBorder="1" applyAlignment="1">
      <alignment vertical="center"/>
    </xf>
    <xf numFmtId="0" fontId="16" fillId="0" borderId="2" xfId="0" applyFont="1" applyBorder="1" applyAlignment="1">
      <alignment vertical="center"/>
    </xf>
    <xf numFmtId="0" fontId="16" fillId="0" borderId="8" xfId="0" applyFont="1" applyBorder="1" applyAlignment="1">
      <alignment horizontal="center"/>
    </xf>
    <xf numFmtId="0" fontId="16" fillId="0" borderId="7" xfId="0" applyFont="1" applyBorder="1" applyAlignment="1">
      <alignment horizontal="center"/>
    </xf>
    <xf numFmtId="0" fontId="16" fillId="0" borderId="10" xfId="0" applyFont="1" applyBorder="1" applyAlignment="1">
      <alignment horizontal="center"/>
    </xf>
    <xf numFmtId="0" fontId="33" fillId="0" borderId="119" xfId="16" applyFont="1" applyBorder="1" applyAlignment="1">
      <alignment horizontal="center" vertical="center" wrapText="1"/>
    </xf>
    <xf numFmtId="0" fontId="33" fillId="0" borderId="120" xfId="16" applyFont="1" applyBorder="1" applyAlignment="1">
      <alignment horizontal="center" vertical="center" wrapText="1"/>
    </xf>
    <xf numFmtId="0" fontId="33" fillId="0" borderId="117" xfId="16" applyFont="1" applyBorder="1" applyAlignment="1">
      <alignment horizontal="center" vertical="center" wrapText="1"/>
    </xf>
    <xf numFmtId="0" fontId="33" fillId="0" borderId="118" xfId="16" applyFont="1" applyBorder="1" applyAlignment="1">
      <alignment horizontal="center" vertical="center" wrapText="1"/>
    </xf>
    <xf numFmtId="0" fontId="9" fillId="6" borderId="90" xfId="0" applyFont="1" applyFill="1" applyBorder="1" applyAlignment="1">
      <alignment horizontal="center"/>
    </xf>
    <xf numFmtId="0" fontId="9" fillId="6" borderId="32" xfId="0" applyFont="1" applyFill="1" applyBorder="1" applyAlignment="1">
      <alignment horizontal="center"/>
    </xf>
    <xf numFmtId="0" fontId="0" fillId="4" borderId="88" xfId="0" applyFill="1" applyBorder="1" applyAlignment="1">
      <alignment horizontal="left"/>
    </xf>
    <xf numFmtId="0" fontId="0" fillId="4" borderId="5" xfId="0" applyFill="1" applyBorder="1" applyAlignment="1">
      <alignment horizontal="left"/>
    </xf>
    <xf numFmtId="0" fontId="0" fillId="2" borderId="7" xfId="0" applyFill="1" applyBorder="1" applyAlignment="1">
      <alignment horizontal="center"/>
    </xf>
    <xf numFmtId="0" fontId="17" fillId="0" borderId="91" xfId="0" applyFont="1" applyFill="1" applyBorder="1" applyAlignment="1">
      <alignment horizontal="left" vertical="center" wrapText="1"/>
    </xf>
    <xf numFmtId="0" fontId="17" fillId="0" borderId="92" xfId="0" applyFont="1" applyFill="1" applyBorder="1" applyAlignment="1">
      <alignment horizontal="left" vertical="center" wrapText="1"/>
    </xf>
    <xf numFmtId="3" fontId="74" fillId="18" borderId="11" xfId="13" applyNumberFormat="1" applyFont="1" applyFill="1" applyBorder="1" applyAlignment="1">
      <alignment horizontal="center" vertical="center" wrapText="1"/>
    </xf>
    <xf numFmtId="0" fontId="69" fillId="10" borderId="59" xfId="9" applyFont="1" applyFill="1" applyBorder="1" applyAlignment="1">
      <alignment horizontal="center" vertical="center" wrapText="1"/>
    </xf>
    <xf numFmtId="0" fontId="69" fillId="10" borderId="102" xfId="9" applyFont="1" applyFill="1" applyBorder="1" applyAlignment="1">
      <alignment horizontal="center" vertical="center" wrapText="1"/>
    </xf>
    <xf numFmtId="0" fontId="53" fillId="11" borderId="30" xfId="9" applyFont="1" applyFill="1" applyBorder="1" applyAlignment="1">
      <alignment horizontal="center" vertical="center" wrapText="1"/>
    </xf>
    <xf numFmtId="0" fontId="53" fillId="11" borderId="2" xfId="9" applyFont="1" applyFill="1" applyBorder="1" applyAlignment="1">
      <alignment horizontal="center" vertical="center" wrapText="1"/>
    </xf>
    <xf numFmtId="0" fontId="53" fillId="11" borderId="113" xfId="9" applyFont="1" applyFill="1" applyBorder="1" applyAlignment="1">
      <alignment horizontal="center" vertical="center" wrapText="1"/>
    </xf>
    <xf numFmtId="0" fontId="53" fillId="0" borderId="59" xfId="9" applyFont="1" applyBorder="1" applyAlignment="1">
      <alignment horizontal="center" vertical="center"/>
    </xf>
    <xf numFmtId="0" fontId="53" fillId="0" borderId="102" xfId="9" applyFont="1" applyBorder="1" applyAlignment="1">
      <alignment horizontal="center" vertical="center"/>
    </xf>
    <xf numFmtId="0" fontId="53" fillId="0" borderId="60" xfId="9" applyFont="1" applyBorder="1" applyAlignment="1">
      <alignment horizontal="center" vertical="center"/>
    </xf>
    <xf numFmtId="0" fontId="53" fillId="12" borderId="101" xfId="9" applyFont="1" applyFill="1" applyBorder="1" applyAlignment="1">
      <alignment horizontal="center" vertical="center" wrapText="1"/>
    </xf>
    <xf numFmtId="0" fontId="53" fillId="12" borderId="107" xfId="9" applyFont="1" applyFill="1" applyBorder="1" applyAlignment="1">
      <alignment horizontal="center" vertical="center" wrapText="1"/>
    </xf>
    <xf numFmtId="0" fontId="53" fillId="12" borderId="114" xfId="9" applyFont="1" applyFill="1" applyBorder="1" applyAlignment="1">
      <alignment horizontal="center" vertical="center" wrapText="1"/>
    </xf>
    <xf numFmtId="0" fontId="54" fillId="0" borderId="59" xfId="9" applyFont="1" applyBorder="1" applyAlignment="1">
      <alignment horizontal="center" vertical="center" wrapText="1"/>
    </xf>
    <xf numFmtId="0" fontId="54" fillId="0" borderId="60" xfId="9" applyFont="1" applyBorder="1" applyAlignment="1">
      <alignment horizontal="center" vertical="center" wrapText="1"/>
    </xf>
    <xf numFmtId="9" fontId="54" fillId="0" borderId="59" xfId="9" applyNumberFormat="1" applyFont="1" applyBorder="1" applyAlignment="1">
      <alignment horizontal="center" vertical="center" wrapText="1"/>
    </xf>
    <xf numFmtId="9" fontId="54" fillId="0" borderId="60" xfId="9" applyNumberFormat="1" applyFont="1" applyBorder="1" applyAlignment="1">
      <alignment horizontal="center" vertical="center" wrapText="1"/>
    </xf>
    <xf numFmtId="0" fontId="69" fillId="10" borderId="60" xfId="9" applyFont="1" applyFill="1" applyBorder="1" applyAlignment="1">
      <alignment horizontal="center" vertical="center" wrapText="1"/>
    </xf>
    <xf numFmtId="0" fontId="54" fillId="0" borderId="59" xfId="9" applyFont="1" applyBorder="1" applyAlignment="1">
      <alignment horizontal="right" vertical="center" wrapText="1"/>
    </xf>
    <xf numFmtId="0" fontId="54" fillId="0" borderId="60" xfId="9" applyFont="1" applyBorder="1" applyAlignment="1">
      <alignment horizontal="right" vertical="center" wrapText="1"/>
    </xf>
    <xf numFmtId="14" fontId="71" fillId="0" borderId="59" xfId="9" applyNumberFormat="1" applyFont="1" applyBorder="1" applyAlignment="1">
      <alignment horizontal="center" vertical="center" wrapText="1"/>
    </xf>
    <xf numFmtId="14" fontId="71" fillId="0" borderId="60" xfId="9" applyNumberFormat="1" applyFont="1" applyBorder="1" applyAlignment="1">
      <alignment horizontal="center" vertical="center" wrapText="1"/>
    </xf>
    <xf numFmtId="0" fontId="53" fillId="13" borderId="101" xfId="9" applyFont="1" applyFill="1" applyBorder="1" applyAlignment="1">
      <alignment horizontal="center" vertical="center" wrapText="1"/>
    </xf>
    <xf numFmtId="0" fontId="53" fillId="13" borderId="107" xfId="9" applyFont="1" applyFill="1" applyBorder="1" applyAlignment="1">
      <alignment horizontal="center" vertical="center" wrapText="1"/>
    </xf>
    <xf numFmtId="0" fontId="53" fillId="13" borderId="114" xfId="9" applyFont="1" applyFill="1" applyBorder="1" applyAlignment="1">
      <alignment horizontal="center" vertical="center" wrapText="1"/>
    </xf>
    <xf numFmtId="0" fontId="70" fillId="0" borderId="59" xfId="9" applyFont="1" applyBorder="1" applyAlignment="1">
      <alignment horizontal="center" vertical="center" wrapText="1"/>
    </xf>
    <xf numFmtId="0" fontId="70" fillId="0" borderId="60" xfId="9" applyFont="1" applyBorder="1" applyAlignment="1">
      <alignment horizontal="center" vertical="center" wrapText="1"/>
    </xf>
    <xf numFmtId="9" fontId="70" fillId="0" borderId="59" xfId="9" applyNumberFormat="1" applyFont="1" applyBorder="1" applyAlignment="1">
      <alignment horizontal="center" vertical="center" wrapText="1"/>
    </xf>
    <xf numFmtId="9" fontId="70" fillId="0" borderId="60" xfId="9" applyNumberFormat="1" applyFont="1" applyBorder="1" applyAlignment="1">
      <alignment horizontal="center" vertical="center" wrapText="1"/>
    </xf>
    <xf numFmtId="0" fontId="70" fillId="0" borderId="59" xfId="9" applyFont="1" applyBorder="1" applyAlignment="1">
      <alignment horizontal="right" vertical="center" wrapText="1"/>
    </xf>
    <xf numFmtId="0" fontId="70" fillId="0" borderId="60" xfId="9" applyFont="1" applyBorder="1" applyAlignment="1">
      <alignment horizontal="right" vertical="center" wrapText="1"/>
    </xf>
    <xf numFmtId="0" fontId="53" fillId="10" borderId="101" xfId="9" applyFont="1" applyFill="1" applyBorder="1" applyAlignment="1">
      <alignment horizontal="center" vertical="center" wrapText="1"/>
    </xf>
    <xf numFmtId="0" fontId="53" fillId="10" borderId="107" xfId="9" applyFont="1" applyFill="1" applyBorder="1" applyAlignment="1">
      <alignment horizontal="center" vertical="center" wrapText="1"/>
    </xf>
    <xf numFmtId="0" fontId="53" fillId="10" borderId="114" xfId="9" applyFont="1" applyFill="1" applyBorder="1" applyAlignment="1">
      <alignment horizontal="center" vertical="center" wrapText="1"/>
    </xf>
    <xf numFmtId="0" fontId="53" fillId="0" borderId="59" xfId="9" applyFont="1" applyBorder="1" applyAlignment="1">
      <alignment horizontal="center" vertical="center" wrapText="1"/>
    </xf>
    <xf numFmtId="0" fontId="53" fillId="0" borderId="60" xfId="9" applyFont="1" applyBorder="1" applyAlignment="1">
      <alignment horizontal="center" vertical="center" wrapText="1"/>
    </xf>
    <xf numFmtId="0" fontId="54" fillId="0" borderId="101" xfId="9" applyFont="1" applyBorder="1" applyAlignment="1">
      <alignment vertical="center" wrapText="1"/>
    </xf>
    <xf numFmtId="0" fontId="54" fillId="0" borderId="61" xfId="9" applyFont="1" applyBorder="1" applyAlignment="1">
      <alignment vertical="center" wrapText="1"/>
    </xf>
    <xf numFmtId="0" fontId="53" fillId="14" borderId="101" xfId="9" applyFont="1" applyFill="1" applyBorder="1" applyAlignment="1">
      <alignment horizontal="center" vertical="center" wrapText="1"/>
    </xf>
    <xf numFmtId="0" fontId="53" fillId="14" borderId="107" xfId="9" applyFont="1" applyFill="1" applyBorder="1" applyAlignment="1">
      <alignment horizontal="center" vertical="center" wrapText="1"/>
    </xf>
    <xf numFmtId="0" fontId="53" fillId="14" borderId="114" xfId="9" applyFont="1" applyFill="1" applyBorder="1" applyAlignment="1">
      <alignment horizontal="center" vertical="center" wrapText="1"/>
    </xf>
    <xf numFmtId="0" fontId="53" fillId="15" borderId="101" xfId="9" applyFont="1" applyFill="1" applyBorder="1" applyAlignment="1">
      <alignment horizontal="center" vertical="center" wrapText="1"/>
    </xf>
    <xf numFmtId="0" fontId="53" fillId="15" borderId="107" xfId="9" applyFont="1" applyFill="1" applyBorder="1" applyAlignment="1">
      <alignment horizontal="center" vertical="center" wrapText="1"/>
    </xf>
    <xf numFmtId="0" fontId="53" fillId="15" borderId="114" xfId="9" applyFont="1" applyFill="1" applyBorder="1" applyAlignment="1">
      <alignment horizontal="center" vertical="center" wrapText="1"/>
    </xf>
    <xf numFmtId="0" fontId="53" fillId="16" borderId="101" xfId="9" applyFont="1" applyFill="1" applyBorder="1" applyAlignment="1">
      <alignment horizontal="center" vertical="center" wrapText="1"/>
    </xf>
    <xf numFmtId="0" fontId="53" fillId="16" borderId="107" xfId="9" applyFont="1" applyFill="1" applyBorder="1" applyAlignment="1">
      <alignment horizontal="center" vertical="center" wrapText="1"/>
    </xf>
    <xf numFmtId="0" fontId="53" fillId="16" borderId="114" xfId="9" applyFont="1" applyFill="1" applyBorder="1" applyAlignment="1">
      <alignment horizontal="center" vertical="center" wrapText="1"/>
    </xf>
    <xf numFmtId="0" fontId="9" fillId="6" borderId="1" xfId="0" applyFont="1" applyFill="1" applyBorder="1" applyAlignment="1">
      <alignment horizontal="center"/>
    </xf>
    <xf numFmtId="0" fontId="9" fillId="6" borderId="0" xfId="0" applyFont="1" applyFill="1" applyBorder="1" applyAlignment="1">
      <alignment horizontal="center"/>
    </xf>
    <xf numFmtId="164" fontId="19" fillId="0" borderId="11" xfId="0" applyNumberFormat="1" applyFont="1" applyBorder="1" applyAlignment="1">
      <alignment horizontal="center" vertical="center"/>
    </xf>
    <xf numFmtId="164" fontId="19" fillId="0" borderId="8" xfId="0" applyNumberFormat="1" applyFont="1" applyBorder="1" applyAlignment="1">
      <alignment horizontal="center" vertical="center"/>
    </xf>
    <xf numFmtId="9" fontId="19" fillId="0" borderId="20" xfId="7" applyFont="1" applyBorder="1" applyAlignment="1">
      <alignment horizontal="center" vertical="center"/>
    </xf>
    <xf numFmtId="9" fontId="19" fillId="0" borderId="93" xfId="7" applyFont="1" applyBorder="1" applyAlignment="1">
      <alignment horizontal="center" vertical="center"/>
    </xf>
    <xf numFmtId="0" fontId="17" fillId="0" borderId="76" xfId="0" applyFont="1" applyBorder="1" applyAlignment="1">
      <alignment horizontal="center" vertical="center" wrapText="1"/>
    </xf>
    <xf numFmtId="0" fontId="17" fillId="0" borderId="77" xfId="0" applyFont="1" applyBorder="1" applyAlignment="1">
      <alignment horizontal="center" vertical="center" wrapText="1"/>
    </xf>
    <xf numFmtId="164" fontId="17" fillId="0" borderId="11" xfId="7" applyNumberFormat="1" applyFont="1" applyBorder="1" applyAlignment="1">
      <alignment horizontal="center" vertical="center" wrapText="1"/>
    </xf>
    <xf numFmtId="164" fontId="17" fillId="0" borderId="53" xfId="7" applyNumberFormat="1" applyFont="1" applyBorder="1" applyAlignment="1">
      <alignment horizontal="center" vertical="center" wrapText="1"/>
    </xf>
    <xf numFmtId="0" fontId="17" fillId="0" borderId="76" xfId="0" applyFont="1" applyBorder="1" applyAlignment="1">
      <alignment horizontal="center" vertical="center"/>
    </xf>
    <xf numFmtId="0" fontId="17" fillId="0" borderId="94" xfId="0" applyFont="1" applyBorder="1" applyAlignment="1">
      <alignment horizontal="center" vertical="center"/>
    </xf>
    <xf numFmtId="0" fontId="19" fillId="0" borderId="101" xfId="0" applyFont="1" applyBorder="1" applyAlignment="1">
      <alignment vertical="top" wrapText="1"/>
    </xf>
    <xf numFmtId="0" fontId="19" fillId="0" borderId="107" xfId="0" applyFont="1" applyBorder="1" applyAlignment="1">
      <alignment vertical="top" wrapText="1"/>
    </xf>
    <xf numFmtId="0" fontId="19" fillId="0" borderId="61" xfId="0" applyFont="1" applyBorder="1" applyAlignment="1">
      <alignment vertical="top" wrapText="1"/>
    </xf>
    <xf numFmtId="0" fontId="54" fillId="0" borderId="22" xfId="0" applyFont="1" applyBorder="1" applyAlignment="1">
      <alignment vertical="top" wrapText="1"/>
    </xf>
    <xf numFmtId="0" fontId="54" fillId="0" borderId="26" xfId="0" applyFont="1" applyBorder="1" applyAlignment="1">
      <alignment horizontal="left" vertical="top" wrapText="1"/>
    </xf>
    <xf numFmtId="0" fontId="54" fillId="0" borderId="25" xfId="0" applyFont="1" applyBorder="1" applyAlignment="1">
      <alignment horizontal="left" vertical="top" wrapText="1"/>
    </xf>
    <xf numFmtId="0" fontId="54" fillId="0" borderId="78" xfId="0" applyFont="1" applyBorder="1" applyAlignment="1">
      <alignment horizontal="left" vertical="top" wrapText="1"/>
    </xf>
    <xf numFmtId="0" fontId="0" fillId="0" borderId="1" xfId="0" applyBorder="1" applyAlignment="1">
      <alignment vertical="top" wrapText="1"/>
    </xf>
    <xf numFmtId="0" fontId="0" fillId="0" borderId="0" xfId="0" applyBorder="1" applyAlignment="1">
      <alignment vertical="top" wrapText="1"/>
    </xf>
    <xf numFmtId="0" fontId="0" fillId="0" borderId="4" xfId="0" applyBorder="1" applyAlignment="1">
      <alignment vertical="top" wrapText="1"/>
    </xf>
    <xf numFmtId="0" fontId="4" fillId="0" borderId="8" xfId="0" applyFont="1" applyBorder="1" applyAlignment="1">
      <alignment vertical="center"/>
    </xf>
    <xf numFmtId="0" fontId="4" fillId="0" borderId="7" xfId="0" applyFont="1" applyBorder="1" applyAlignment="1">
      <alignment vertical="center"/>
    </xf>
    <xf numFmtId="0" fontId="4" fillId="0" borderId="10" xfId="0" applyFont="1" applyBorder="1" applyAlignment="1">
      <alignment vertical="center"/>
    </xf>
    <xf numFmtId="0" fontId="88" fillId="0" borderId="52" xfId="0" applyFont="1" applyBorder="1" applyAlignment="1">
      <alignment vertical="top" wrapText="1"/>
    </xf>
    <xf numFmtId="0" fontId="88" fillId="0" borderId="11" xfId="0" applyFont="1" applyBorder="1" applyAlignment="1">
      <alignment vertical="top" wrapText="1"/>
    </xf>
    <xf numFmtId="0" fontId="54" fillId="0" borderId="26" xfId="0" applyFont="1" applyBorder="1" applyAlignment="1">
      <alignment vertical="top" wrapText="1"/>
    </xf>
    <xf numFmtId="0" fontId="54" fillId="0" borderId="25" xfId="0" applyFont="1" applyBorder="1" applyAlignment="1">
      <alignment vertical="top" wrapText="1"/>
    </xf>
    <xf numFmtId="0" fontId="54" fillId="0" borderId="78" xfId="0" applyFont="1" applyBorder="1" applyAlignment="1">
      <alignment vertical="top" wrapText="1"/>
    </xf>
    <xf numFmtId="0" fontId="0" fillId="0" borderId="13" xfId="0" applyBorder="1" applyAlignment="1"/>
    <xf numFmtId="0" fontId="0" fillId="0" borderId="5" xfId="0" applyBorder="1" applyAlignment="1"/>
    <xf numFmtId="0" fontId="0" fillId="0" borderId="9" xfId="0" applyBorder="1" applyAlignment="1"/>
    <xf numFmtId="0" fontId="88" fillId="0" borderId="87" xfId="0" applyFont="1" applyBorder="1" applyAlignment="1">
      <alignment vertical="top" wrapText="1"/>
    </xf>
    <xf numFmtId="0" fontId="88" fillId="0" borderId="25" xfId="0" applyFont="1" applyBorder="1" applyAlignment="1">
      <alignment vertical="top" wrapText="1"/>
    </xf>
    <xf numFmtId="0" fontId="88" fillId="0" borderId="78" xfId="0" applyFont="1" applyBorder="1" applyAlignment="1">
      <alignment vertical="top" wrapText="1"/>
    </xf>
    <xf numFmtId="0" fontId="88" fillId="0" borderId="14" xfId="0" applyFont="1" applyBorder="1" applyAlignment="1">
      <alignment vertical="top" wrapText="1"/>
    </xf>
    <xf numFmtId="0" fontId="88" fillId="0" borderId="0" xfId="0" applyFont="1" applyBorder="1" applyAlignment="1">
      <alignment vertical="top" wrapText="1"/>
    </xf>
    <xf numFmtId="0" fontId="88" fillId="0" borderId="4" xfId="0" applyFont="1" applyBorder="1" applyAlignment="1">
      <alignment vertical="top" wrapText="1"/>
    </xf>
    <xf numFmtId="0" fontId="88" fillId="0" borderId="30" xfId="0" applyFont="1" applyBorder="1" applyAlignment="1">
      <alignment vertical="top" wrapText="1"/>
    </xf>
    <xf numFmtId="0" fontId="88" fillId="0" borderId="2" xfId="0" applyFont="1" applyBorder="1" applyAlignment="1">
      <alignment vertical="top" wrapText="1"/>
    </xf>
    <xf numFmtId="0" fontId="88" fillId="0" borderId="16" xfId="0" applyFont="1" applyBorder="1" applyAlignment="1">
      <alignment vertical="top" wrapText="1"/>
    </xf>
    <xf numFmtId="0" fontId="4" fillId="0" borderId="110" xfId="0" applyFont="1" applyBorder="1" applyAlignment="1">
      <alignment vertical="top" wrapText="1"/>
    </xf>
    <xf numFmtId="0" fontId="4" fillId="0" borderId="111" xfId="0" applyFont="1" applyBorder="1" applyAlignment="1">
      <alignment vertical="top" wrapText="1"/>
    </xf>
    <xf numFmtId="0" fontId="0" fillId="0" borderId="111" xfId="0" applyBorder="1" applyAlignment="1">
      <alignment vertical="center"/>
    </xf>
    <xf numFmtId="0" fontId="54" fillId="0" borderId="11" xfId="0" applyFont="1" applyBorder="1" applyAlignment="1">
      <alignment vertical="top" wrapText="1"/>
    </xf>
    <xf numFmtId="0" fontId="54" fillId="0" borderId="11" xfId="0" applyFont="1" applyBorder="1" applyAlignment="1">
      <alignment horizontal="left" vertical="top" wrapText="1"/>
    </xf>
    <xf numFmtId="0" fontId="4" fillId="0" borderId="8" xfId="0" applyFont="1" applyBorder="1" applyAlignment="1">
      <alignment vertical="center" wrapText="1"/>
    </xf>
    <xf numFmtId="0" fontId="4" fillId="0" borderId="7" xfId="0" applyFont="1" applyBorder="1" applyAlignment="1">
      <alignment vertical="center" wrapText="1"/>
    </xf>
    <xf numFmtId="0" fontId="4" fillId="0" borderId="10" xfId="0" applyFont="1" applyBorder="1" applyAlignment="1">
      <alignment vertical="center" wrapText="1"/>
    </xf>
    <xf numFmtId="0" fontId="17" fillId="0" borderId="13"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9" fillId="6" borderId="97" xfId="0" applyFont="1" applyFill="1" applyBorder="1" applyAlignment="1">
      <alignment horizontal="center" vertical="center"/>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53" fillId="0" borderId="76" xfId="0" applyFont="1" applyBorder="1" applyAlignment="1">
      <alignment vertical="top" wrapText="1"/>
    </xf>
    <xf numFmtId="0" fontId="53" fillId="0" borderId="52" xfId="0" applyFont="1" applyBorder="1" applyAlignment="1">
      <alignment vertical="top" wrapText="1"/>
    </xf>
    <xf numFmtId="0" fontId="53" fillId="0" borderId="11" xfId="0" applyFont="1" applyBorder="1" applyAlignment="1">
      <alignment vertical="top" wrapText="1"/>
    </xf>
    <xf numFmtId="0" fontId="52" fillId="0" borderId="96" xfId="0" applyFont="1" applyBorder="1"/>
    <xf numFmtId="0" fontId="52" fillId="0" borderId="95" xfId="0" applyFont="1" applyBorder="1"/>
    <xf numFmtId="0" fontId="52" fillId="0" borderId="51" xfId="0" applyFont="1" applyBorder="1"/>
    <xf numFmtId="0" fontId="53" fillId="0" borderId="94" xfId="0" applyFont="1" applyBorder="1" applyAlignment="1">
      <alignment vertical="top" wrapText="1"/>
    </xf>
    <xf numFmtId="0" fontId="53" fillId="0" borderId="95" xfId="0" applyFont="1" applyBorder="1" applyAlignment="1">
      <alignment vertical="top" wrapText="1"/>
    </xf>
    <xf numFmtId="0" fontId="53" fillId="0" borderId="51" xfId="0" applyFont="1" applyBorder="1" applyAlignment="1">
      <alignment vertical="top" wrapText="1"/>
    </xf>
    <xf numFmtId="0" fontId="36" fillId="6" borderId="97" xfId="0" applyFont="1" applyFill="1" applyBorder="1" applyAlignment="1">
      <alignment horizontal="center"/>
    </xf>
    <xf numFmtId="0" fontId="36" fillId="6" borderId="48" xfId="0" applyFont="1" applyFill="1" applyBorder="1" applyAlignment="1">
      <alignment horizontal="center"/>
    </xf>
    <xf numFmtId="0" fontId="36" fillId="6" borderId="49" xfId="0" applyFont="1" applyFill="1" applyBorder="1" applyAlignment="1">
      <alignment horizontal="center"/>
    </xf>
    <xf numFmtId="0" fontId="17" fillId="0" borderId="98" xfId="0" applyFont="1" applyFill="1" applyBorder="1" applyAlignment="1">
      <alignment horizontal="left" vertical="center" wrapText="1"/>
    </xf>
    <xf numFmtId="0" fontId="17" fillId="0" borderId="99" xfId="0" applyFont="1" applyFill="1" applyBorder="1" applyAlignment="1">
      <alignment horizontal="left" vertical="center" wrapText="1"/>
    </xf>
    <xf numFmtId="0" fontId="17" fillId="0" borderId="100" xfId="0" applyFont="1" applyFill="1" applyBorder="1" applyAlignment="1">
      <alignment horizontal="left" vertical="center" wrapText="1"/>
    </xf>
    <xf numFmtId="0" fontId="4" fillId="0" borderId="0" xfId="0" applyFont="1" applyBorder="1" applyAlignment="1">
      <alignment wrapText="1"/>
    </xf>
    <xf numFmtId="0" fontId="60" fillId="0" borderId="71" xfId="0" applyFont="1" applyBorder="1" applyAlignment="1">
      <alignment horizontal="center" wrapText="1"/>
    </xf>
    <xf numFmtId="0" fontId="60" fillId="0" borderId="60" xfId="0" applyFont="1" applyBorder="1" applyAlignment="1">
      <alignment horizontal="center" wrapText="1"/>
    </xf>
    <xf numFmtId="0" fontId="55" fillId="0" borderId="101" xfId="0" applyFont="1" applyBorder="1" applyAlignment="1">
      <alignment horizontal="center"/>
    </xf>
    <xf numFmtId="0" fontId="55" fillId="0" borderId="61" xfId="0" applyFont="1" applyBorder="1" applyAlignment="1">
      <alignment horizontal="center"/>
    </xf>
    <xf numFmtId="0" fontId="55" fillId="0" borderId="59" xfId="0" applyFont="1" applyBorder="1" applyAlignment="1">
      <alignment horizontal="center" vertical="top" wrapText="1"/>
    </xf>
    <xf numFmtId="0" fontId="55" fillId="0" borderId="102" xfId="0" applyFont="1" applyBorder="1" applyAlignment="1">
      <alignment horizontal="center" vertical="top" wrapText="1"/>
    </xf>
    <xf numFmtId="0" fontId="55" fillId="0" borderId="60" xfId="0" applyFont="1" applyBorder="1" applyAlignment="1">
      <alignment horizontal="center" vertical="top" wrapText="1"/>
    </xf>
    <xf numFmtId="0" fontId="55" fillId="0" borderId="59" xfId="0" applyFont="1" applyBorder="1"/>
    <xf numFmtId="0" fontId="55" fillId="0" borderId="60" xfId="0" applyFont="1" applyBorder="1"/>
    <xf numFmtId="0" fontId="16" fillId="4" borderId="103" xfId="0" applyFont="1" applyFill="1" applyBorder="1" applyAlignment="1">
      <alignment horizontal="center"/>
    </xf>
    <xf numFmtId="0" fontId="16" fillId="4" borderId="79" xfId="0" applyFont="1" applyFill="1" applyBorder="1" applyAlignment="1">
      <alignment horizontal="center"/>
    </xf>
    <xf numFmtId="0" fontId="16" fillId="4" borderId="40" xfId="0" applyFont="1" applyFill="1" applyBorder="1" applyAlignment="1">
      <alignment horizontal="center"/>
    </xf>
    <xf numFmtId="0" fontId="16" fillId="4" borderId="6" xfId="0" applyFont="1" applyFill="1" applyBorder="1" applyAlignment="1">
      <alignment horizontal="center"/>
    </xf>
    <xf numFmtId="0" fontId="55" fillId="0" borderId="59" xfId="0" applyFont="1" applyBorder="1" applyAlignment="1">
      <alignment horizontal="center" wrapText="1"/>
    </xf>
    <xf numFmtId="0" fontId="55" fillId="0" borderId="102" xfId="0" applyFont="1" applyBorder="1" applyAlignment="1">
      <alignment horizontal="center" wrapText="1"/>
    </xf>
    <xf numFmtId="0" fontId="55" fillId="0" borderId="60" xfId="0" applyFont="1" applyBorder="1" applyAlignment="1">
      <alignment horizontal="center" wrapText="1"/>
    </xf>
    <xf numFmtId="0" fontId="55" fillId="0" borderId="102" xfId="0" applyFont="1" applyBorder="1" applyAlignment="1">
      <alignment horizontal="center"/>
    </xf>
    <xf numFmtId="0" fontId="55" fillId="0" borderId="60" xfId="0" applyFont="1" applyBorder="1" applyAlignment="1">
      <alignment horizontal="center"/>
    </xf>
    <xf numFmtId="0" fontId="16" fillId="6" borderId="26" xfId="0" applyFont="1" applyFill="1" applyBorder="1" applyAlignment="1">
      <alignment horizontal="center"/>
    </xf>
    <xf numFmtId="0" fontId="16" fillId="6" borderId="25" xfId="0" applyFont="1" applyFill="1" applyBorder="1" applyAlignment="1">
      <alignment horizontal="center"/>
    </xf>
    <xf numFmtId="0" fontId="16" fillId="0" borderId="8"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6" borderId="97" xfId="0" applyFont="1" applyFill="1" applyBorder="1" applyAlignment="1">
      <alignment horizontal="center"/>
    </xf>
    <xf numFmtId="0" fontId="16" fillId="6" borderId="48" xfId="0" applyFont="1" applyFill="1" applyBorder="1" applyAlignment="1">
      <alignment horizontal="center"/>
    </xf>
    <xf numFmtId="0" fontId="17" fillId="0" borderId="6" xfId="0" applyFont="1" applyFill="1" applyBorder="1" applyAlignment="1">
      <alignment horizontal="center"/>
    </xf>
    <xf numFmtId="0" fontId="0" fillId="0" borderId="0" xfId="0" applyAlignment="1">
      <alignment wrapText="1"/>
    </xf>
    <xf numFmtId="0" fontId="9" fillId="6" borderId="8" xfId="0" applyFont="1" applyFill="1" applyBorder="1" applyAlignment="1">
      <alignment horizontal="center"/>
    </xf>
    <xf numFmtId="0" fontId="9" fillId="6" borderId="7" xfId="0" applyFont="1" applyFill="1" applyBorder="1" applyAlignment="1">
      <alignment horizontal="center"/>
    </xf>
    <xf numFmtId="0" fontId="9" fillId="6" borderId="10" xfId="0" applyFont="1" applyFill="1" applyBorder="1" applyAlignment="1">
      <alignment horizontal="center"/>
    </xf>
    <xf numFmtId="0" fontId="35" fillId="0" borderId="0" xfId="0" applyNumberFormat="1" applyFont="1" applyAlignment="1">
      <alignment wrapText="1"/>
    </xf>
    <xf numFmtId="0" fontId="17" fillId="0" borderId="104" xfId="0" applyFont="1" applyFill="1" applyBorder="1" applyAlignment="1">
      <alignment horizontal="left" vertical="center" wrapText="1"/>
    </xf>
    <xf numFmtId="0" fontId="17" fillId="0" borderId="105" xfId="0" applyFont="1" applyFill="1" applyBorder="1" applyAlignment="1">
      <alignment horizontal="left" vertical="center" wrapText="1"/>
    </xf>
    <xf numFmtId="0" fontId="35" fillId="0" borderId="0" xfId="0" applyFont="1" applyAlignment="1">
      <alignment wrapText="1"/>
    </xf>
    <xf numFmtId="0" fontId="65" fillId="0" borderId="0" xfId="0" applyFont="1" applyAlignment="1">
      <alignment wrapText="1"/>
    </xf>
    <xf numFmtId="0" fontId="9" fillId="6" borderId="26" xfId="0" applyFont="1" applyFill="1" applyBorder="1" applyAlignment="1">
      <alignment horizontal="center"/>
    </xf>
    <xf numFmtId="0" fontId="36" fillId="6" borderId="25" xfId="0" applyFont="1" applyFill="1" applyBorder="1" applyAlignment="1">
      <alignment horizontal="center"/>
    </xf>
    <xf numFmtId="0" fontId="0" fillId="4" borderId="1" xfId="0" applyFill="1" applyBorder="1" applyAlignment="1">
      <alignment horizontal="center"/>
    </xf>
    <xf numFmtId="0" fontId="0" fillId="4" borderId="0" xfId="0" applyFill="1" applyBorder="1" applyAlignment="1">
      <alignment horizontal="center"/>
    </xf>
    <xf numFmtId="0" fontId="0" fillId="4" borderId="4" xfId="0" applyFill="1" applyBorder="1" applyAlignment="1">
      <alignment horizontal="center"/>
    </xf>
    <xf numFmtId="0" fontId="55" fillId="0" borderId="27" xfId="0" applyFont="1" applyBorder="1" applyAlignment="1">
      <alignment horizontal="left" indent="1"/>
    </xf>
    <xf numFmtId="0" fontId="55" fillId="0" borderId="10" xfId="0" applyFont="1" applyBorder="1" applyAlignment="1">
      <alignment horizontal="left" indent="1"/>
    </xf>
    <xf numFmtId="0" fontId="55" fillId="0" borderId="27" xfId="0" applyFont="1" applyBorder="1"/>
    <xf numFmtId="0" fontId="55" fillId="0" borderId="10" xfId="0" applyFont="1" applyBorder="1"/>
    <xf numFmtId="0" fontId="18" fillId="0" borderId="2" xfId="0" applyFont="1" applyBorder="1" applyAlignment="1">
      <alignment horizontal="left"/>
    </xf>
    <xf numFmtId="0" fontId="55" fillId="0" borderId="56" xfId="0" applyFont="1" applyBorder="1" applyAlignment="1"/>
    <xf numFmtId="0" fontId="55" fillId="0" borderId="106" xfId="0" applyFont="1" applyBorder="1" applyAlignment="1"/>
    <xf numFmtId="0" fontId="0" fillId="0" borderId="14" xfId="0" applyBorder="1" applyAlignment="1"/>
    <xf numFmtId="0" fontId="0" fillId="0" borderId="4" xfId="0" applyBorder="1" applyAlignment="1"/>
    <xf numFmtId="0" fontId="0" fillId="0" borderId="88" xfId="0" applyBorder="1" applyAlignment="1"/>
    <xf numFmtId="0" fontId="9" fillId="6" borderId="97" xfId="0" applyFont="1" applyFill="1" applyBorder="1" applyAlignment="1">
      <alignment horizontal="center"/>
    </xf>
    <xf numFmtId="0" fontId="9" fillId="6" borderId="48" xfId="0" applyFont="1" applyFill="1" applyBorder="1" applyAlignment="1">
      <alignment horizontal="center"/>
    </xf>
    <xf numFmtId="0" fontId="9" fillId="6" borderId="25" xfId="0" applyFont="1" applyFill="1" applyBorder="1" applyAlignment="1">
      <alignment horizontal="center"/>
    </xf>
    <xf numFmtId="0" fontId="9" fillId="6" borderId="78" xfId="0" applyFont="1" applyFill="1" applyBorder="1" applyAlignment="1">
      <alignment horizontal="center"/>
    </xf>
    <xf numFmtId="0" fontId="0" fillId="0" borderId="25" xfId="0" applyBorder="1" applyAlignment="1">
      <alignment vertical="distributed"/>
    </xf>
    <xf numFmtId="2" fontId="0" fillId="0" borderId="0" xfId="0" applyNumberFormat="1" applyBorder="1" applyAlignment="1">
      <alignment vertical="distributed"/>
    </xf>
    <xf numFmtId="0" fontId="55" fillId="0" borderId="76" xfId="0" applyFont="1" applyBorder="1" applyAlignment="1">
      <alignment horizontal="center"/>
    </xf>
    <xf numFmtId="0" fontId="55" fillId="0" borderId="77" xfId="0" applyFont="1" applyBorder="1" applyAlignment="1">
      <alignment horizontal="center"/>
    </xf>
    <xf numFmtId="0" fontId="55" fillId="0" borderId="53" xfId="0" applyFont="1" applyBorder="1" applyAlignment="1">
      <alignment horizontal="center"/>
    </xf>
    <xf numFmtId="0" fontId="55" fillId="0" borderId="11" xfId="0" applyFont="1" applyBorder="1"/>
    <xf numFmtId="0" fontId="55" fillId="0" borderId="101" xfId="0" applyFont="1" applyBorder="1" applyAlignment="1">
      <alignment horizontal="center" wrapText="1"/>
    </xf>
    <xf numFmtId="0" fontId="55" fillId="0" borderId="61" xfId="0" applyFont="1" applyBorder="1" applyAlignment="1">
      <alignment horizontal="center" wrapText="1"/>
    </xf>
    <xf numFmtId="0" fontId="55" fillId="0" borderId="59" xfId="0" applyFont="1" applyBorder="1" applyAlignment="1">
      <alignment vertical="top" wrapText="1"/>
    </xf>
    <xf numFmtId="0" fontId="55" fillId="0" borderId="60" xfId="0" applyFont="1" applyBorder="1" applyAlignment="1">
      <alignment vertical="top" wrapText="1"/>
    </xf>
    <xf numFmtId="0" fontId="55" fillId="0" borderId="59" xfId="0" applyFont="1" applyBorder="1" applyAlignment="1">
      <alignment wrapText="1"/>
    </xf>
    <xf numFmtId="0" fontId="55" fillId="0" borderId="60" xfId="0" applyFont="1" applyBorder="1" applyAlignment="1">
      <alignment wrapText="1"/>
    </xf>
    <xf numFmtId="0" fontId="55" fillId="0" borderId="59" xfId="0" applyFont="1" applyBorder="1" applyAlignment="1">
      <alignment horizontal="left" wrapText="1"/>
    </xf>
    <xf numFmtId="0" fontId="55" fillId="0" borderId="102" xfId="0" applyFont="1" applyBorder="1" applyAlignment="1">
      <alignment horizontal="left" wrapText="1"/>
    </xf>
    <xf numFmtId="0" fontId="55" fillId="0" borderId="60" xfId="0" applyFont="1" applyBorder="1" applyAlignment="1">
      <alignment horizontal="left" wrapText="1"/>
    </xf>
    <xf numFmtId="0" fontId="55" fillId="0" borderId="107" xfId="0" applyFont="1" applyBorder="1" applyAlignment="1">
      <alignment horizontal="center"/>
    </xf>
    <xf numFmtId="0" fontId="55" fillId="0" borderId="58" xfId="0" applyFont="1" applyBorder="1" applyAlignment="1">
      <alignment vertical="top" wrapText="1"/>
    </xf>
    <xf numFmtId="0" fontId="55" fillId="0" borderId="15" xfId="0" applyFont="1" applyBorder="1" applyAlignment="1">
      <alignment vertical="top" wrapText="1"/>
    </xf>
    <xf numFmtId="0" fontId="55" fillId="0" borderId="102" xfId="0" applyFont="1" applyBorder="1" applyAlignment="1">
      <alignment vertical="top" wrapText="1"/>
    </xf>
    <xf numFmtId="0" fontId="60" fillId="0" borderId="71" xfId="0" applyFont="1" applyBorder="1" applyAlignment="1">
      <alignment wrapText="1"/>
    </xf>
    <xf numFmtId="0" fontId="60" fillId="0" borderId="60" xfId="0" applyFont="1" applyBorder="1" applyAlignment="1">
      <alignment wrapText="1"/>
    </xf>
    <xf numFmtId="0" fontId="60" fillId="0" borderId="70" xfId="0" applyFont="1" applyBorder="1"/>
    <xf numFmtId="0" fontId="60" fillId="0" borderId="65" xfId="0" applyFont="1" applyBorder="1"/>
    <xf numFmtId="0" fontId="60" fillId="0" borderId="108" xfId="0" applyFont="1" applyBorder="1" applyAlignment="1">
      <alignment wrapText="1"/>
    </xf>
    <xf numFmtId="0" fontId="60" fillId="0" borderId="109" xfId="0" applyFont="1" applyBorder="1" applyAlignment="1">
      <alignment wrapText="1"/>
    </xf>
    <xf numFmtId="164" fontId="55" fillId="0" borderId="59" xfId="7" applyNumberFormat="1" applyFont="1" applyBorder="1" applyAlignment="1">
      <alignment horizontal="center" vertical="top" wrapText="1"/>
    </xf>
    <xf numFmtId="164" fontId="55" fillId="0" borderId="102" xfId="7" applyNumberFormat="1" applyFont="1" applyBorder="1" applyAlignment="1">
      <alignment horizontal="center" vertical="top" wrapText="1"/>
    </xf>
    <xf numFmtId="164" fontId="55" fillId="0" borderId="60" xfId="7" applyNumberFormat="1" applyFont="1" applyBorder="1" applyAlignment="1">
      <alignment horizontal="center" vertical="top" wrapText="1"/>
    </xf>
  </cellXfs>
  <cellStyles count="23">
    <cellStyle name="Comma" xfId="3" builtinId="3"/>
    <cellStyle name="Comma 2" xfId="11"/>
    <cellStyle name="Comma 2 2" xfId="15"/>
    <cellStyle name="Comma 3" xfId="21"/>
    <cellStyle name="Comma 3 2" xfId="22"/>
    <cellStyle name="Currency 2" xfId="10"/>
    <cellStyle name="Dezimal 2" xfId="14"/>
    <cellStyle name="Euro" xfId="1"/>
    <cellStyle name="Hyperlink" xfId="2" builtinId="8"/>
    <cellStyle name="Milliers 10 2" xfId="13"/>
    <cellStyle name="Non défini" xfId="4"/>
    <cellStyle name="Normal" xfId="0" builtinId="0"/>
    <cellStyle name="Normal 2" xfId="9"/>
    <cellStyle name="Normal 2 2" xfId="12"/>
    <cellStyle name="Normal 2 2 2" xfId="17"/>
    <cellStyle name="Normal 3" xfId="20"/>
    <cellStyle name="Normal_Aisse final revision of MG Model" xfId="5"/>
    <cellStyle name="Normal_ConsolidatedAg_IM_Clean" xfId="18"/>
    <cellStyle name="Normal_FeederRoadAnalysis_IM_Clean - v4" xfId="19"/>
    <cellStyle name="Normal_Lesotho - Health - v2" xfId="16"/>
    <cellStyle name="Normal_Mongolia Rail ERR.IM Cleaned" xfId="6"/>
    <cellStyle name="Percent" xfId="7" builtinId="5"/>
    <cellStyle name="عادي_pop-2002" xfId="8"/>
  </cellStyles>
  <dxfs count="20">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
      <font>
        <condense val="0"/>
        <extend val="0"/>
        <color indexed="10"/>
      </font>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Undiscounted annual net benefits of Port Facilities</a:t>
            </a:r>
          </a:p>
        </c:rich>
      </c:tx>
      <c:layout>
        <c:manualLayout>
          <c:xMode val="edge"/>
          <c:yMode val="edge"/>
          <c:x val="0.27936158891300317"/>
          <c:y val="3.1862618639662707E-2"/>
        </c:manualLayout>
      </c:layout>
      <c:overlay val="0"/>
      <c:spPr>
        <a:noFill/>
        <a:ln w="25400">
          <a:noFill/>
        </a:ln>
      </c:spPr>
    </c:title>
    <c:autoTitleDeleted val="0"/>
    <c:plotArea>
      <c:layout>
        <c:manualLayout>
          <c:layoutTarget val="inner"/>
          <c:xMode val="edge"/>
          <c:yMode val="edge"/>
          <c:x val="0.11060439453369672"/>
          <c:y val="0.1764710106249297"/>
          <c:w val="0.8620301264688115"/>
          <c:h val="0.69853108372368"/>
        </c:manualLayout>
      </c:layout>
      <c:areaChart>
        <c:grouping val="standard"/>
        <c:varyColors val="0"/>
        <c:ser>
          <c:idx val="0"/>
          <c:order val="0"/>
          <c:spPr>
            <a:solidFill>
              <a:srgbClr val="0066CC"/>
            </a:solidFill>
            <a:ln w="12700">
              <a:solidFill>
                <a:srgbClr val="000000"/>
              </a:solidFill>
              <a:prstDash val="solid"/>
            </a:ln>
          </c:spPr>
          <c:val>
            <c:numRef>
              <c:f>ERR!$C$89:$W$89</c:f>
              <c:numCache>
                <c:formatCode>_(* #,##0_);_(* \(#,##0\);_(* "-"??_);_(@_)</c:formatCode>
                <c:ptCount val="21"/>
                <c:pt idx="0" formatCode="0.0">
                  <c:v>-167327.37195215057</c:v>
                </c:pt>
                <c:pt idx="1">
                  <c:v>24443.29587260685</c:v>
                </c:pt>
                <c:pt idx="2" formatCode="0.0">
                  <c:v>32571.366422318526</c:v>
                </c:pt>
                <c:pt idx="3" formatCode="0.0">
                  <c:v>32571.366422318526</c:v>
                </c:pt>
                <c:pt idx="4" formatCode="0.0">
                  <c:v>32571.366422318526</c:v>
                </c:pt>
                <c:pt idx="5" formatCode="0.0">
                  <c:v>32571.366422318526</c:v>
                </c:pt>
                <c:pt idx="6" formatCode="0.0">
                  <c:v>32571.366422318526</c:v>
                </c:pt>
                <c:pt idx="7" formatCode="0.0">
                  <c:v>32571.366422318526</c:v>
                </c:pt>
                <c:pt idx="8" formatCode="0.0">
                  <c:v>32571.366422318526</c:v>
                </c:pt>
                <c:pt idx="9" formatCode="0.0">
                  <c:v>32571.366422318526</c:v>
                </c:pt>
                <c:pt idx="10" formatCode="0.0">
                  <c:v>32571.366422318526</c:v>
                </c:pt>
                <c:pt idx="11" formatCode="0.0">
                  <c:v>34988.575313393492</c:v>
                </c:pt>
                <c:pt idx="12" formatCode="0.0">
                  <c:v>34988.575313393492</c:v>
                </c:pt>
                <c:pt idx="13" formatCode="0.0">
                  <c:v>35420.565165037828</c:v>
                </c:pt>
                <c:pt idx="14" formatCode="0.0">
                  <c:v>35420.565165037828</c:v>
                </c:pt>
                <c:pt idx="15" formatCode="0.0">
                  <c:v>35420.565165037828</c:v>
                </c:pt>
                <c:pt idx="16" formatCode="0.0">
                  <c:v>35420.565165037828</c:v>
                </c:pt>
                <c:pt idx="17" formatCode="0.0">
                  <c:v>35420.565165037828</c:v>
                </c:pt>
                <c:pt idx="18" formatCode="0.0">
                  <c:v>35420.565165037828</c:v>
                </c:pt>
                <c:pt idx="19" formatCode="0.0">
                  <c:v>35420.565165037828</c:v>
                </c:pt>
                <c:pt idx="20" formatCode="0.0">
                  <c:v>35420.565165037828</c:v>
                </c:pt>
              </c:numCache>
            </c:numRef>
          </c:val>
        </c:ser>
        <c:dLbls>
          <c:showLegendKey val="0"/>
          <c:showVal val="0"/>
          <c:showCatName val="0"/>
          <c:showSerName val="0"/>
          <c:showPercent val="0"/>
          <c:showBubbleSize val="0"/>
        </c:dLbls>
        <c:axId val="169070248"/>
        <c:axId val="169074464"/>
      </c:areaChart>
      <c:catAx>
        <c:axId val="169070248"/>
        <c:scaling>
          <c:orientation val="minMax"/>
        </c:scaling>
        <c:delete val="0"/>
        <c:axPos val="b"/>
        <c:title>
          <c:tx>
            <c:rich>
              <a:bodyPr/>
              <a:lstStyle/>
              <a:p>
                <a:pPr>
                  <a:defRPr sz="1025" b="1" i="0" u="none" strike="noStrike" baseline="0">
                    <a:solidFill>
                      <a:srgbClr val="000000"/>
                    </a:solidFill>
                    <a:latin typeface="Arial"/>
                    <a:ea typeface="Arial"/>
                    <a:cs typeface="Arial"/>
                  </a:defRPr>
                </a:pPr>
                <a:r>
                  <a:rPr lang="en-US"/>
                  <a:t>Year</a:t>
                </a:r>
              </a:p>
            </c:rich>
          </c:tx>
          <c:layout>
            <c:manualLayout>
              <c:xMode val="edge"/>
              <c:yMode val="edge"/>
              <c:x val="0.5210948289778129"/>
              <c:y val="0.9044139409224214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69074464"/>
        <c:crosses val="autoZero"/>
        <c:auto val="1"/>
        <c:lblAlgn val="ctr"/>
        <c:lblOffset val="100"/>
        <c:tickLblSkip val="1"/>
        <c:tickMarkSkip val="1"/>
        <c:noMultiLvlLbl val="0"/>
      </c:catAx>
      <c:valAx>
        <c:axId val="169074464"/>
        <c:scaling>
          <c:orientation val="minMax"/>
        </c:scaling>
        <c:delete val="0"/>
        <c:axPos val="l"/>
        <c:majorGridlines>
          <c:spPr>
            <a:ln w="3175">
              <a:solidFill>
                <a:srgbClr val="000000"/>
              </a:solidFill>
              <a:prstDash val="solid"/>
            </a:ln>
          </c:spPr>
        </c:majorGridlines>
        <c:title>
          <c:tx>
            <c:rich>
              <a:bodyPr/>
              <a:lstStyle/>
              <a:p>
                <a:pPr>
                  <a:defRPr sz="1025" b="1" i="0" u="none" strike="noStrike" baseline="0">
                    <a:solidFill>
                      <a:srgbClr val="000000"/>
                    </a:solidFill>
                    <a:latin typeface="Arial"/>
                    <a:ea typeface="Arial"/>
                    <a:cs typeface="Arial"/>
                  </a:defRPr>
                </a:pPr>
                <a:r>
                  <a:rPr lang="en-US"/>
                  <a:t>thousands of dirhams</a:t>
                </a:r>
              </a:p>
            </c:rich>
          </c:tx>
          <c:layout>
            <c:manualLayout>
              <c:xMode val="edge"/>
              <c:yMode val="edge"/>
              <c:x val="1.8244040679425321E-2"/>
              <c:y val="0.3333341034082231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25" b="0" i="0" u="none" strike="noStrike" baseline="0">
                <a:solidFill>
                  <a:srgbClr val="000000"/>
                </a:solidFill>
                <a:latin typeface="Arial"/>
                <a:ea typeface="Arial"/>
                <a:cs typeface="Arial"/>
              </a:defRPr>
            </a:pPr>
            <a:endParaRPr lang="en-US"/>
          </a:p>
        </c:txPr>
        <c:crossAx val="169070248"/>
        <c:crosses val="autoZero"/>
        <c:crossBetween val="midCat"/>
      </c:valAx>
      <c:spPr>
        <a:solidFill>
          <a:srgbClr val="C0C0C0"/>
        </a:solidFill>
        <a:ln w="12700">
          <a:solidFill>
            <a:srgbClr val="808080"/>
          </a:solidFill>
          <a:prstDash val="solid"/>
        </a:ln>
      </c:spPr>
    </c:plotArea>
    <c:plotVisOnly val="1"/>
    <c:dispBlanksAs val="zero"/>
    <c:showDLblsOverMax val="0"/>
  </c:chart>
  <c:spPr>
    <a:solidFill>
      <a:srgbClr val="FFFFFF"/>
    </a:solidFill>
    <a:ln w="3175">
      <a:solidFill>
        <a:srgbClr val="000000"/>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alignWithMargins="0"/>
    <c:pageMargins b="0.984251969" l="0.78740157499999996" r="0.78740157499999996" t="0.984251969" header="0.5" footer="0.5"/>
    <c:pageSetup/>
  </c:printSettings>
</c:chartSpace>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xdr:row>
      <xdr:rowOff>38100</xdr:rowOff>
    </xdr:from>
    <xdr:to>
      <xdr:col>0</xdr:col>
      <xdr:colOff>2600325</xdr:colOff>
      <xdr:row>6</xdr:row>
      <xdr:rowOff>19050</xdr:rowOff>
    </xdr:to>
    <xdr:pic>
      <xdr:nvPicPr>
        <xdr:cNvPr id="2" name="Picture 4" descr="content-branding-logo-horz"/>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09550"/>
          <a:ext cx="25812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29</xdr:row>
      <xdr:rowOff>19050</xdr:rowOff>
    </xdr:from>
    <xdr:to>
      <xdr:col>1</xdr:col>
      <xdr:colOff>2181225</xdr:colOff>
      <xdr:row>30</xdr:row>
      <xdr:rowOff>9525</xdr:rowOff>
    </xdr:to>
    <xdr:pic>
      <xdr:nvPicPr>
        <xdr:cNvPr id="6258"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6896100"/>
          <a:ext cx="21621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57150</xdr:colOff>
      <xdr:row>1</xdr:row>
      <xdr:rowOff>85725</xdr:rowOff>
    </xdr:from>
    <xdr:to>
      <xdr:col>6</xdr:col>
      <xdr:colOff>1133475</xdr:colOff>
      <xdr:row>1</xdr:row>
      <xdr:rowOff>238125</xdr:rowOff>
    </xdr:to>
    <xdr:pic>
      <xdr:nvPicPr>
        <xdr:cNvPr id="5452" name="Picture 2"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34350" y="247650"/>
          <a:ext cx="21717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38100</xdr:colOff>
      <xdr:row>28</xdr:row>
      <xdr:rowOff>152400</xdr:rowOff>
    </xdr:from>
    <xdr:to>
      <xdr:col>6</xdr:col>
      <xdr:colOff>695325</xdr:colOff>
      <xdr:row>52</xdr:row>
      <xdr:rowOff>152400</xdr:rowOff>
    </xdr:to>
    <xdr:graphicFrame macro="">
      <xdr:nvGraphicFramePr>
        <xdr:cNvPr id="54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xdr:from>
          <xdr:col>8</xdr:col>
          <xdr:colOff>0</xdr:colOff>
          <xdr:row>5</xdr:row>
          <xdr:rowOff>0</xdr:rowOff>
        </xdr:from>
        <xdr:to>
          <xdr:col>8</xdr:col>
          <xdr:colOff>1371600</xdr:colOff>
          <xdr:row>6</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n-US" sz="1000" b="1" i="0" u="none" strike="noStrike" baseline="0">
                  <a:solidFill>
                    <a:srgbClr val="0000FF"/>
                  </a:solidFill>
                  <a:latin typeface="Arial"/>
                  <a:cs typeface="Arial"/>
                </a:rPr>
                <a:t>Reset</a:t>
              </a:r>
            </a:p>
            <a:p>
              <a:pPr algn="ctr" rtl="0">
                <a:defRPr sz="1000"/>
              </a:pPr>
              <a:r>
                <a:rPr lang="en-US" sz="1000" b="1" i="0" u="none" strike="noStrike" baseline="0">
                  <a:solidFill>
                    <a:srgbClr val="0000FF"/>
                  </a:solidFill>
                  <a:latin typeface="Arial"/>
                  <a:cs typeface="Arial"/>
                </a:rPr>
                <a:t>Parameters</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4</xdr:col>
      <xdr:colOff>644899</xdr:colOff>
      <xdr:row>1</xdr:row>
      <xdr:rowOff>168088</xdr:rowOff>
    </xdr:from>
    <xdr:to>
      <xdr:col>6</xdr:col>
      <xdr:colOff>765923</xdr:colOff>
      <xdr:row>2</xdr:row>
      <xdr:rowOff>153520</xdr:rowOff>
    </xdr:to>
    <xdr:pic>
      <xdr:nvPicPr>
        <xdr:cNvPr id="2" name="Picture 34" descr="MCC horizont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50374" y="330013"/>
          <a:ext cx="2168899" cy="1568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99</xdr:row>
      <xdr:rowOff>9525</xdr:rowOff>
    </xdr:from>
    <xdr:to>
      <xdr:col>4</xdr:col>
      <xdr:colOff>771525</xdr:colOff>
      <xdr:row>150</xdr:row>
      <xdr:rowOff>133350</xdr:rowOff>
    </xdr:to>
    <xdr:pic>
      <xdr:nvPicPr>
        <xdr:cNvPr id="113670" name="Imag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6106775"/>
          <a:ext cx="6029325" cy="838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_divisions/Economic%20Analysis/Country%20Work/Morocco/ERR/Closeout%20ERRs/web%20%20versions/mcc-err-morocco-olive-irrigation-closeout.w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s Guide"/>
      <sheetName val="Project Description"/>
      <sheetName val="CB_DATA_"/>
      <sheetName val="ERR &amp; Sensitivity Analysis"/>
      <sheetName val="Cost-Benefit Summary"/>
      <sheetName val="Iden_classe"/>
      <sheetName val="Don_classe 1"/>
      <sheetName val="BudExp DHMax&lt;55%"/>
      <sheetName val="Don_classe2"/>
      <sheetName val="BudExp DHMax&gt;55%"/>
      <sheetName val="DATA-enq reference"/>
      <sheetName val="Data&amp;assumptions"/>
      <sheetName val="total budget"/>
      <sheetName val="fruit tree budget"/>
    </sheetNames>
    <sheetDataSet>
      <sheetData sheetId="0"/>
      <sheetData sheetId="1"/>
      <sheetData sheetId="2"/>
      <sheetData sheetId="3">
        <row r="10">
          <cell r="I10" t="str">
            <v>All summary parameters set to initial values?</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showGridLines="0" workbookViewId="0">
      <selection activeCell="C11" sqref="C11"/>
    </sheetView>
  </sheetViews>
  <sheetFormatPr defaultColWidth="11.42578125" defaultRowHeight="12.75" x14ac:dyDescent="0.2"/>
  <cols>
    <col min="1" max="1" width="39.7109375" style="828" customWidth="1"/>
    <col min="2" max="3" width="36.7109375" style="828" customWidth="1"/>
    <col min="4" max="16384" width="11.42578125" style="828"/>
  </cols>
  <sheetData>
    <row r="1" spans="1:21" s="813" customFormat="1" ht="13.5" thickBot="1" x14ac:dyDescent="0.25">
      <c r="B1" s="814" t="s">
        <v>1152</v>
      </c>
      <c r="C1" s="815"/>
      <c r="D1" s="815"/>
      <c r="E1" s="815"/>
      <c r="F1" s="815"/>
      <c r="G1" s="815"/>
      <c r="H1" s="815"/>
      <c r="I1" s="815"/>
      <c r="J1" s="815"/>
      <c r="K1" s="815"/>
      <c r="L1" s="815"/>
      <c r="M1" s="815"/>
      <c r="N1" s="815"/>
      <c r="O1" s="815"/>
      <c r="P1" s="815"/>
      <c r="Q1" s="815"/>
      <c r="R1" s="815"/>
      <c r="S1" s="815"/>
      <c r="T1" s="815"/>
      <c r="U1" s="816"/>
    </row>
    <row r="2" spans="1:21" s="813" customFormat="1" ht="13.5" customHeight="1" thickBot="1" x14ac:dyDescent="0.25">
      <c r="A2" s="817"/>
      <c r="B2" s="891" t="s">
        <v>2</v>
      </c>
      <c r="C2" s="892"/>
      <c r="D2" s="818"/>
      <c r="E2" s="818"/>
      <c r="F2" s="818"/>
      <c r="G2" s="818"/>
      <c r="H2" s="818"/>
      <c r="I2" s="818"/>
      <c r="J2" s="818"/>
      <c r="K2" s="818"/>
      <c r="L2" s="818"/>
      <c r="M2" s="818"/>
      <c r="N2" s="818"/>
      <c r="O2" s="818"/>
      <c r="P2" s="818"/>
      <c r="Q2" s="818"/>
      <c r="R2" s="818"/>
      <c r="S2" s="818"/>
      <c r="T2" s="818"/>
      <c r="U2" s="819"/>
    </row>
    <row r="3" spans="1:21" s="813" customFormat="1" ht="13.5" customHeight="1" thickBot="1" x14ac:dyDescent="0.25">
      <c r="A3" s="820"/>
      <c r="B3" s="891"/>
      <c r="C3" s="892"/>
      <c r="D3" s="818"/>
      <c r="E3" s="818"/>
      <c r="F3" s="818"/>
      <c r="G3" s="818"/>
      <c r="H3" s="818"/>
      <c r="I3" s="818"/>
      <c r="J3" s="818"/>
      <c r="K3" s="818"/>
      <c r="L3" s="818"/>
      <c r="M3" s="818"/>
      <c r="N3" s="818"/>
      <c r="O3" s="818"/>
      <c r="P3" s="818"/>
      <c r="Q3" s="818"/>
      <c r="R3" s="818"/>
      <c r="S3" s="818"/>
      <c r="T3" s="818"/>
      <c r="U3" s="819"/>
    </row>
    <row r="4" spans="1:21" s="813" customFormat="1" ht="13.5" customHeight="1" thickBot="1" x14ac:dyDescent="0.25">
      <c r="A4" s="820"/>
      <c r="B4" s="891"/>
      <c r="C4" s="892"/>
      <c r="D4" s="818"/>
      <c r="E4" s="818"/>
      <c r="F4" s="818"/>
      <c r="G4" s="818"/>
      <c r="H4" s="818"/>
      <c r="I4" s="818"/>
      <c r="J4" s="818"/>
      <c r="K4" s="818"/>
      <c r="L4" s="818"/>
      <c r="M4" s="818"/>
      <c r="N4" s="818"/>
      <c r="O4" s="818"/>
      <c r="P4" s="818"/>
      <c r="Q4" s="818"/>
      <c r="R4" s="818"/>
      <c r="S4" s="818"/>
      <c r="T4" s="818"/>
      <c r="U4" s="819"/>
    </row>
    <row r="5" spans="1:21" s="813" customFormat="1" ht="13.5" customHeight="1" thickBot="1" x14ac:dyDescent="0.25">
      <c r="A5" s="820"/>
      <c r="B5" s="891"/>
      <c r="C5" s="892"/>
      <c r="D5" s="818"/>
      <c r="E5" s="818"/>
      <c r="F5" s="818"/>
      <c r="G5" s="818"/>
      <c r="H5" s="818"/>
      <c r="I5" s="818"/>
      <c r="J5" s="818"/>
      <c r="K5" s="818"/>
      <c r="L5" s="818"/>
      <c r="M5" s="818"/>
      <c r="N5" s="818"/>
      <c r="O5" s="818"/>
      <c r="P5" s="818"/>
      <c r="Q5" s="818"/>
      <c r="R5" s="818"/>
      <c r="S5" s="818"/>
      <c r="T5" s="818"/>
      <c r="U5" s="819"/>
    </row>
    <row r="6" spans="1:21" s="813" customFormat="1" ht="13.5" customHeight="1" thickBot="1" x14ac:dyDescent="0.25">
      <c r="A6" s="820"/>
      <c r="B6" s="893"/>
      <c r="C6" s="894"/>
      <c r="D6" s="818"/>
      <c r="E6" s="818"/>
      <c r="F6" s="818"/>
      <c r="G6" s="818"/>
      <c r="H6" s="818"/>
      <c r="I6" s="818"/>
      <c r="J6" s="818"/>
      <c r="K6" s="818"/>
      <c r="L6" s="818"/>
      <c r="M6" s="818"/>
      <c r="N6" s="818"/>
      <c r="O6" s="818"/>
      <c r="P6" s="818"/>
      <c r="Q6" s="818"/>
      <c r="R6" s="818"/>
      <c r="S6" s="818"/>
      <c r="T6" s="818"/>
      <c r="U6" s="819"/>
    </row>
    <row r="7" spans="1:21" s="813" customFormat="1" ht="13.5" thickBot="1" x14ac:dyDescent="0.25">
      <c r="A7" s="821"/>
      <c r="B7" s="822"/>
      <c r="C7" s="818"/>
      <c r="D7" s="818"/>
      <c r="E7" s="818"/>
      <c r="F7" s="818"/>
      <c r="G7" s="818"/>
      <c r="H7" s="818"/>
      <c r="I7" s="818"/>
      <c r="J7" s="818"/>
      <c r="K7" s="818"/>
      <c r="L7" s="818"/>
      <c r="M7" s="818"/>
      <c r="N7" s="818"/>
      <c r="O7" s="818"/>
      <c r="P7" s="818"/>
      <c r="Q7" s="818"/>
      <c r="R7" s="818"/>
      <c r="S7" s="818"/>
      <c r="T7" s="818"/>
      <c r="U7" s="819"/>
    </row>
    <row r="8" spans="1:21" ht="14.25" thickTop="1" thickBot="1" x14ac:dyDescent="0.25">
      <c r="A8" s="823" t="s">
        <v>1153</v>
      </c>
      <c r="B8" s="824" t="s">
        <v>1154</v>
      </c>
      <c r="C8" s="825" t="s">
        <v>1155</v>
      </c>
      <c r="D8" s="826"/>
      <c r="E8" s="826"/>
      <c r="F8" s="826"/>
      <c r="G8" s="826"/>
      <c r="H8" s="826"/>
      <c r="I8" s="826"/>
      <c r="J8" s="826"/>
      <c r="K8" s="826"/>
      <c r="L8" s="826"/>
      <c r="M8" s="826"/>
      <c r="N8" s="826"/>
      <c r="O8" s="826"/>
      <c r="P8" s="826"/>
      <c r="Q8" s="826"/>
      <c r="R8" s="826"/>
      <c r="S8" s="826"/>
      <c r="T8" s="826"/>
      <c r="U8" s="827"/>
    </row>
    <row r="9" spans="1:21" ht="13.5" thickBot="1" x14ac:dyDescent="0.25">
      <c r="A9" s="829" t="s">
        <v>1156</v>
      </c>
      <c r="B9" s="830">
        <v>39275</v>
      </c>
      <c r="C9" s="831">
        <v>41669</v>
      </c>
      <c r="D9" s="826"/>
      <c r="E9" s="826"/>
      <c r="F9" s="826"/>
      <c r="G9" s="826"/>
      <c r="H9" s="826"/>
      <c r="I9" s="826"/>
      <c r="J9" s="826"/>
      <c r="K9" s="826"/>
      <c r="L9" s="826"/>
      <c r="M9" s="826"/>
      <c r="N9" s="826"/>
      <c r="O9" s="826"/>
      <c r="P9" s="826"/>
      <c r="Q9" s="826"/>
      <c r="R9" s="826"/>
      <c r="S9" s="826"/>
      <c r="T9" s="826"/>
      <c r="U9" s="827"/>
    </row>
    <row r="10" spans="1:21" ht="13.5" thickBot="1" x14ac:dyDescent="0.25">
      <c r="A10" s="829" t="s">
        <v>68</v>
      </c>
      <c r="B10" s="832" t="s">
        <v>1165</v>
      </c>
      <c r="C10" s="833" t="s">
        <v>1166</v>
      </c>
      <c r="D10" s="826"/>
      <c r="E10" s="826"/>
      <c r="F10" s="826"/>
      <c r="G10" s="826"/>
      <c r="H10" s="826"/>
      <c r="I10" s="826"/>
      <c r="J10" s="826"/>
      <c r="K10" s="826"/>
      <c r="L10" s="826"/>
      <c r="M10" s="826"/>
      <c r="N10" s="826"/>
      <c r="O10" s="826"/>
      <c r="P10" s="826"/>
      <c r="Q10" s="826"/>
      <c r="R10" s="826"/>
      <c r="S10" s="826"/>
      <c r="T10" s="826"/>
      <c r="U10" s="827"/>
    </row>
    <row r="11" spans="1:21" s="839" customFormat="1" ht="166.5" thickBot="1" x14ac:dyDescent="0.25">
      <c r="A11" s="834" t="s">
        <v>1157</v>
      </c>
      <c r="B11" s="835" t="s">
        <v>1373</v>
      </c>
      <c r="C11" s="836" t="s">
        <v>1374</v>
      </c>
      <c r="D11" s="837"/>
      <c r="E11" s="837"/>
      <c r="F11" s="837"/>
      <c r="G11" s="837"/>
      <c r="H11" s="837"/>
      <c r="I11" s="837"/>
      <c r="J11" s="837"/>
      <c r="K11" s="837"/>
      <c r="L11" s="837"/>
      <c r="M11" s="837"/>
      <c r="N11" s="837"/>
      <c r="O11" s="837"/>
      <c r="P11" s="837"/>
      <c r="Q11" s="837"/>
      <c r="R11" s="837"/>
      <c r="S11" s="837"/>
      <c r="T11" s="837"/>
      <c r="U11" s="838"/>
    </row>
    <row r="12" spans="1:21" s="839" customFormat="1" ht="26.25" thickBot="1" x14ac:dyDescent="0.25">
      <c r="A12" s="895" t="s">
        <v>70</v>
      </c>
      <c r="B12" s="835" t="s">
        <v>71</v>
      </c>
      <c r="C12" s="836" t="s">
        <v>71</v>
      </c>
      <c r="D12" s="837"/>
      <c r="E12" s="837"/>
      <c r="F12" s="837"/>
      <c r="G12" s="837"/>
      <c r="H12" s="837"/>
      <c r="I12" s="837"/>
      <c r="J12" s="837"/>
      <c r="K12" s="837"/>
      <c r="L12" s="837"/>
      <c r="M12" s="837"/>
      <c r="N12" s="837"/>
      <c r="O12" s="837"/>
      <c r="P12" s="837"/>
      <c r="Q12" s="837"/>
      <c r="R12" s="837"/>
      <c r="S12" s="837"/>
      <c r="T12" s="837"/>
      <c r="U12" s="838"/>
    </row>
    <row r="13" spans="1:21" s="839" customFormat="1" ht="13.5" thickBot="1" x14ac:dyDescent="0.25">
      <c r="A13" s="896"/>
      <c r="B13" s="835" t="s">
        <v>72</v>
      </c>
      <c r="C13" s="836" t="s">
        <v>72</v>
      </c>
      <c r="D13" s="837"/>
      <c r="E13" s="837"/>
      <c r="F13" s="837"/>
      <c r="G13" s="837"/>
      <c r="H13" s="837"/>
      <c r="I13" s="837"/>
      <c r="J13" s="837"/>
      <c r="K13" s="837"/>
      <c r="L13" s="837"/>
      <c r="M13" s="837"/>
      <c r="N13" s="837"/>
      <c r="O13" s="837"/>
      <c r="P13" s="837"/>
      <c r="Q13" s="837"/>
      <c r="R13" s="837"/>
      <c r="S13" s="837"/>
      <c r="T13" s="837"/>
      <c r="U13" s="838"/>
    </row>
    <row r="14" spans="1:21" s="839" customFormat="1" ht="13.5" thickBot="1" x14ac:dyDescent="0.25">
      <c r="A14" s="896"/>
      <c r="B14" s="835" t="s">
        <v>213</v>
      </c>
      <c r="C14" s="836" t="s">
        <v>213</v>
      </c>
      <c r="D14" s="837"/>
      <c r="E14" s="837"/>
      <c r="F14" s="837"/>
      <c r="G14" s="837"/>
      <c r="H14" s="837"/>
      <c r="I14" s="837"/>
      <c r="J14" s="837"/>
      <c r="K14" s="837"/>
      <c r="L14" s="837"/>
      <c r="M14" s="837"/>
      <c r="N14" s="837"/>
      <c r="O14" s="837"/>
      <c r="P14" s="837"/>
      <c r="Q14" s="837"/>
      <c r="R14" s="837"/>
      <c r="S14" s="837"/>
      <c r="T14" s="837"/>
      <c r="U14" s="838"/>
    </row>
    <row r="15" spans="1:21" ht="51.75" thickBot="1" x14ac:dyDescent="0.25">
      <c r="A15" s="829" t="s">
        <v>73</v>
      </c>
      <c r="B15" s="840" t="s">
        <v>74</v>
      </c>
      <c r="C15" s="841" t="s">
        <v>74</v>
      </c>
      <c r="D15" s="826"/>
      <c r="E15" s="826"/>
      <c r="F15" s="826"/>
      <c r="G15" s="826"/>
      <c r="H15" s="826"/>
      <c r="I15" s="826"/>
      <c r="J15" s="826"/>
      <c r="K15" s="826"/>
      <c r="L15" s="826"/>
      <c r="M15" s="826"/>
      <c r="N15" s="826"/>
      <c r="O15" s="826"/>
      <c r="P15" s="826"/>
      <c r="Q15" s="826"/>
      <c r="R15" s="826"/>
      <c r="S15" s="826"/>
      <c r="T15" s="826"/>
      <c r="U15" s="827"/>
    </row>
    <row r="16" spans="1:21" ht="13.5" thickBot="1" x14ac:dyDescent="0.25">
      <c r="A16" s="842" t="s">
        <v>75</v>
      </c>
      <c r="B16" s="843" t="s">
        <v>1167</v>
      </c>
      <c r="C16" s="844" t="s">
        <v>1372</v>
      </c>
      <c r="D16" s="845"/>
      <c r="E16" s="826"/>
      <c r="F16" s="826"/>
      <c r="G16" s="826"/>
      <c r="H16" s="826"/>
      <c r="I16" s="826"/>
      <c r="J16" s="826"/>
      <c r="K16" s="826"/>
      <c r="L16" s="826"/>
      <c r="M16" s="826"/>
      <c r="N16" s="826"/>
      <c r="O16" s="826"/>
      <c r="P16" s="826"/>
      <c r="Q16" s="826"/>
      <c r="R16" s="826"/>
      <c r="S16" s="826"/>
      <c r="T16" s="826"/>
      <c r="U16" s="827"/>
    </row>
    <row r="17" spans="1:21" ht="14.25" thickTop="1" thickBot="1" x14ac:dyDescent="0.25">
      <c r="A17" s="846"/>
      <c r="B17" s="846"/>
      <c r="C17" s="847"/>
      <c r="D17" s="847"/>
      <c r="E17" s="848"/>
      <c r="F17" s="826"/>
      <c r="G17" s="826"/>
      <c r="H17" s="826"/>
      <c r="I17" s="826"/>
      <c r="J17" s="826"/>
      <c r="K17" s="826"/>
      <c r="L17" s="826"/>
      <c r="M17" s="826"/>
      <c r="N17" s="826"/>
      <c r="O17" s="826"/>
      <c r="P17" s="826"/>
      <c r="Q17" s="826"/>
      <c r="R17" s="826"/>
      <c r="S17" s="826"/>
      <c r="T17" s="826"/>
      <c r="U17" s="827"/>
    </row>
    <row r="18" spans="1:21" ht="13.5" thickBot="1" x14ac:dyDescent="0.25">
      <c r="A18" s="849" t="s">
        <v>1158</v>
      </c>
      <c r="B18" s="846"/>
      <c r="C18" s="847"/>
      <c r="D18" s="847"/>
      <c r="E18" s="848"/>
      <c r="F18" s="826"/>
      <c r="G18" s="826"/>
      <c r="H18" s="826"/>
      <c r="I18" s="826"/>
      <c r="J18" s="826"/>
      <c r="K18" s="826"/>
      <c r="L18" s="826"/>
      <c r="M18" s="826"/>
      <c r="N18" s="826"/>
      <c r="O18" s="826"/>
      <c r="P18" s="826"/>
      <c r="Q18" s="826"/>
      <c r="R18" s="826"/>
      <c r="S18" s="826"/>
      <c r="T18" s="826"/>
      <c r="U18" s="827"/>
    </row>
    <row r="19" spans="1:21" ht="13.5" thickBot="1" x14ac:dyDescent="0.25">
      <c r="A19" s="846"/>
      <c r="B19" s="847"/>
      <c r="C19" s="847"/>
      <c r="D19" s="847"/>
      <c r="E19" s="848"/>
      <c r="F19" s="826"/>
      <c r="G19" s="826"/>
      <c r="H19" s="826"/>
      <c r="I19" s="826"/>
      <c r="J19" s="826"/>
      <c r="K19" s="826"/>
      <c r="L19" s="826"/>
      <c r="M19" s="826"/>
      <c r="N19" s="826"/>
      <c r="O19" s="826"/>
      <c r="P19" s="826"/>
      <c r="Q19" s="826"/>
      <c r="R19" s="826"/>
      <c r="S19" s="826"/>
      <c r="T19" s="826"/>
      <c r="U19" s="827"/>
    </row>
    <row r="20" spans="1:21" ht="13.5" thickBot="1" x14ac:dyDescent="0.25">
      <c r="A20" s="856" t="s">
        <v>69</v>
      </c>
      <c r="B20" s="847"/>
      <c r="C20" s="847"/>
      <c r="D20" s="847"/>
      <c r="E20" s="848"/>
      <c r="F20" s="826"/>
      <c r="G20" s="826"/>
      <c r="H20" s="826"/>
      <c r="I20" s="826"/>
      <c r="J20" s="826"/>
      <c r="K20" s="826"/>
      <c r="L20" s="826"/>
      <c r="M20" s="826"/>
      <c r="N20" s="826"/>
      <c r="O20" s="826"/>
      <c r="P20" s="826"/>
      <c r="Q20" s="826"/>
      <c r="R20" s="826"/>
      <c r="S20" s="826"/>
      <c r="T20" s="826"/>
      <c r="U20" s="827"/>
    </row>
    <row r="21" spans="1:21" ht="13.5" thickBot="1" x14ac:dyDescent="0.25">
      <c r="A21" s="862" t="s">
        <v>76</v>
      </c>
      <c r="B21" s="847"/>
      <c r="C21" s="847"/>
      <c r="D21" s="847"/>
      <c r="E21" s="848"/>
      <c r="F21" s="826"/>
      <c r="G21" s="826"/>
      <c r="H21" s="826"/>
      <c r="I21" s="826"/>
      <c r="J21" s="826"/>
      <c r="K21" s="826"/>
      <c r="L21" s="826"/>
      <c r="M21" s="826"/>
      <c r="N21" s="826"/>
      <c r="O21" s="826"/>
      <c r="P21" s="826"/>
      <c r="Q21" s="826"/>
      <c r="R21" s="826"/>
      <c r="S21" s="826"/>
      <c r="T21" s="826"/>
      <c r="U21" s="827"/>
    </row>
    <row r="22" spans="1:21" ht="13.5" thickBot="1" x14ac:dyDescent="0.25">
      <c r="A22" s="863"/>
      <c r="B22" s="846"/>
      <c r="C22" s="847"/>
      <c r="D22" s="847"/>
      <c r="E22" s="848"/>
      <c r="F22" s="826"/>
      <c r="G22" s="826"/>
      <c r="H22" s="826"/>
      <c r="I22" s="826"/>
      <c r="J22" s="826"/>
      <c r="K22" s="826"/>
      <c r="L22" s="826"/>
      <c r="M22" s="826"/>
      <c r="N22" s="826"/>
      <c r="O22" s="826"/>
      <c r="P22" s="826"/>
      <c r="Q22" s="826"/>
      <c r="R22" s="826"/>
      <c r="S22" s="826"/>
      <c r="T22" s="826"/>
      <c r="U22" s="827"/>
    </row>
    <row r="23" spans="1:21" ht="13.5" thickBot="1" x14ac:dyDescent="0.25">
      <c r="A23" s="864" t="s">
        <v>77</v>
      </c>
      <c r="B23" s="847"/>
      <c r="C23" s="847"/>
      <c r="D23" s="847"/>
      <c r="E23" s="848"/>
      <c r="F23" s="826"/>
      <c r="G23" s="826"/>
      <c r="H23" s="826"/>
      <c r="I23" s="826"/>
      <c r="J23" s="826"/>
      <c r="K23" s="826"/>
      <c r="L23" s="826"/>
      <c r="M23" s="826"/>
      <c r="N23" s="826"/>
      <c r="O23" s="826"/>
      <c r="P23" s="826"/>
      <c r="Q23" s="826"/>
      <c r="R23" s="826"/>
      <c r="S23" s="826"/>
      <c r="T23" s="826"/>
      <c r="U23" s="827"/>
    </row>
    <row r="24" spans="1:21" ht="13.5" customHeight="1" thickBot="1" x14ac:dyDescent="0.25">
      <c r="A24" s="162" t="s">
        <v>78</v>
      </c>
      <c r="B24" s="860"/>
      <c r="C24" s="860"/>
      <c r="D24" s="847"/>
      <c r="E24" s="848"/>
      <c r="F24" s="826"/>
      <c r="G24" s="826"/>
      <c r="H24" s="826"/>
      <c r="I24" s="826"/>
      <c r="J24" s="826"/>
      <c r="K24" s="826"/>
      <c r="L24" s="826"/>
      <c r="M24" s="826"/>
      <c r="N24" s="826"/>
      <c r="O24" s="826"/>
      <c r="P24" s="826"/>
      <c r="Q24" s="826"/>
      <c r="R24" s="826"/>
      <c r="S24" s="826"/>
      <c r="T24" s="826"/>
      <c r="U24" s="827"/>
    </row>
    <row r="25" spans="1:21" ht="13.5" thickBot="1" x14ac:dyDescent="0.25">
      <c r="A25" s="162"/>
      <c r="B25" s="847"/>
      <c r="C25" s="847"/>
      <c r="D25" s="847"/>
      <c r="E25" s="848"/>
      <c r="F25" s="826"/>
      <c r="G25" s="826"/>
      <c r="H25" s="826"/>
      <c r="I25" s="826"/>
      <c r="J25" s="826"/>
      <c r="K25" s="826"/>
      <c r="L25" s="826"/>
      <c r="M25" s="826"/>
      <c r="N25" s="826"/>
      <c r="O25" s="826"/>
      <c r="P25" s="826"/>
      <c r="Q25" s="826"/>
      <c r="R25" s="826"/>
      <c r="S25" s="826"/>
      <c r="T25" s="826"/>
      <c r="U25" s="827"/>
    </row>
    <row r="26" spans="1:21" ht="13.5" thickBot="1" x14ac:dyDescent="0.25">
      <c r="A26" s="850" t="s">
        <v>1159</v>
      </c>
      <c r="B26" s="76"/>
      <c r="C26" s="76"/>
      <c r="D26" s="76"/>
      <c r="E26" s="848"/>
      <c r="F26" s="826"/>
      <c r="G26" s="826"/>
      <c r="H26" s="826"/>
      <c r="I26" s="826"/>
      <c r="J26" s="826"/>
      <c r="K26" s="826"/>
      <c r="L26" s="826"/>
      <c r="M26" s="826"/>
      <c r="N26" s="826"/>
      <c r="O26" s="826"/>
      <c r="P26" s="826"/>
      <c r="Q26" s="826"/>
      <c r="R26" s="826"/>
      <c r="S26" s="826"/>
      <c r="T26" s="826"/>
      <c r="U26" s="827"/>
    </row>
    <row r="27" spans="1:21" ht="13.5" thickBot="1" x14ac:dyDescent="0.25">
      <c r="A27" s="897" t="s">
        <v>1160</v>
      </c>
      <c r="B27" s="897"/>
      <c r="C27" s="897"/>
      <c r="D27" s="897"/>
      <c r="E27" s="848"/>
      <c r="F27" s="826"/>
      <c r="G27" s="826"/>
      <c r="H27" s="826"/>
      <c r="I27" s="826"/>
      <c r="J27" s="826"/>
      <c r="K27" s="826"/>
      <c r="L27" s="826"/>
      <c r="M27" s="826"/>
      <c r="N27" s="826"/>
      <c r="O27" s="826"/>
      <c r="P27" s="826"/>
      <c r="Q27" s="826"/>
      <c r="R27" s="826"/>
      <c r="S27" s="826"/>
      <c r="T27" s="826"/>
      <c r="U27" s="827"/>
    </row>
    <row r="28" spans="1:21" ht="13.5" thickBot="1" x14ac:dyDescent="0.25">
      <c r="A28" s="162"/>
      <c r="B28" s="847"/>
      <c r="C28" s="847"/>
      <c r="D28" s="847"/>
      <c r="E28" s="848"/>
      <c r="F28" s="826"/>
      <c r="G28" s="826"/>
      <c r="H28" s="826"/>
      <c r="I28" s="826"/>
      <c r="J28" s="826"/>
      <c r="K28" s="826"/>
      <c r="L28" s="826"/>
      <c r="M28" s="826"/>
      <c r="N28" s="826"/>
      <c r="O28" s="826"/>
      <c r="P28" s="826"/>
      <c r="Q28" s="826"/>
      <c r="R28" s="826"/>
      <c r="S28" s="826"/>
      <c r="T28" s="826"/>
      <c r="U28" s="827"/>
    </row>
    <row r="29" spans="1:21" ht="13.5" thickBot="1" x14ac:dyDescent="0.25">
      <c r="A29" s="856" t="s">
        <v>107</v>
      </c>
      <c r="B29" s="847"/>
      <c r="C29" s="847"/>
      <c r="D29" s="847"/>
      <c r="E29" s="848"/>
      <c r="F29" s="826"/>
      <c r="G29" s="826"/>
      <c r="H29" s="826"/>
      <c r="I29" s="826"/>
      <c r="J29" s="826"/>
      <c r="K29" s="826"/>
      <c r="L29" s="826"/>
      <c r="M29" s="826"/>
      <c r="N29" s="826"/>
      <c r="O29" s="826"/>
      <c r="P29" s="826"/>
      <c r="Q29" s="826"/>
      <c r="R29" s="826"/>
      <c r="S29" s="826"/>
      <c r="T29" s="826"/>
      <c r="U29" s="827"/>
    </row>
    <row r="30" spans="1:21" s="854" customFormat="1" ht="13.5" customHeight="1" thickBot="1" x14ac:dyDescent="0.25">
      <c r="A30" s="865" t="s">
        <v>112</v>
      </c>
      <c r="B30" s="861"/>
      <c r="C30" s="861"/>
      <c r="D30" s="861"/>
      <c r="E30" s="851"/>
      <c r="F30" s="852"/>
      <c r="G30" s="852"/>
      <c r="H30" s="852"/>
      <c r="I30" s="852"/>
      <c r="J30" s="852"/>
      <c r="K30" s="852"/>
      <c r="L30" s="852"/>
      <c r="M30" s="852"/>
      <c r="N30" s="852"/>
      <c r="O30" s="852"/>
      <c r="P30" s="852"/>
      <c r="Q30" s="852"/>
      <c r="R30" s="852"/>
      <c r="S30" s="852"/>
      <c r="T30" s="852"/>
      <c r="U30" s="853"/>
    </row>
    <row r="31" spans="1:21" s="854" customFormat="1" ht="13.5" thickBot="1" x14ac:dyDescent="0.25">
      <c r="A31" s="162"/>
      <c r="B31" s="846"/>
      <c r="C31" s="846"/>
      <c r="D31" s="846"/>
      <c r="E31" s="851"/>
      <c r="F31" s="852"/>
      <c r="G31" s="852"/>
      <c r="H31" s="852"/>
      <c r="I31" s="852"/>
      <c r="J31" s="852"/>
      <c r="K31" s="852"/>
      <c r="L31" s="852"/>
      <c r="M31" s="852"/>
      <c r="N31" s="852"/>
      <c r="O31" s="852"/>
      <c r="P31" s="852"/>
      <c r="Q31" s="852"/>
      <c r="R31" s="852"/>
      <c r="S31" s="852"/>
      <c r="T31" s="852"/>
      <c r="U31" s="853"/>
    </row>
    <row r="32" spans="1:21" s="854" customFormat="1" ht="13.5" thickBot="1" x14ac:dyDescent="0.25">
      <c r="A32" s="856" t="s">
        <v>1161</v>
      </c>
      <c r="B32" s="846"/>
      <c r="C32" s="846"/>
      <c r="D32" s="846"/>
      <c r="E32" s="851"/>
      <c r="F32" s="852"/>
      <c r="G32" s="852"/>
      <c r="H32" s="852"/>
      <c r="I32" s="852"/>
      <c r="J32" s="852"/>
      <c r="K32" s="852"/>
      <c r="L32" s="852"/>
      <c r="M32" s="852"/>
      <c r="N32" s="852"/>
      <c r="O32" s="852"/>
      <c r="P32" s="852"/>
      <c r="Q32" s="852"/>
      <c r="R32" s="852"/>
      <c r="S32" s="852"/>
      <c r="T32" s="852"/>
      <c r="U32" s="853"/>
    </row>
    <row r="33" spans="1:21" s="854" customFormat="1" ht="13.5" thickBot="1" x14ac:dyDescent="0.25">
      <c r="A33" s="855" t="s">
        <v>1162</v>
      </c>
      <c r="B33" s="846"/>
      <c r="C33" s="846"/>
      <c r="D33" s="846"/>
      <c r="E33" s="851"/>
      <c r="F33" s="852"/>
      <c r="G33" s="852"/>
      <c r="H33" s="852"/>
      <c r="I33" s="852"/>
      <c r="J33" s="852"/>
      <c r="K33" s="852"/>
      <c r="L33" s="852"/>
      <c r="M33" s="852"/>
      <c r="N33" s="852"/>
      <c r="O33" s="852"/>
      <c r="P33" s="852"/>
      <c r="Q33" s="852"/>
      <c r="R33" s="852"/>
      <c r="S33" s="852"/>
      <c r="T33" s="852"/>
      <c r="U33" s="853"/>
    </row>
    <row r="34" spans="1:21" s="854" customFormat="1" ht="13.5" thickBot="1" x14ac:dyDescent="0.25">
      <c r="A34" s="162"/>
      <c r="B34" s="846"/>
      <c r="C34" s="846"/>
      <c r="D34" s="846"/>
      <c r="E34" s="851"/>
      <c r="F34" s="852"/>
      <c r="G34" s="852"/>
      <c r="H34" s="852"/>
      <c r="I34" s="852"/>
      <c r="J34" s="852"/>
      <c r="K34" s="852"/>
      <c r="L34" s="852"/>
      <c r="M34" s="852"/>
      <c r="N34" s="852"/>
      <c r="O34" s="852"/>
      <c r="P34" s="852"/>
      <c r="Q34" s="852"/>
      <c r="R34" s="852"/>
      <c r="S34" s="852"/>
      <c r="T34" s="852"/>
      <c r="U34" s="853"/>
    </row>
    <row r="35" spans="1:21" s="854" customFormat="1" ht="13.5" thickBot="1" x14ac:dyDescent="0.25">
      <c r="A35" s="850" t="s">
        <v>1163</v>
      </c>
      <c r="B35" s="846"/>
      <c r="C35" s="846"/>
      <c r="D35" s="846"/>
      <c r="E35" s="851"/>
      <c r="F35" s="852"/>
      <c r="G35" s="852"/>
      <c r="H35" s="852"/>
      <c r="I35" s="852"/>
      <c r="J35" s="852"/>
      <c r="K35" s="852"/>
      <c r="L35" s="852"/>
      <c r="M35" s="852"/>
      <c r="N35" s="852"/>
      <c r="O35" s="852"/>
      <c r="P35" s="852"/>
      <c r="Q35" s="852"/>
      <c r="R35" s="852"/>
      <c r="S35" s="852"/>
      <c r="T35" s="852"/>
      <c r="U35" s="853"/>
    </row>
    <row r="36" spans="1:21" s="854" customFormat="1" ht="13.5" thickBot="1" x14ac:dyDescent="0.25">
      <c r="A36" s="857" t="s">
        <v>1168</v>
      </c>
      <c r="B36" s="846"/>
      <c r="C36" s="846"/>
      <c r="D36" s="846"/>
      <c r="E36" s="851"/>
      <c r="F36" s="852"/>
      <c r="G36" s="852"/>
      <c r="H36" s="852"/>
      <c r="I36" s="852"/>
      <c r="J36" s="852"/>
      <c r="K36" s="852"/>
      <c r="L36" s="852"/>
      <c r="M36" s="852"/>
      <c r="N36" s="852"/>
      <c r="O36" s="852"/>
      <c r="P36" s="852"/>
      <c r="Q36" s="852"/>
      <c r="R36" s="852"/>
      <c r="S36" s="852"/>
      <c r="T36" s="852"/>
      <c r="U36" s="853"/>
    </row>
    <row r="37" spans="1:21" s="854" customFormat="1" ht="13.5" thickBot="1" x14ac:dyDescent="0.25">
      <c r="A37" s="162"/>
      <c r="B37" s="846"/>
      <c r="C37" s="846"/>
      <c r="D37" s="846"/>
      <c r="E37" s="851"/>
      <c r="F37" s="852"/>
      <c r="G37" s="852"/>
      <c r="H37" s="852"/>
      <c r="I37" s="852"/>
      <c r="J37" s="852"/>
      <c r="K37" s="852"/>
      <c r="L37" s="852"/>
      <c r="M37" s="852"/>
      <c r="N37" s="852"/>
      <c r="O37" s="852"/>
      <c r="P37" s="852"/>
      <c r="Q37" s="852"/>
      <c r="R37" s="852"/>
      <c r="S37" s="852"/>
      <c r="T37" s="852"/>
      <c r="U37" s="853"/>
    </row>
    <row r="38" spans="1:21" s="854" customFormat="1" ht="13.5" thickBot="1" x14ac:dyDescent="0.25">
      <c r="A38" s="856" t="s">
        <v>99</v>
      </c>
      <c r="B38" s="846"/>
      <c r="C38" s="846"/>
      <c r="D38" s="846"/>
      <c r="E38" s="851"/>
      <c r="F38" s="852"/>
      <c r="G38" s="852"/>
      <c r="H38" s="852"/>
      <c r="I38" s="852"/>
      <c r="J38" s="852"/>
      <c r="K38" s="852"/>
      <c r="L38" s="852"/>
      <c r="M38" s="852"/>
      <c r="N38" s="852"/>
      <c r="O38" s="852"/>
      <c r="P38" s="852"/>
      <c r="Q38" s="852"/>
      <c r="R38" s="852"/>
      <c r="S38" s="852"/>
      <c r="T38" s="852"/>
      <c r="U38" s="853"/>
    </row>
    <row r="39" spans="1:21" s="854" customFormat="1" ht="13.5" thickBot="1" x14ac:dyDescent="0.25">
      <c r="A39" s="865" t="s">
        <v>115</v>
      </c>
      <c r="B39" s="846"/>
      <c r="C39" s="846"/>
      <c r="D39" s="846"/>
      <c r="E39" s="851"/>
      <c r="F39" s="852"/>
      <c r="G39" s="852"/>
      <c r="H39" s="852"/>
      <c r="I39" s="852"/>
      <c r="J39" s="852"/>
      <c r="K39" s="852"/>
      <c r="L39" s="852"/>
      <c r="M39" s="852"/>
      <c r="N39" s="852"/>
      <c r="O39" s="852"/>
      <c r="P39" s="852"/>
      <c r="Q39" s="852"/>
      <c r="R39" s="852"/>
      <c r="S39" s="852"/>
      <c r="T39" s="852"/>
      <c r="U39" s="853"/>
    </row>
    <row r="40" spans="1:21" s="854" customFormat="1" ht="13.5" thickBot="1" x14ac:dyDescent="0.25">
      <c r="A40" s="865"/>
      <c r="B40" s="846"/>
      <c r="C40" s="846"/>
      <c r="D40" s="846"/>
      <c r="E40" s="851"/>
      <c r="F40" s="852"/>
      <c r="G40" s="852"/>
      <c r="H40" s="852"/>
      <c r="I40" s="852"/>
      <c r="J40" s="852"/>
      <c r="K40" s="852"/>
      <c r="L40" s="852"/>
      <c r="M40" s="852"/>
      <c r="N40" s="852"/>
      <c r="O40" s="852"/>
      <c r="P40" s="852"/>
      <c r="Q40" s="852"/>
      <c r="R40" s="852"/>
      <c r="S40" s="852"/>
      <c r="T40" s="852"/>
      <c r="U40" s="853"/>
    </row>
    <row r="41" spans="1:21" s="854" customFormat="1" ht="13.5" thickBot="1" x14ac:dyDescent="0.25">
      <c r="A41" s="858" t="s">
        <v>79</v>
      </c>
      <c r="B41" s="846"/>
      <c r="C41" s="846"/>
      <c r="D41" s="846"/>
      <c r="E41" s="851"/>
      <c r="F41" s="852"/>
      <c r="G41" s="852"/>
      <c r="H41" s="852"/>
      <c r="I41" s="852"/>
      <c r="J41" s="852"/>
      <c r="K41" s="852"/>
      <c r="L41" s="852"/>
      <c r="M41" s="852"/>
      <c r="N41" s="852"/>
      <c r="O41" s="852"/>
      <c r="P41" s="852"/>
      <c r="Q41" s="852"/>
      <c r="R41" s="852"/>
      <c r="S41" s="852"/>
      <c r="T41" s="852"/>
      <c r="U41" s="853"/>
    </row>
    <row r="42" spans="1:21" s="854" customFormat="1" ht="13.5" thickBot="1" x14ac:dyDescent="0.25">
      <c r="A42" s="865" t="s">
        <v>80</v>
      </c>
      <c r="B42" s="846"/>
      <c r="C42" s="846"/>
      <c r="D42" s="846"/>
      <c r="E42" s="851"/>
      <c r="F42" s="852"/>
      <c r="G42" s="852"/>
      <c r="H42" s="852"/>
      <c r="I42" s="852"/>
      <c r="J42" s="852"/>
      <c r="K42" s="852"/>
      <c r="L42" s="852"/>
      <c r="M42" s="852"/>
      <c r="N42" s="852"/>
      <c r="O42" s="852"/>
      <c r="P42" s="852"/>
      <c r="Q42" s="852"/>
      <c r="R42" s="852"/>
      <c r="S42" s="852"/>
      <c r="T42" s="852"/>
      <c r="U42" s="853"/>
    </row>
    <row r="43" spans="1:21" s="854" customFormat="1" ht="13.5" thickBot="1" x14ac:dyDescent="0.25">
      <c r="A43" s="865"/>
      <c r="B43" s="846"/>
      <c r="C43" s="846"/>
      <c r="D43" s="846"/>
      <c r="E43" s="851"/>
      <c r="F43" s="852"/>
      <c r="G43" s="852"/>
      <c r="H43" s="852"/>
      <c r="I43" s="852"/>
      <c r="J43" s="852"/>
      <c r="K43" s="852"/>
      <c r="L43" s="852"/>
      <c r="M43" s="852"/>
      <c r="N43" s="852"/>
      <c r="O43" s="852"/>
      <c r="P43" s="852"/>
      <c r="Q43" s="852"/>
      <c r="R43" s="852"/>
      <c r="S43" s="852"/>
      <c r="T43" s="852"/>
      <c r="U43" s="853"/>
    </row>
    <row r="44" spans="1:21" s="854" customFormat="1" ht="13.5" thickBot="1" x14ac:dyDescent="0.25">
      <c r="A44" s="856" t="s">
        <v>81</v>
      </c>
      <c r="B44" s="846"/>
      <c r="C44" s="846"/>
      <c r="D44" s="846"/>
      <c r="E44" s="851"/>
      <c r="F44" s="852"/>
      <c r="G44" s="852"/>
      <c r="H44" s="852"/>
      <c r="I44" s="852"/>
      <c r="J44" s="852"/>
      <c r="K44" s="852"/>
      <c r="L44" s="852"/>
      <c r="M44" s="852"/>
      <c r="N44" s="852"/>
      <c r="O44" s="852"/>
      <c r="P44" s="852"/>
      <c r="Q44" s="852"/>
      <c r="R44" s="852"/>
      <c r="S44" s="852"/>
      <c r="T44" s="852"/>
      <c r="U44" s="853"/>
    </row>
    <row r="45" spans="1:21" s="854" customFormat="1" ht="13.5" thickBot="1" x14ac:dyDescent="0.25">
      <c r="A45" s="162" t="s">
        <v>113</v>
      </c>
      <c r="B45" s="846"/>
      <c r="C45" s="846"/>
      <c r="D45" s="846"/>
      <c r="E45" s="851"/>
      <c r="F45" s="852"/>
      <c r="G45" s="852"/>
      <c r="H45" s="852"/>
      <c r="I45" s="852"/>
      <c r="J45" s="852"/>
      <c r="K45" s="852"/>
      <c r="L45" s="852"/>
      <c r="M45" s="852"/>
      <c r="N45" s="852"/>
      <c r="O45" s="852"/>
      <c r="P45" s="852"/>
      <c r="Q45" s="852"/>
      <c r="R45" s="852"/>
      <c r="S45" s="852"/>
      <c r="T45" s="852"/>
      <c r="U45" s="853"/>
    </row>
    <row r="46" spans="1:21" s="854" customFormat="1" ht="13.5" thickBot="1" x14ac:dyDescent="0.25">
      <c r="A46" s="162"/>
      <c r="B46" s="846"/>
      <c r="C46" s="846"/>
      <c r="D46" s="846"/>
      <c r="E46" s="851"/>
      <c r="F46" s="852"/>
      <c r="G46" s="852"/>
      <c r="H46" s="852"/>
      <c r="I46" s="852"/>
      <c r="J46" s="852"/>
      <c r="K46" s="852"/>
      <c r="L46" s="852"/>
      <c r="M46" s="852"/>
      <c r="N46" s="852"/>
      <c r="O46" s="852"/>
      <c r="P46" s="852"/>
      <c r="Q46" s="852"/>
      <c r="R46" s="852"/>
      <c r="S46" s="852"/>
      <c r="T46" s="852"/>
      <c r="U46" s="853"/>
    </row>
    <row r="47" spans="1:21" s="854" customFormat="1" ht="13.5" thickBot="1" x14ac:dyDescent="0.25">
      <c r="A47" s="856" t="s">
        <v>108</v>
      </c>
      <c r="B47" s="846"/>
      <c r="C47" s="846"/>
      <c r="D47" s="846"/>
      <c r="E47" s="851"/>
      <c r="F47" s="852"/>
      <c r="G47" s="852"/>
      <c r="H47" s="852"/>
      <c r="I47" s="852"/>
      <c r="J47" s="852"/>
      <c r="K47" s="852"/>
      <c r="L47" s="852"/>
      <c r="M47" s="852"/>
      <c r="N47" s="852"/>
      <c r="O47" s="852"/>
      <c r="P47" s="852"/>
      <c r="Q47" s="852"/>
      <c r="R47" s="852"/>
      <c r="S47" s="852"/>
      <c r="T47" s="852"/>
      <c r="U47" s="853"/>
    </row>
    <row r="48" spans="1:21" s="854" customFormat="1" ht="13.5" thickBot="1" x14ac:dyDescent="0.25">
      <c r="A48" s="866" t="s">
        <v>1164</v>
      </c>
      <c r="B48" s="846"/>
      <c r="C48" s="846"/>
      <c r="D48" s="846"/>
      <c r="E48" s="851"/>
      <c r="F48" s="852"/>
      <c r="G48" s="852"/>
      <c r="H48" s="852"/>
      <c r="I48" s="852"/>
      <c r="J48" s="852"/>
      <c r="K48" s="852"/>
      <c r="L48" s="852"/>
      <c r="M48" s="852"/>
      <c r="N48" s="852"/>
      <c r="O48" s="852"/>
      <c r="P48" s="852"/>
      <c r="Q48" s="852"/>
      <c r="R48" s="852"/>
      <c r="S48" s="852"/>
      <c r="T48" s="852"/>
      <c r="U48" s="853"/>
    </row>
    <row r="49" spans="1:21" s="854" customFormat="1" ht="13.5" thickBot="1" x14ac:dyDescent="0.25">
      <c r="A49" s="162"/>
      <c r="B49" s="846"/>
      <c r="C49" s="846"/>
      <c r="D49" s="846"/>
      <c r="E49" s="851"/>
      <c r="F49" s="852"/>
      <c r="G49" s="852"/>
      <c r="H49" s="852"/>
      <c r="I49" s="852"/>
      <c r="J49" s="852"/>
      <c r="K49" s="852"/>
      <c r="L49" s="852"/>
      <c r="M49" s="852"/>
      <c r="N49" s="852"/>
      <c r="O49" s="852"/>
      <c r="P49" s="852"/>
      <c r="Q49" s="852"/>
      <c r="R49" s="852"/>
      <c r="S49" s="852"/>
      <c r="T49" s="852"/>
      <c r="U49" s="853"/>
    </row>
    <row r="50" spans="1:21" s="854" customFormat="1" ht="13.5" thickBot="1" x14ac:dyDescent="0.25">
      <c r="A50" s="856" t="s">
        <v>109</v>
      </c>
      <c r="B50" s="846"/>
      <c r="C50" s="846"/>
      <c r="D50" s="846"/>
      <c r="E50" s="851"/>
      <c r="F50" s="852"/>
      <c r="G50" s="852"/>
      <c r="H50" s="852"/>
      <c r="I50" s="852"/>
      <c r="J50" s="852"/>
      <c r="K50" s="852"/>
      <c r="L50" s="852"/>
      <c r="M50" s="852"/>
      <c r="N50" s="852"/>
      <c r="O50" s="852"/>
      <c r="P50" s="852"/>
      <c r="Q50" s="852"/>
      <c r="R50" s="852"/>
      <c r="S50" s="852"/>
      <c r="T50" s="852"/>
      <c r="U50" s="853"/>
    </row>
    <row r="51" spans="1:21" s="854" customFormat="1" ht="13.5" thickBot="1" x14ac:dyDescent="0.25">
      <c r="A51" s="162" t="s">
        <v>82</v>
      </c>
      <c r="B51" s="846"/>
      <c r="C51" s="846"/>
      <c r="D51" s="846"/>
      <c r="E51" s="851"/>
      <c r="F51" s="852"/>
      <c r="G51" s="852"/>
      <c r="H51" s="852"/>
      <c r="I51" s="852"/>
      <c r="J51" s="852"/>
      <c r="K51" s="852"/>
      <c r="L51" s="852"/>
      <c r="M51" s="852"/>
      <c r="N51" s="852"/>
      <c r="O51" s="852"/>
      <c r="P51" s="852"/>
      <c r="Q51" s="852"/>
      <c r="R51" s="852"/>
      <c r="S51" s="852"/>
      <c r="T51" s="852"/>
      <c r="U51" s="853"/>
    </row>
    <row r="52" spans="1:21" s="854" customFormat="1" ht="13.5" thickBot="1" x14ac:dyDescent="0.25">
      <c r="A52" s="162"/>
      <c r="B52" s="846"/>
      <c r="C52" s="846"/>
      <c r="D52" s="846"/>
      <c r="E52" s="851"/>
      <c r="F52" s="852"/>
      <c r="G52" s="852"/>
      <c r="H52" s="852"/>
      <c r="I52" s="852"/>
      <c r="J52" s="852"/>
      <c r="K52" s="852"/>
      <c r="L52" s="852"/>
      <c r="M52" s="852"/>
      <c r="N52" s="852"/>
      <c r="O52" s="852"/>
      <c r="P52" s="852"/>
      <c r="Q52" s="852"/>
      <c r="R52" s="852"/>
      <c r="S52" s="852"/>
      <c r="T52" s="852"/>
      <c r="U52" s="853"/>
    </row>
    <row r="53" spans="1:21" s="854" customFormat="1" ht="13.5" thickBot="1" x14ac:dyDescent="0.25">
      <c r="A53" s="856" t="s">
        <v>110</v>
      </c>
      <c r="B53" s="846"/>
      <c r="C53" s="846"/>
      <c r="D53" s="846"/>
      <c r="E53" s="851"/>
      <c r="F53" s="852"/>
      <c r="G53" s="852"/>
      <c r="H53" s="852"/>
      <c r="I53" s="852"/>
      <c r="J53" s="852"/>
      <c r="K53" s="852"/>
      <c r="L53" s="852"/>
      <c r="M53" s="852"/>
      <c r="N53" s="852"/>
      <c r="O53" s="852"/>
      <c r="P53" s="852"/>
      <c r="Q53" s="852"/>
      <c r="R53" s="852"/>
      <c r="S53" s="852"/>
      <c r="T53" s="852"/>
      <c r="U53" s="853"/>
    </row>
    <row r="54" spans="1:21" s="854" customFormat="1" ht="13.5" thickBot="1" x14ac:dyDescent="0.25">
      <c r="A54" s="162" t="s">
        <v>114</v>
      </c>
      <c r="B54" s="846"/>
      <c r="C54" s="846"/>
      <c r="D54" s="846"/>
      <c r="E54" s="851"/>
      <c r="F54" s="852"/>
      <c r="G54" s="852"/>
      <c r="H54" s="852"/>
      <c r="I54" s="852"/>
      <c r="J54" s="852"/>
      <c r="K54" s="852"/>
      <c r="L54" s="852"/>
      <c r="M54" s="852"/>
      <c r="N54" s="852"/>
      <c r="O54" s="852"/>
      <c r="P54" s="852"/>
      <c r="Q54" s="852"/>
      <c r="R54" s="852"/>
      <c r="S54" s="852"/>
      <c r="T54" s="852"/>
      <c r="U54" s="853"/>
    </row>
    <row r="55" spans="1:21" s="854" customFormat="1" ht="13.5" thickBot="1" x14ac:dyDescent="0.25">
      <c r="A55" s="162"/>
      <c r="B55" s="846"/>
      <c r="C55" s="846"/>
      <c r="D55" s="846"/>
      <c r="E55" s="851"/>
      <c r="F55" s="852"/>
      <c r="G55" s="852"/>
      <c r="H55" s="852"/>
      <c r="I55" s="852"/>
      <c r="J55" s="852"/>
      <c r="K55" s="852"/>
      <c r="L55" s="852"/>
      <c r="M55" s="852"/>
      <c r="N55" s="852"/>
      <c r="O55" s="852"/>
      <c r="P55" s="852"/>
      <c r="Q55" s="852"/>
      <c r="R55" s="852"/>
      <c r="S55" s="852"/>
      <c r="T55" s="852"/>
      <c r="U55" s="853"/>
    </row>
    <row r="56" spans="1:21" s="854" customFormat="1" ht="13.5" thickBot="1" x14ac:dyDescent="0.25">
      <c r="A56" s="856" t="s">
        <v>111</v>
      </c>
      <c r="B56" s="846"/>
      <c r="C56" s="846"/>
      <c r="D56" s="846"/>
      <c r="E56" s="851"/>
      <c r="F56" s="852"/>
      <c r="G56" s="852"/>
      <c r="H56" s="852"/>
      <c r="I56" s="852"/>
      <c r="J56" s="852"/>
      <c r="K56" s="852"/>
      <c r="L56" s="852"/>
      <c r="M56" s="852"/>
      <c r="N56" s="852"/>
      <c r="O56" s="852"/>
      <c r="P56" s="852"/>
      <c r="Q56" s="852"/>
      <c r="R56" s="852"/>
      <c r="S56" s="852"/>
      <c r="T56" s="852"/>
      <c r="U56" s="853"/>
    </row>
    <row r="57" spans="1:21" s="854" customFormat="1" ht="13.5" thickBot="1" x14ac:dyDescent="0.25">
      <c r="A57" s="862" t="s">
        <v>221</v>
      </c>
      <c r="B57" s="846"/>
      <c r="C57" s="846"/>
      <c r="D57" s="846"/>
      <c r="E57" s="851"/>
      <c r="F57" s="852"/>
      <c r="G57" s="852"/>
      <c r="H57" s="852"/>
      <c r="I57" s="852"/>
      <c r="J57" s="852"/>
      <c r="K57" s="852"/>
      <c r="L57" s="852"/>
      <c r="M57" s="852"/>
      <c r="N57" s="852"/>
      <c r="O57" s="852"/>
      <c r="P57" s="852"/>
      <c r="Q57" s="852"/>
      <c r="R57" s="852"/>
      <c r="S57" s="852"/>
      <c r="T57" s="852"/>
      <c r="U57" s="853"/>
    </row>
    <row r="58" spans="1:21" s="854" customFormat="1" ht="13.5" thickBot="1" x14ac:dyDescent="0.25">
      <c r="A58" s="162"/>
      <c r="B58" s="846"/>
      <c r="C58" s="846"/>
      <c r="D58" s="846"/>
      <c r="E58" s="851"/>
      <c r="F58" s="852"/>
      <c r="G58" s="852"/>
      <c r="H58" s="852"/>
      <c r="I58" s="852"/>
      <c r="J58" s="852"/>
      <c r="K58" s="852"/>
      <c r="L58" s="852"/>
      <c r="M58" s="852"/>
      <c r="N58" s="852"/>
      <c r="O58" s="852"/>
      <c r="P58" s="852"/>
      <c r="Q58" s="852"/>
      <c r="R58" s="852"/>
      <c r="S58" s="852"/>
      <c r="T58" s="852"/>
      <c r="U58" s="853"/>
    </row>
    <row r="59" spans="1:21" s="854" customFormat="1" ht="13.5" thickBot="1" x14ac:dyDescent="0.25">
      <c r="A59" s="856" t="s">
        <v>31</v>
      </c>
      <c r="B59" s="846"/>
      <c r="C59" s="846"/>
      <c r="D59" s="846"/>
      <c r="E59" s="851"/>
      <c r="F59" s="852"/>
      <c r="G59" s="852"/>
      <c r="H59" s="852"/>
      <c r="I59" s="852"/>
      <c r="J59" s="852"/>
      <c r="K59" s="852"/>
      <c r="L59" s="852"/>
      <c r="M59" s="852"/>
      <c r="N59" s="852"/>
      <c r="O59" s="852"/>
      <c r="P59" s="852"/>
      <c r="Q59" s="852"/>
      <c r="R59" s="852"/>
      <c r="S59" s="852"/>
      <c r="T59" s="852"/>
      <c r="U59" s="853"/>
    </row>
    <row r="60" spans="1:21" s="854" customFormat="1" ht="13.5" thickBot="1" x14ac:dyDescent="0.25">
      <c r="A60" s="862" t="s">
        <v>220</v>
      </c>
      <c r="B60" s="846"/>
      <c r="C60" s="846"/>
      <c r="D60" s="846"/>
      <c r="E60" s="851"/>
      <c r="F60" s="852"/>
      <c r="G60" s="852"/>
      <c r="H60" s="852"/>
      <c r="I60" s="852"/>
      <c r="J60" s="852"/>
      <c r="K60" s="852"/>
      <c r="L60" s="852"/>
      <c r="M60" s="852"/>
      <c r="N60" s="852"/>
      <c r="O60" s="852"/>
      <c r="P60" s="852"/>
      <c r="Q60" s="852"/>
      <c r="R60" s="852"/>
      <c r="S60" s="852"/>
      <c r="T60" s="852"/>
      <c r="U60" s="853"/>
    </row>
    <row r="61" spans="1:21" s="854" customFormat="1" ht="13.5" thickBot="1" x14ac:dyDescent="0.25">
      <c r="A61" s="859"/>
      <c r="B61" s="846"/>
      <c r="C61" s="846"/>
      <c r="D61" s="846"/>
      <c r="E61" s="851"/>
      <c r="F61" s="852"/>
      <c r="G61" s="852"/>
      <c r="H61" s="852"/>
      <c r="I61" s="852"/>
      <c r="J61" s="852"/>
      <c r="K61" s="852"/>
      <c r="L61" s="852"/>
      <c r="M61" s="852"/>
      <c r="N61" s="852"/>
      <c r="O61" s="852"/>
      <c r="P61" s="852"/>
      <c r="Q61" s="852"/>
      <c r="R61" s="852"/>
      <c r="S61" s="852"/>
      <c r="T61" s="852"/>
      <c r="U61" s="853"/>
    </row>
    <row r="62" spans="1:21" x14ac:dyDescent="0.2">
      <c r="A62" s="856"/>
    </row>
    <row r="63" spans="1:21" x14ac:dyDescent="0.2">
      <c r="A63" s="859"/>
    </row>
    <row r="64" spans="1:21" x14ac:dyDescent="0.2">
      <c r="A64" s="859"/>
    </row>
    <row r="65" spans="1:1" x14ac:dyDescent="0.2">
      <c r="A65" s="856"/>
    </row>
    <row r="66" spans="1:1" x14ac:dyDescent="0.2">
      <c r="A66" s="859"/>
    </row>
    <row r="67" spans="1:1" x14ac:dyDescent="0.2">
      <c r="A67" s="859"/>
    </row>
    <row r="68" spans="1:1" x14ac:dyDescent="0.2">
      <c r="A68" s="856"/>
    </row>
    <row r="69" spans="1:1" x14ac:dyDescent="0.2">
      <c r="A69" s="859"/>
    </row>
    <row r="70" spans="1:1" x14ac:dyDescent="0.2">
      <c r="A70" s="859"/>
    </row>
    <row r="71" spans="1:1" x14ac:dyDescent="0.2">
      <c r="A71" s="856"/>
    </row>
    <row r="72" spans="1:1" x14ac:dyDescent="0.2">
      <c r="A72" s="859"/>
    </row>
    <row r="73" spans="1:1" x14ac:dyDescent="0.2">
      <c r="A73" s="859"/>
    </row>
    <row r="74" spans="1:1" x14ac:dyDescent="0.2">
      <c r="A74" s="856"/>
    </row>
    <row r="75" spans="1:1" x14ac:dyDescent="0.2">
      <c r="A75" s="859"/>
    </row>
    <row r="76" spans="1:1" x14ac:dyDescent="0.2">
      <c r="A76" s="859"/>
    </row>
    <row r="77" spans="1:1" x14ac:dyDescent="0.2">
      <c r="A77" s="856"/>
    </row>
    <row r="78" spans="1:1" x14ac:dyDescent="0.2">
      <c r="A78" s="859"/>
    </row>
  </sheetData>
  <mergeCells count="3">
    <mergeCell ref="B2:C6"/>
    <mergeCell ref="A12:A14"/>
    <mergeCell ref="A27:D27"/>
  </mergeCells>
  <hyperlinks>
    <hyperlink ref="A23" location="'ERR &amp; Sensitivity Analysis'!A1" display="ERR &amp; Sensitivity Analysis"/>
    <hyperlink ref="A20" location="'Activity Description'!A1" display="Activity Description"/>
    <hyperlink ref="A29" location="ERR!A1" display="ERR"/>
    <hyperlink ref="A41" location="Assumptions!A1" display="Assumptions"/>
    <hyperlink ref="A59" location="'Statistics of Interest'!A1" display="Statistics of Interest"/>
    <hyperlink ref="A44" location="'Value Chain'!A1" display="Value Chain"/>
    <hyperlink ref="A47" location="'Boat Revenues'!A1" display="Boat Revenues"/>
    <hyperlink ref="A50" location="'Boat Costs'!A1" display="Boat Costs"/>
    <hyperlink ref="A38" location="Summary!A1" display="Summary"/>
    <hyperlink ref="A53" location="'Equipment Operational Costs'!A1" display="Equipment Operational Costs"/>
    <hyperlink ref="A56" location="'Investment Breakdown'!A1" display="Investment Breakdown"/>
    <hyperlink ref="A26" location="'Cost-Benefit Summary'!A1" display="Cost Benefit Summary"/>
    <hyperlink ref="A32" location="'ooc2 DFP'!A1" display="Ooc2 DFP"/>
    <hyperlink ref="A35" location="'july 2013 PPA monthly report'!A1" display="july 2013 PPA monthly report"/>
  </hyperlinks>
  <pageMargins left="0.78740157499999996" right="0.78740157499999996" top="0.984251969" bottom="0.984251969"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DF248"/>
  <sheetViews>
    <sheetView topLeftCell="A211" zoomScale="80" zoomScaleNormal="80" workbookViewId="0">
      <selection activeCell="A18" sqref="A18"/>
    </sheetView>
  </sheetViews>
  <sheetFormatPr defaultColWidth="9.140625" defaultRowHeight="12.75" x14ac:dyDescent="0.2"/>
  <cols>
    <col min="1" max="1" width="17.28515625" customWidth="1"/>
    <col min="2" max="2" width="11.42578125" customWidth="1"/>
    <col min="3" max="3" width="28.42578125" customWidth="1"/>
    <col min="4" max="4" width="15" style="2" customWidth="1"/>
    <col min="5" max="5" width="10.140625" customWidth="1"/>
    <col min="6" max="6" width="10" customWidth="1"/>
    <col min="7" max="7" width="10.140625" customWidth="1"/>
    <col min="8" max="8" width="11.7109375" customWidth="1"/>
    <col min="9" max="9" width="10.28515625" customWidth="1"/>
    <col min="10" max="12" width="11.7109375" customWidth="1"/>
    <col min="13" max="13" width="10.85546875" customWidth="1"/>
    <col min="14" max="14" width="11.7109375" customWidth="1"/>
    <col min="15" max="15" width="11.42578125" customWidth="1"/>
    <col min="16" max="16" width="9.5703125" bestFit="1" customWidth="1"/>
    <col min="17" max="17" width="12.85546875" customWidth="1"/>
    <col min="18" max="18" width="12.42578125" customWidth="1"/>
    <col min="19" max="20" width="9.5703125" bestFit="1" customWidth="1"/>
    <col min="21" max="21" width="11.140625" bestFit="1" customWidth="1"/>
    <col min="22" max="37" width="9.5703125" bestFit="1" customWidth="1"/>
    <col min="38" max="38" width="10.5703125" bestFit="1" customWidth="1"/>
    <col min="39" max="40" width="9.5703125" bestFit="1" customWidth="1"/>
    <col min="41" max="110" width="11.42578125" customWidth="1"/>
    <col min="111" max="256" width="11.42578125" style="47" customWidth="1"/>
    <col min="257" max="16384" width="9.140625" style="47"/>
  </cols>
  <sheetData>
    <row r="1" spans="1:110" ht="18.75" thickBot="1" x14ac:dyDescent="0.3">
      <c r="A1" s="1038" t="s">
        <v>117</v>
      </c>
      <c r="B1" s="1039"/>
      <c r="C1" s="1039"/>
      <c r="D1" s="1039"/>
      <c r="E1" s="1039"/>
      <c r="F1" s="1039"/>
      <c r="G1" s="1040"/>
      <c r="H1" s="350"/>
      <c r="I1" s="350"/>
      <c r="J1" s="350"/>
      <c r="K1" s="350"/>
      <c r="L1" s="350"/>
      <c r="M1" s="350"/>
      <c r="N1" s="350"/>
      <c r="O1" s="263"/>
      <c r="P1" s="263"/>
      <c r="Q1" s="263"/>
      <c r="R1" s="263"/>
      <c r="S1" s="263"/>
      <c r="T1" s="263"/>
      <c r="U1" s="263"/>
      <c r="V1" s="263"/>
      <c r="W1" s="47"/>
    </row>
    <row r="2" spans="1:110" ht="13.5" customHeight="1" thickTop="1" x14ac:dyDescent="0.2">
      <c r="A2" s="1041">
        <f>IF('ERR &amp; Sensitivity Analysis'!$I$10="N","Note: Current calculations are based on user input and are not the original MCC estimates.",IF('ERR &amp; Sensitivity Analysis'!$I$11="N","Note: Current calculations are based on user input and are not the original MCC estimates.",0))</f>
        <v>0</v>
      </c>
      <c r="B2" s="1042"/>
      <c r="C2" s="1042"/>
      <c r="D2" s="1042"/>
      <c r="E2" s="1042"/>
      <c r="F2" s="1042"/>
      <c r="G2" s="1043"/>
      <c r="H2" s="273"/>
      <c r="I2" s="273"/>
      <c r="J2" s="273"/>
      <c r="K2" s="273"/>
      <c r="L2" s="273"/>
      <c r="M2" s="273"/>
      <c r="N2" s="273"/>
      <c r="O2" s="264"/>
      <c r="P2" s="264"/>
    </row>
    <row r="3" spans="1:110" x14ac:dyDescent="0.2">
      <c r="A3" s="47"/>
      <c r="B3" s="7"/>
      <c r="C3" s="7"/>
    </row>
    <row r="4" spans="1:110" s="63" customFormat="1" x14ac:dyDescent="0.2">
      <c r="A4" s="431" t="s">
        <v>1212</v>
      </c>
      <c r="B4" s="432"/>
      <c r="C4" s="43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row>
    <row r="5" spans="1:110" s="63" customFormat="1" ht="13.5" thickBot="1" x14ac:dyDescent="0.25">
      <c r="A5" s="19"/>
      <c r="B5" s="35"/>
      <c r="C5" s="35"/>
      <c r="D5" s="18"/>
      <c r="E5" s="46"/>
      <c r="F5" s="46"/>
      <c r="G5" s="171"/>
      <c r="H5" s="46"/>
      <c r="I5" s="46"/>
      <c r="J5" s="46"/>
      <c r="K5" s="46"/>
      <c r="L5" s="46"/>
      <c r="M5" s="46"/>
      <c r="N5" s="46"/>
      <c r="O5" s="7"/>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row>
    <row r="6" spans="1:110" s="63" customFormat="1" ht="13.5" thickBot="1" x14ac:dyDescent="0.25">
      <c r="A6" s="174" t="s">
        <v>49</v>
      </c>
      <c r="B6" s="175"/>
      <c r="C6" s="175"/>
      <c r="D6" s="219" t="s">
        <v>126</v>
      </c>
      <c r="E6" s="219" t="s">
        <v>127</v>
      </c>
      <c r="F6" s="219" t="s">
        <v>128</v>
      </c>
      <c r="G6" s="219" t="s">
        <v>129</v>
      </c>
      <c r="H6" s="219" t="s">
        <v>130</v>
      </c>
      <c r="I6" s="219" t="s">
        <v>131</v>
      </c>
      <c r="J6" s="219" t="s">
        <v>132</v>
      </c>
      <c r="K6" s="219" t="s">
        <v>133</v>
      </c>
      <c r="L6" s="219" t="s">
        <v>134</v>
      </c>
      <c r="M6" s="219" t="s">
        <v>135</v>
      </c>
      <c r="N6" s="219" t="s">
        <v>136</v>
      </c>
      <c r="O6" s="220" t="s">
        <v>137</v>
      </c>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row>
    <row r="7" spans="1:110" s="63" customFormat="1" x14ac:dyDescent="0.2">
      <c r="A7" s="440" t="s">
        <v>14</v>
      </c>
      <c r="B7" s="7"/>
      <c r="C7" s="7"/>
      <c r="D7" s="18"/>
      <c r="E7" s="46"/>
      <c r="F7" s="46"/>
      <c r="G7" s="171"/>
      <c r="H7" s="46"/>
      <c r="I7" s="46"/>
      <c r="J7" s="46"/>
      <c r="K7" s="46"/>
      <c r="L7" s="46"/>
      <c r="M7" s="46"/>
      <c r="N7" s="46"/>
      <c r="O7" s="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row>
    <row r="8" spans="1:110" s="63" customFormat="1" x14ac:dyDescent="0.2">
      <c r="A8" s="167" t="s">
        <v>118</v>
      </c>
      <c r="B8" s="111"/>
      <c r="C8" s="168"/>
      <c r="D8" s="18"/>
      <c r="E8" s="46"/>
      <c r="F8" s="46"/>
      <c r="G8" s="171"/>
      <c r="H8" s="46"/>
      <c r="I8" s="46"/>
      <c r="J8" s="46"/>
      <c r="K8" s="46"/>
      <c r="L8" s="46"/>
      <c r="M8" s="46"/>
      <c r="N8" s="46"/>
      <c r="O8" s="7"/>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row>
    <row r="9" spans="1:110" s="63" customFormat="1" x14ac:dyDescent="0.2">
      <c r="A9" s="170" t="s">
        <v>1220</v>
      </c>
      <c r="B9" s="7"/>
      <c r="C9" s="7"/>
      <c r="D9" s="30">
        <f>+'Statistics of Interest'!D5</f>
        <v>135</v>
      </c>
      <c r="E9" s="46">
        <f>+D9*(1+Assumptions!$Q$11)</f>
        <v>135</v>
      </c>
      <c r="F9" s="46">
        <f>+E9*(1+Assumptions!$Q$11)</f>
        <v>135</v>
      </c>
      <c r="G9" s="46">
        <f>+F9*(1+Assumptions!$Q$11)</f>
        <v>135</v>
      </c>
      <c r="H9" s="46">
        <f>+G9*(1+Assumptions!$Q$11)</f>
        <v>135</v>
      </c>
      <c r="I9" s="46">
        <f>+H9*(1+Assumptions!$Q$11)</f>
        <v>135</v>
      </c>
      <c r="J9" s="46">
        <f>+I9*(1+Assumptions!$Q$11)</f>
        <v>135</v>
      </c>
      <c r="K9" s="46">
        <f>+J9*(1+Assumptions!$Q$11)</f>
        <v>135</v>
      </c>
      <c r="L9" s="46">
        <f>+K9*(1+Assumptions!$Q$11)</f>
        <v>135</v>
      </c>
      <c r="M9" s="46">
        <f>+L9*(1+Assumptions!$Q$11)</f>
        <v>135</v>
      </c>
      <c r="N9" s="46">
        <f>+M9*(1+Assumptions!$Q$11)</f>
        <v>135</v>
      </c>
      <c r="O9" s="46">
        <f>+N9*(1+Assumptions!$Q$11)</f>
        <v>135</v>
      </c>
      <c r="P9" s="46"/>
      <c r="Q9" s="46"/>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row>
    <row r="10" spans="1:110" s="63" customFormat="1" x14ac:dyDescent="0.2">
      <c r="A10" s="2"/>
      <c r="B10" s="7"/>
      <c r="C10" s="7"/>
      <c r="D10" s="444"/>
      <c r="E10" s="46"/>
      <c r="F10" s="46"/>
      <c r="G10" s="171"/>
      <c r="H10" s="46"/>
      <c r="I10" s="46"/>
      <c r="J10" s="46"/>
      <c r="K10" s="46"/>
      <c r="L10" s="46"/>
      <c r="M10" s="46"/>
      <c r="N10" s="46"/>
      <c r="O10" s="7"/>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row>
    <row r="11" spans="1:110" s="63" customFormat="1" ht="12.75" customHeight="1" x14ac:dyDescent="0.2">
      <c r="A11" s="172" t="s">
        <v>119</v>
      </c>
      <c r="B11" s="20"/>
      <c r="C11" s="20"/>
      <c r="D11" s="21">
        <f>+'Boat Revenues'!C3</f>
        <v>9610.782577122678</v>
      </c>
      <c r="E11" s="21">
        <f>+'Boat Revenues'!D3</f>
        <v>9610.782577122678</v>
      </c>
      <c r="F11" s="21">
        <f>+'Boat Revenues'!E3</f>
        <v>9610.782577122678</v>
      </c>
      <c r="G11" s="21">
        <f>+'Boat Revenues'!F3</f>
        <v>9610.782577122678</v>
      </c>
      <c r="H11" s="21">
        <f>+'Boat Revenues'!G3</f>
        <v>9610.782577122678</v>
      </c>
      <c r="I11" s="21">
        <f>+'Boat Revenues'!H3</f>
        <v>9610.782577122678</v>
      </c>
      <c r="J11" s="21">
        <f>+'Boat Revenues'!I3</f>
        <v>9610.782577122678</v>
      </c>
      <c r="K11" s="21">
        <f>+'Boat Revenues'!J3</f>
        <v>9610.782577122678</v>
      </c>
      <c r="L11" s="21">
        <f>+'Boat Revenues'!K3</f>
        <v>9610.782577122678</v>
      </c>
      <c r="M11" s="21">
        <f>+'Boat Revenues'!L3</f>
        <v>9610.782577122678</v>
      </c>
      <c r="N11" s="21">
        <f>+'Boat Revenues'!M3</f>
        <v>96107.825771226548</v>
      </c>
      <c r="O11" s="21">
        <f>+'Boat Revenues'!N3</f>
        <v>96107.825771226548</v>
      </c>
      <c r="P11"/>
      <c r="Q11"/>
      <c r="R11" s="1044" t="s">
        <v>51</v>
      </c>
      <c r="S11" s="1044"/>
      <c r="T11" s="1044"/>
      <c r="U11" s="1044"/>
      <c r="V11" s="1044"/>
      <c r="W11" s="1044"/>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row>
    <row r="12" spans="1:110" s="63" customFormat="1" x14ac:dyDescent="0.2">
      <c r="A12" s="23" t="s">
        <v>120</v>
      </c>
      <c r="B12" s="22"/>
      <c r="C12" s="22"/>
      <c r="D12" s="385">
        <f>(0.5*D11)</f>
        <v>4805.391288561339</v>
      </c>
      <c r="E12" s="385">
        <f t="shared" ref="E12:O12" si="0">(0.5*E11)</f>
        <v>4805.391288561339</v>
      </c>
      <c r="F12" s="385">
        <f t="shared" si="0"/>
        <v>4805.391288561339</v>
      </c>
      <c r="G12" s="385">
        <f t="shared" si="0"/>
        <v>4805.391288561339</v>
      </c>
      <c r="H12" s="385">
        <f t="shared" si="0"/>
        <v>4805.391288561339</v>
      </c>
      <c r="I12" s="385">
        <f t="shared" si="0"/>
        <v>4805.391288561339</v>
      </c>
      <c r="J12" s="385">
        <f t="shared" si="0"/>
        <v>4805.391288561339</v>
      </c>
      <c r="K12" s="385">
        <f t="shared" si="0"/>
        <v>4805.391288561339</v>
      </c>
      <c r="L12" s="385">
        <f t="shared" si="0"/>
        <v>4805.391288561339</v>
      </c>
      <c r="M12" s="385">
        <f t="shared" si="0"/>
        <v>4805.391288561339</v>
      </c>
      <c r="N12" s="385">
        <f t="shared" si="0"/>
        <v>48053.912885613274</v>
      </c>
      <c r="O12" s="385">
        <f t="shared" si="0"/>
        <v>48053.912885613274</v>
      </c>
      <c r="P12"/>
      <c r="Q12"/>
      <c r="R12" s="1044"/>
      <c r="S12" s="1044"/>
      <c r="T12" s="1044"/>
      <c r="U12" s="1044"/>
      <c r="V12" s="1044"/>
      <c r="W12" s="1044"/>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row>
    <row r="13" spans="1:110" s="63" customFormat="1" x14ac:dyDescent="0.2">
      <c r="A13" s="23" t="s">
        <v>121</v>
      </c>
      <c r="B13" s="22"/>
      <c r="C13" s="22"/>
      <c r="D13" s="385">
        <f t="shared" ref="D13:O13" si="1">D11*0.5/4</f>
        <v>1201.3478221403348</v>
      </c>
      <c r="E13" s="385">
        <f t="shared" si="1"/>
        <v>1201.3478221403348</v>
      </c>
      <c r="F13" s="385">
        <f t="shared" si="1"/>
        <v>1201.3478221403348</v>
      </c>
      <c r="G13" s="385">
        <f t="shared" si="1"/>
        <v>1201.3478221403348</v>
      </c>
      <c r="H13" s="385">
        <f t="shared" si="1"/>
        <v>1201.3478221403348</v>
      </c>
      <c r="I13" s="385">
        <f t="shared" si="1"/>
        <v>1201.3478221403348</v>
      </c>
      <c r="J13" s="385">
        <f t="shared" si="1"/>
        <v>1201.3478221403348</v>
      </c>
      <c r="K13" s="385">
        <f t="shared" si="1"/>
        <v>1201.3478221403348</v>
      </c>
      <c r="L13" s="385">
        <f t="shared" si="1"/>
        <v>1201.3478221403348</v>
      </c>
      <c r="M13" s="385">
        <f t="shared" si="1"/>
        <v>1201.3478221403348</v>
      </c>
      <c r="N13" s="385">
        <f t="shared" si="1"/>
        <v>12013.478221403318</v>
      </c>
      <c r="O13" s="385">
        <f t="shared" si="1"/>
        <v>12013.478221403318</v>
      </c>
      <c r="P13"/>
      <c r="Q13"/>
      <c r="R13" s="1044"/>
      <c r="S13" s="1044"/>
      <c r="T13" s="1044"/>
      <c r="U13" s="1044"/>
      <c r="V13" s="1044"/>
      <c r="W13" s="1044"/>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row>
    <row r="14" spans="1:110" s="63" customFormat="1" x14ac:dyDescent="0.2">
      <c r="A14" s="172" t="s">
        <v>214</v>
      </c>
      <c r="B14" s="41"/>
      <c r="C14" s="41"/>
      <c r="D14" s="385">
        <f>+D11*D9/1000</f>
        <v>1297.4556479115618</v>
      </c>
      <c r="E14" s="385">
        <f t="shared" ref="E14:O14" si="2">+E11*E9/1000</f>
        <v>1297.4556479115618</v>
      </c>
      <c r="F14" s="385">
        <f t="shared" si="2"/>
        <v>1297.4556479115618</v>
      </c>
      <c r="G14" s="385">
        <f t="shared" si="2"/>
        <v>1297.4556479115618</v>
      </c>
      <c r="H14" s="385">
        <f t="shared" si="2"/>
        <v>1297.4556479115618</v>
      </c>
      <c r="I14" s="385">
        <f t="shared" si="2"/>
        <v>1297.4556479115618</v>
      </c>
      <c r="J14" s="385">
        <f t="shared" si="2"/>
        <v>1297.4556479115618</v>
      </c>
      <c r="K14" s="385">
        <f t="shared" si="2"/>
        <v>1297.4556479115618</v>
      </c>
      <c r="L14" s="385">
        <f t="shared" si="2"/>
        <v>1297.4556479115618</v>
      </c>
      <c r="M14" s="385">
        <f t="shared" si="2"/>
        <v>1297.4556479115618</v>
      </c>
      <c r="N14" s="385">
        <f t="shared" si="2"/>
        <v>12974.556479115583</v>
      </c>
      <c r="O14" s="385">
        <f t="shared" si="2"/>
        <v>12974.556479115583</v>
      </c>
      <c r="P14"/>
      <c r="Q14"/>
      <c r="R14" s="489">
        <f>SUM(D14:Q14)</f>
        <v>38923.669437346784</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row>
    <row r="15" spans="1:110" s="63" customFormat="1" x14ac:dyDescent="0.2">
      <c r="A15" s="2"/>
      <c r="B15" s="7"/>
      <c r="C15" s="7"/>
      <c r="D15" s="2"/>
      <c r="E15" s="46"/>
      <c r="F15" s="46"/>
      <c r="G15" s="171"/>
      <c r="H15" s="46"/>
      <c r="I15" s="46"/>
      <c r="J15" s="46"/>
      <c r="K15" s="46"/>
      <c r="L15" s="46"/>
      <c r="M15" s="46"/>
      <c r="N15" s="46"/>
      <c r="O15" s="7"/>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row>
    <row r="16" spans="1:110" s="63" customFormat="1" x14ac:dyDescent="0.2">
      <c r="A16" s="167" t="s">
        <v>1208</v>
      </c>
      <c r="B16" s="166"/>
      <c r="C16" s="166"/>
      <c r="D16" s="169"/>
      <c r="E16" s="169"/>
      <c r="F16" s="169"/>
      <c r="G16" s="169"/>
      <c r="H16" s="169"/>
      <c r="I16" s="169"/>
      <c r="J16" s="169"/>
      <c r="K16" s="169"/>
      <c r="L16" s="169"/>
      <c r="M16" s="169"/>
      <c r="N16" s="169"/>
      <c r="O16" s="169"/>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row>
    <row r="17" spans="1:110" s="63" customFormat="1" x14ac:dyDescent="0.2">
      <c r="A17" s="170" t="s">
        <v>1213</v>
      </c>
      <c r="B17" s="7"/>
      <c r="C17" s="7"/>
      <c r="D17" s="427">
        <f>+'Statistics of Interest'!D109-Assumptions!$Q$12</f>
        <v>0.63076819907825321</v>
      </c>
      <c r="E17" s="430">
        <f>+D17</f>
        <v>0.63076819907825321</v>
      </c>
      <c r="F17" s="430">
        <f t="shared" ref="F17:O17" si="3">+E17</f>
        <v>0.63076819907825321</v>
      </c>
      <c r="G17" s="430">
        <f t="shared" si="3"/>
        <v>0.63076819907825321</v>
      </c>
      <c r="H17" s="430">
        <f t="shared" si="3"/>
        <v>0.63076819907825321</v>
      </c>
      <c r="I17" s="430">
        <f t="shared" si="3"/>
        <v>0.63076819907825321</v>
      </c>
      <c r="J17" s="430">
        <f t="shared" si="3"/>
        <v>0.63076819907825321</v>
      </c>
      <c r="K17" s="430">
        <f t="shared" si="3"/>
        <v>0.63076819907825321</v>
      </c>
      <c r="L17" s="430">
        <f t="shared" si="3"/>
        <v>0.63076819907825321</v>
      </c>
      <c r="M17" s="430">
        <f t="shared" si="3"/>
        <v>0.63076819907825321</v>
      </c>
      <c r="N17" s="430">
        <f t="shared" si="3"/>
        <v>0.63076819907825321</v>
      </c>
      <c r="O17" s="430">
        <f t="shared" si="3"/>
        <v>0.63076819907825321</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row>
    <row r="18" spans="1:110" s="63" customFormat="1" x14ac:dyDescent="0.2">
      <c r="A18" s="885" t="s">
        <v>1215</v>
      </c>
      <c r="B18" s="7"/>
      <c r="C18" s="7"/>
      <c r="D18" s="30">
        <f t="shared" ref="D18:O18" si="4">+D14*D17</f>
        <v>818.39376241708396</v>
      </c>
      <c r="E18" s="30">
        <f t="shared" si="4"/>
        <v>818.39376241708396</v>
      </c>
      <c r="F18" s="30">
        <f t="shared" si="4"/>
        <v>818.39376241708396</v>
      </c>
      <c r="G18" s="30">
        <f t="shared" si="4"/>
        <v>818.39376241708396</v>
      </c>
      <c r="H18" s="30">
        <f t="shared" si="4"/>
        <v>818.39376241708396</v>
      </c>
      <c r="I18" s="30">
        <f t="shared" si="4"/>
        <v>818.39376241708396</v>
      </c>
      <c r="J18" s="30">
        <f t="shared" si="4"/>
        <v>818.39376241708396</v>
      </c>
      <c r="K18" s="30">
        <f t="shared" si="4"/>
        <v>818.39376241708396</v>
      </c>
      <c r="L18" s="30">
        <f t="shared" si="4"/>
        <v>818.39376241708396</v>
      </c>
      <c r="M18" s="30">
        <f t="shared" si="4"/>
        <v>818.39376241708396</v>
      </c>
      <c r="N18" s="30">
        <f t="shared" si="4"/>
        <v>8183.9376241708178</v>
      </c>
      <c r="O18" s="30">
        <f t="shared" si="4"/>
        <v>8183.9376241708178</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row>
    <row r="19" spans="1:110" s="63" customFormat="1" x14ac:dyDescent="0.2">
      <c r="A19" s="170" t="s">
        <v>1216</v>
      </c>
      <c r="B19" s="7"/>
      <c r="C19" s="7"/>
      <c r="D19" s="429">
        <f>+'Statistics of Interest'!E95</f>
        <v>0.75691051025637157</v>
      </c>
      <c r="E19" s="430">
        <f>+D19</f>
        <v>0.75691051025637157</v>
      </c>
      <c r="F19" s="430">
        <f t="shared" ref="F19:O19" si="5">+E19</f>
        <v>0.75691051025637157</v>
      </c>
      <c r="G19" s="430">
        <f t="shared" si="5"/>
        <v>0.75691051025637157</v>
      </c>
      <c r="H19" s="430">
        <f t="shared" si="5"/>
        <v>0.75691051025637157</v>
      </c>
      <c r="I19" s="430">
        <f t="shared" si="5"/>
        <v>0.75691051025637157</v>
      </c>
      <c r="J19" s="430">
        <f t="shared" si="5"/>
        <v>0.75691051025637157</v>
      </c>
      <c r="K19" s="430">
        <f t="shared" si="5"/>
        <v>0.75691051025637157</v>
      </c>
      <c r="L19" s="430">
        <f t="shared" si="5"/>
        <v>0.75691051025637157</v>
      </c>
      <c r="M19" s="430">
        <f t="shared" si="5"/>
        <v>0.75691051025637157</v>
      </c>
      <c r="N19" s="430">
        <f t="shared" si="5"/>
        <v>0.75691051025637157</v>
      </c>
      <c r="O19" s="430">
        <f t="shared" si="5"/>
        <v>0.75691051025637157</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row>
    <row r="20" spans="1:110" s="63" customFormat="1" x14ac:dyDescent="0.2">
      <c r="A20" s="48" t="s">
        <v>1217</v>
      </c>
      <c r="B20" s="40"/>
      <c r="C20" s="40"/>
      <c r="D20" s="33">
        <f>+D18*D19</f>
        <v>619.45084030174678</v>
      </c>
      <c r="E20" s="33">
        <f>+E18*E19</f>
        <v>619.45084030174678</v>
      </c>
      <c r="F20" s="33">
        <f t="shared" ref="F20:O20" si="6">+F18*F19</f>
        <v>619.45084030174678</v>
      </c>
      <c r="G20" s="33">
        <f t="shared" si="6"/>
        <v>619.45084030174678</v>
      </c>
      <c r="H20" s="33">
        <f t="shared" si="6"/>
        <v>619.45084030174678</v>
      </c>
      <c r="I20" s="33">
        <f t="shared" si="6"/>
        <v>619.45084030174678</v>
      </c>
      <c r="J20" s="33">
        <f t="shared" si="6"/>
        <v>619.45084030174678</v>
      </c>
      <c r="K20" s="33">
        <f t="shared" si="6"/>
        <v>619.45084030174678</v>
      </c>
      <c r="L20" s="33">
        <f t="shared" si="6"/>
        <v>619.45084030174678</v>
      </c>
      <c r="M20" s="33">
        <f t="shared" si="6"/>
        <v>619.45084030174678</v>
      </c>
      <c r="N20" s="33">
        <f t="shared" si="6"/>
        <v>6194.5084030174512</v>
      </c>
      <c r="O20" s="33">
        <f t="shared" si="6"/>
        <v>6194.5084030174512</v>
      </c>
      <c r="P20" s="420"/>
      <c r="Q20"/>
      <c r="R20" s="489">
        <f>SUM(D20:Q20)</f>
        <v>18583.525209052372</v>
      </c>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row>
    <row r="21" spans="1:110" s="63" customFormat="1" x14ac:dyDescent="0.2">
      <c r="A21" s="61" t="s">
        <v>1218</v>
      </c>
      <c r="B21" s="47"/>
      <c r="C21" s="47"/>
      <c r="D21" s="427">
        <v>0.03</v>
      </c>
      <c r="E21" s="430">
        <f>+D21</f>
        <v>0.03</v>
      </c>
      <c r="F21" s="430">
        <f t="shared" ref="F21:O21" si="7">+E21</f>
        <v>0.03</v>
      </c>
      <c r="G21" s="430">
        <f t="shared" si="7"/>
        <v>0.03</v>
      </c>
      <c r="H21" s="430">
        <f t="shared" si="7"/>
        <v>0.03</v>
      </c>
      <c r="I21" s="430">
        <f t="shared" si="7"/>
        <v>0.03</v>
      </c>
      <c r="J21" s="430">
        <f t="shared" si="7"/>
        <v>0.03</v>
      </c>
      <c r="K21" s="430">
        <f t="shared" si="7"/>
        <v>0.03</v>
      </c>
      <c r="L21" s="430">
        <f t="shared" si="7"/>
        <v>0.03</v>
      </c>
      <c r="M21" s="430">
        <f t="shared" si="7"/>
        <v>0.03</v>
      </c>
      <c r="N21" s="430">
        <f t="shared" si="7"/>
        <v>0.03</v>
      </c>
      <c r="O21" s="430">
        <f t="shared" si="7"/>
        <v>0.03</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row>
    <row r="22" spans="1:110" s="63" customFormat="1" x14ac:dyDescent="0.2">
      <c r="A22" s="170" t="s">
        <v>1219</v>
      </c>
      <c r="B22" s="7"/>
      <c r="C22" s="40"/>
      <c r="D22" s="33">
        <f t="shared" ref="D22:O22" si="8">+(D20+D14)*D21</f>
        <v>57.507194646399249</v>
      </c>
      <c r="E22" s="33">
        <f t="shared" si="8"/>
        <v>57.507194646399249</v>
      </c>
      <c r="F22" s="33">
        <f t="shared" si="8"/>
        <v>57.507194646399249</v>
      </c>
      <c r="G22" s="33">
        <f t="shared" si="8"/>
        <v>57.507194646399249</v>
      </c>
      <c r="H22" s="33">
        <f t="shared" si="8"/>
        <v>57.507194646399249</v>
      </c>
      <c r="I22" s="33">
        <f t="shared" si="8"/>
        <v>57.507194646399249</v>
      </c>
      <c r="J22" s="33">
        <f t="shared" si="8"/>
        <v>57.507194646399249</v>
      </c>
      <c r="K22" s="33">
        <f t="shared" si="8"/>
        <v>57.507194646399249</v>
      </c>
      <c r="L22" s="33">
        <f t="shared" si="8"/>
        <v>57.507194646399249</v>
      </c>
      <c r="M22" s="33">
        <f t="shared" si="8"/>
        <v>57.507194646399249</v>
      </c>
      <c r="N22" s="33">
        <f t="shared" si="8"/>
        <v>575.07194646399091</v>
      </c>
      <c r="O22" s="33">
        <f t="shared" si="8"/>
        <v>575.07194646399091</v>
      </c>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row>
    <row r="23" spans="1:110" s="63" customFormat="1" x14ac:dyDescent="0.2">
      <c r="A23" s="47"/>
      <c r="B23" s="7"/>
      <c r="C23" s="7"/>
      <c r="D23" s="18"/>
      <c r="E23" s="46"/>
      <c r="F23" s="46"/>
      <c r="G23" s="46"/>
      <c r="H23" s="46"/>
      <c r="I23" s="46"/>
      <c r="J23" s="46"/>
      <c r="K23" s="46"/>
      <c r="L23" s="46"/>
      <c r="M23" s="46"/>
      <c r="N23" s="46"/>
      <c r="O23" s="46"/>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row>
    <row r="24" spans="1:110" s="63" customFormat="1" x14ac:dyDescent="0.2">
      <c r="A24" s="431" t="s">
        <v>215</v>
      </c>
      <c r="B24" s="432"/>
      <c r="C24" s="432"/>
      <c r="D24" s="433">
        <f>+(D14+D20+D22)+(D14*Assumptions!$Q$12)-(D20*Assumptions!$Q$12)</f>
        <v>1974.4136828597077</v>
      </c>
      <c r="E24" s="433">
        <f>+(E14+E20+E22)+(E14*Assumptions!$Q$12)-(E20*Assumptions!$Q$12)</f>
        <v>1974.4136828597077</v>
      </c>
      <c r="F24" s="433">
        <f>+(F14+F20+F22)+(F14*Assumptions!$Q$12)-(F20*Assumptions!$Q$12)</f>
        <v>1974.4136828597077</v>
      </c>
      <c r="G24" s="433">
        <f>+(G14+G20+G22)+(G14*Assumptions!$Q$12)-(G20*Assumptions!$Q$12)</f>
        <v>1974.4136828597077</v>
      </c>
      <c r="H24" s="433">
        <f>+(H14+H20+H22)+(H14*Assumptions!$Q$12)-(H20*Assumptions!$Q$12)</f>
        <v>1974.4136828597077</v>
      </c>
      <c r="I24" s="433">
        <f>+(I14+I20+I22)+(I14*Assumptions!$Q$12)-(I20*Assumptions!$Q$12)</f>
        <v>1974.4136828597077</v>
      </c>
      <c r="J24" s="433">
        <f>+(J14+J20+J22)+(J14*Assumptions!$Q$12)-(J20*Assumptions!$Q$12)</f>
        <v>1974.4136828597077</v>
      </c>
      <c r="K24" s="433">
        <f>+(K14+K20+K22)+(K14*Assumptions!$Q$12)-(K20*Assumptions!$Q$12)</f>
        <v>1974.4136828597077</v>
      </c>
      <c r="L24" s="433">
        <f>+(L14+L20+L22)+(L14*Assumptions!$Q$12)-(L20*Assumptions!$Q$12)</f>
        <v>1974.4136828597077</v>
      </c>
      <c r="M24" s="433">
        <f>+(M14+M20+M22)+(M14*Assumptions!$Q$12)-(M20*Assumptions!$Q$12)</f>
        <v>1974.4136828597077</v>
      </c>
      <c r="N24" s="433">
        <f>+(N14+N20+N22)+(N14*Assumptions!$Q$12)-(N20*Assumptions!$Q$12)</f>
        <v>19744.136828597024</v>
      </c>
      <c r="O24" s="433">
        <f>+(O14+O20+O22)+(O14*Assumptions!$Q$12)-(O20*Assumptions!$Q$12)</f>
        <v>19744.136828597024</v>
      </c>
      <c r="P24"/>
      <c r="Q24" s="488"/>
      <c r="R24" s="489">
        <f>SUM(D24:Q24)</f>
        <v>59232.41048579113</v>
      </c>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row>
    <row r="25" spans="1:110" s="62" customFormat="1" x14ac:dyDescent="0.2">
      <c r="B25" s="165"/>
      <c r="C25" s="165"/>
      <c r="D25" s="24"/>
      <c r="E25" s="165"/>
      <c r="F25" s="165"/>
      <c r="G25" s="173"/>
      <c r="H25" s="165"/>
      <c r="I25" s="165"/>
      <c r="J25" s="165"/>
      <c r="K25" s="165"/>
      <c r="L25" s="165"/>
      <c r="M25" s="165"/>
      <c r="N25" s="16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row>
    <row r="26" spans="1:110" s="62" customFormat="1" x14ac:dyDescent="0.2">
      <c r="B26" s="165"/>
      <c r="C26" s="165"/>
      <c r="D26" s="33">
        <v>2378.7699695095362</v>
      </c>
      <c r="E26" s="494">
        <v>2378.7699695095362</v>
      </c>
      <c r="F26" s="494">
        <v>2484.1864996834347</v>
      </c>
      <c r="G26" s="495">
        <v>2510.5406322269037</v>
      </c>
      <c r="H26" s="494">
        <v>2642.3112949442834</v>
      </c>
      <c r="I26" s="494">
        <v>2774.0819576616627</v>
      </c>
      <c r="J26" s="494">
        <v>2905.8526203790416</v>
      </c>
      <c r="K26" s="494">
        <v>2905.8526203790416</v>
      </c>
      <c r="L26" s="494">
        <v>2905.8526203790416</v>
      </c>
      <c r="M26" s="494">
        <v>2905.8526203790416</v>
      </c>
      <c r="N26" s="494">
        <v>29058.526203790421</v>
      </c>
      <c r="O26" s="420">
        <v>29058.526203790421</v>
      </c>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row>
    <row r="27" spans="1:110" x14ac:dyDescent="0.2">
      <c r="A27" s="174" t="s">
        <v>49</v>
      </c>
      <c r="B27" s="175"/>
      <c r="C27" s="175"/>
      <c r="E27" s="7"/>
      <c r="F27" s="7"/>
      <c r="G27" s="6"/>
      <c r="H27" s="7"/>
      <c r="I27" s="7"/>
      <c r="J27" s="7"/>
      <c r="K27" s="7"/>
      <c r="L27" s="7"/>
      <c r="M27" s="7"/>
      <c r="N27" s="7"/>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row>
    <row r="28" spans="1:110" x14ac:dyDescent="0.2">
      <c r="A28" s="440" t="s">
        <v>15</v>
      </c>
      <c r="B28" s="7"/>
      <c r="C28" s="7"/>
      <c r="D28" s="47"/>
      <c r="E28" s="47"/>
      <c r="F28" s="47"/>
      <c r="G28" s="47"/>
      <c r="H28" s="47"/>
    </row>
    <row r="29" spans="1:110" x14ac:dyDescent="0.2">
      <c r="A29" s="167" t="s">
        <v>118</v>
      </c>
      <c r="B29" s="111"/>
      <c r="C29" s="168"/>
      <c r="D29" s="47"/>
      <c r="E29" s="47"/>
      <c r="F29" s="47"/>
      <c r="G29" s="47"/>
      <c r="H29" s="47"/>
    </row>
    <row r="30" spans="1:110" x14ac:dyDescent="0.2">
      <c r="A30" s="170" t="s">
        <v>1220</v>
      </c>
      <c r="B30" s="7"/>
      <c r="C30" s="7"/>
      <c r="D30" s="30">
        <f>+'Statistics of Interest'!D6</f>
        <v>500</v>
      </c>
      <c r="E30" s="46">
        <f>+D30*(1+Assumptions!$Q$11)</f>
        <v>500</v>
      </c>
      <c r="F30" s="46">
        <f>+E30*(1+Assumptions!$Q$11)</f>
        <v>500</v>
      </c>
      <c r="G30" s="46">
        <f>+F30*(1+Assumptions!$Q$11)</f>
        <v>500</v>
      </c>
      <c r="H30" s="46">
        <f>+G30*(1+Assumptions!$Q$11)</f>
        <v>500</v>
      </c>
      <c r="I30" s="46">
        <f>+H30*(1+Assumptions!$Q$11)</f>
        <v>500</v>
      </c>
      <c r="J30" s="46">
        <f>+I30*(1+Assumptions!$Q$11)</f>
        <v>500</v>
      </c>
      <c r="K30" s="46">
        <f>+J30*(1+Assumptions!$Q$11)</f>
        <v>500</v>
      </c>
      <c r="L30" s="46">
        <f>+K30*(1+Assumptions!$Q$11)</f>
        <v>500</v>
      </c>
      <c r="M30" s="46">
        <f>+L30*(1+Assumptions!$Q$11)</f>
        <v>500</v>
      </c>
      <c r="N30" s="46">
        <f>+M30*(1+Assumptions!$Q$11)</f>
        <v>500</v>
      </c>
      <c r="O30" s="46">
        <f>+N30*(1+Assumptions!$Q$11)</f>
        <v>500</v>
      </c>
    </row>
    <row r="31" spans="1:110" x14ac:dyDescent="0.2">
      <c r="A31" s="2"/>
      <c r="B31" s="7"/>
      <c r="C31" s="7"/>
      <c r="E31" s="47"/>
      <c r="F31" s="47"/>
      <c r="G31" s="47"/>
      <c r="H31" s="47"/>
    </row>
    <row r="32" spans="1:110" x14ac:dyDescent="0.2">
      <c r="A32" s="172" t="s">
        <v>119</v>
      </c>
      <c r="B32" s="20"/>
      <c r="C32" s="20"/>
      <c r="D32" s="21">
        <f>+'Boat Revenues'!C39</f>
        <v>91350.955696671968</v>
      </c>
      <c r="E32" s="21">
        <f>+'Boat Revenues'!D39</f>
        <v>91350.955696671968</v>
      </c>
      <c r="F32" s="21">
        <f>+'Boat Revenues'!E39</f>
        <v>91350.955696671968</v>
      </c>
      <c r="G32" s="21">
        <f>+'Boat Revenues'!F39</f>
        <v>91350.955696671968</v>
      </c>
      <c r="H32" s="21">
        <f>+'Boat Revenues'!G39</f>
        <v>91350.955696671968</v>
      </c>
      <c r="I32" s="21">
        <f>+'Boat Revenues'!H39</f>
        <v>91350.955696671968</v>
      </c>
      <c r="J32" s="21">
        <f>+'Boat Revenues'!I39</f>
        <v>91350.955696671968</v>
      </c>
      <c r="K32" s="21">
        <f>+'Boat Revenues'!J39</f>
        <v>91350.955696671968</v>
      </c>
      <c r="L32" s="21">
        <f>+'Boat Revenues'!K39</f>
        <v>91350.955696671968</v>
      </c>
      <c r="M32" s="21">
        <f>+'Boat Revenues'!L39</f>
        <v>91350.955696671968</v>
      </c>
      <c r="N32" s="21">
        <f>+'Boat Revenues'!M39</f>
        <v>913509.55696671968</v>
      </c>
      <c r="O32" s="21">
        <f>+'Boat Revenues'!N39</f>
        <v>913509.55696671968</v>
      </c>
    </row>
    <row r="33" spans="1:18" x14ac:dyDescent="0.2">
      <c r="A33" s="23" t="s">
        <v>120</v>
      </c>
      <c r="B33" s="22"/>
      <c r="C33" s="22"/>
      <c r="D33" s="385">
        <f>(0.5*D32)</f>
        <v>45675.477848335984</v>
      </c>
      <c r="E33" s="385">
        <f t="shared" ref="E33:O33" si="9">(0.5*E32)</f>
        <v>45675.477848335984</v>
      </c>
      <c r="F33" s="385">
        <f t="shared" si="9"/>
        <v>45675.477848335984</v>
      </c>
      <c r="G33" s="385">
        <f t="shared" si="9"/>
        <v>45675.477848335984</v>
      </c>
      <c r="H33" s="385">
        <f t="shared" si="9"/>
        <v>45675.477848335984</v>
      </c>
      <c r="I33" s="385">
        <f t="shared" si="9"/>
        <v>45675.477848335984</v>
      </c>
      <c r="J33" s="385">
        <f t="shared" si="9"/>
        <v>45675.477848335984</v>
      </c>
      <c r="K33" s="385">
        <f t="shared" si="9"/>
        <v>45675.477848335984</v>
      </c>
      <c r="L33" s="385">
        <f t="shared" si="9"/>
        <v>45675.477848335984</v>
      </c>
      <c r="M33" s="385">
        <f t="shared" si="9"/>
        <v>45675.477848335984</v>
      </c>
      <c r="N33" s="385">
        <f t="shared" si="9"/>
        <v>456754.77848335984</v>
      </c>
      <c r="O33" s="385">
        <f t="shared" si="9"/>
        <v>456754.77848335984</v>
      </c>
    </row>
    <row r="34" spans="1:18" x14ac:dyDescent="0.2">
      <c r="A34" s="23" t="s">
        <v>121</v>
      </c>
      <c r="B34" s="22"/>
      <c r="C34" s="22"/>
      <c r="D34" s="385">
        <f>D32*0.5/4</f>
        <v>11418.869462083996</v>
      </c>
      <c r="E34" s="385">
        <f t="shared" ref="E34:O34" si="10">E32*0.5/4</f>
        <v>11418.869462083996</v>
      </c>
      <c r="F34" s="385">
        <f t="shared" si="10"/>
        <v>11418.869462083996</v>
      </c>
      <c r="G34" s="385">
        <f t="shared" si="10"/>
        <v>11418.869462083996</v>
      </c>
      <c r="H34" s="385">
        <f t="shared" si="10"/>
        <v>11418.869462083996</v>
      </c>
      <c r="I34" s="385">
        <f t="shared" si="10"/>
        <v>11418.869462083996</v>
      </c>
      <c r="J34" s="385">
        <f t="shared" si="10"/>
        <v>11418.869462083996</v>
      </c>
      <c r="K34" s="385">
        <f t="shared" si="10"/>
        <v>11418.869462083996</v>
      </c>
      <c r="L34" s="385">
        <f t="shared" si="10"/>
        <v>11418.869462083996</v>
      </c>
      <c r="M34" s="385">
        <f t="shared" si="10"/>
        <v>11418.869462083996</v>
      </c>
      <c r="N34" s="385">
        <f t="shared" si="10"/>
        <v>114188.69462083996</v>
      </c>
      <c r="O34" s="385">
        <f t="shared" si="10"/>
        <v>114188.69462083996</v>
      </c>
    </row>
    <row r="35" spans="1:18" x14ac:dyDescent="0.2">
      <c r="A35" s="172" t="s">
        <v>122</v>
      </c>
      <c r="B35" s="41"/>
      <c r="C35" s="41"/>
      <c r="D35" s="385">
        <f>+D32*D30/1000</f>
        <v>45675.477848335984</v>
      </c>
      <c r="E35" s="385">
        <f t="shared" ref="E35:O35" si="11">+E32*E30/1000</f>
        <v>45675.477848335984</v>
      </c>
      <c r="F35" s="385">
        <f t="shared" si="11"/>
        <v>45675.477848335984</v>
      </c>
      <c r="G35" s="385">
        <f t="shared" si="11"/>
        <v>45675.477848335984</v>
      </c>
      <c r="H35" s="385">
        <f t="shared" si="11"/>
        <v>45675.477848335984</v>
      </c>
      <c r="I35" s="385">
        <f t="shared" si="11"/>
        <v>45675.477848335984</v>
      </c>
      <c r="J35" s="385">
        <f t="shared" si="11"/>
        <v>45675.477848335984</v>
      </c>
      <c r="K35" s="385">
        <f t="shared" si="11"/>
        <v>45675.477848335984</v>
      </c>
      <c r="L35" s="385">
        <f t="shared" si="11"/>
        <v>45675.477848335984</v>
      </c>
      <c r="M35" s="385">
        <f t="shared" si="11"/>
        <v>45675.477848335984</v>
      </c>
      <c r="N35" s="385">
        <f t="shared" si="11"/>
        <v>456754.77848335984</v>
      </c>
      <c r="O35" s="385">
        <f t="shared" si="11"/>
        <v>456754.77848335984</v>
      </c>
      <c r="R35" s="489">
        <f>SUM(D35:Q35)</f>
        <v>1370264.3354500795</v>
      </c>
    </row>
    <row r="36" spans="1:18" x14ac:dyDescent="0.2">
      <c r="A36" s="2"/>
      <c r="B36" s="7"/>
      <c r="C36" s="7"/>
      <c r="D36" s="7"/>
      <c r="E36" s="47"/>
      <c r="F36" s="47"/>
      <c r="G36" s="47"/>
      <c r="H36" s="47"/>
    </row>
    <row r="37" spans="1:18" x14ac:dyDescent="0.2">
      <c r="A37" s="167" t="s">
        <v>1208</v>
      </c>
      <c r="B37" s="166"/>
      <c r="C37" s="166"/>
      <c r="D37" s="111"/>
    </row>
    <row r="38" spans="1:18" x14ac:dyDescent="0.2">
      <c r="A38" s="170" t="s">
        <v>1213</v>
      </c>
      <c r="B38" s="7"/>
      <c r="C38" s="7"/>
      <c r="D38" s="9">
        <f>+'Statistics of Interest'!D110-Assumptions!$Q$12</f>
        <v>0.75622389416771019</v>
      </c>
      <c r="E38" s="9">
        <f>+D38</f>
        <v>0.75622389416771019</v>
      </c>
      <c r="F38" s="9">
        <f t="shared" ref="F38:O38" si="12">+E38</f>
        <v>0.75622389416771019</v>
      </c>
      <c r="G38" s="9">
        <f t="shared" si="12"/>
        <v>0.75622389416771019</v>
      </c>
      <c r="H38" s="9">
        <f t="shared" si="12"/>
        <v>0.75622389416771019</v>
      </c>
      <c r="I38" s="9">
        <f t="shared" si="12"/>
        <v>0.75622389416771019</v>
      </c>
      <c r="J38" s="9">
        <f t="shared" si="12"/>
        <v>0.75622389416771019</v>
      </c>
      <c r="K38" s="9">
        <f t="shared" si="12"/>
        <v>0.75622389416771019</v>
      </c>
      <c r="L38" s="9">
        <f t="shared" si="12"/>
        <v>0.75622389416771019</v>
      </c>
      <c r="M38" s="9">
        <f t="shared" si="12"/>
        <v>0.75622389416771019</v>
      </c>
      <c r="N38" s="9">
        <f t="shared" si="12"/>
        <v>0.75622389416771019</v>
      </c>
      <c r="O38" s="9">
        <f t="shared" si="12"/>
        <v>0.75622389416771019</v>
      </c>
    </row>
    <row r="39" spans="1:18" x14ac:dyDescent="0.2">
      <c r="A39" s="61" t="s">
        <v>1215</v>
      </c>
      <c r="B39" s="7"/>
      <c r="C39" s="7"/>
      <c r="D39" s="30">
        <f>+D35*D38</f>
        <v>34540.887726439621</v>
      </c>
      <c r="E39" s="30">
        <f t="shared" ref="E39:O39" si="13">+E35*E38</f>
        <v>34540.887726439621</v>
      </c>
      <c r="F39" s="30">
        <f t="shared" si="13"/>
        <v>34540.887726439621</v>
      </c>
      <c r="G39" s="30">
        <f t="shared" si="13"/>
        <v>34540.887726439621</v>
      </c>
      <c r="H39" s="30">
        <f t="shared" si="13"/>
        <v>34540.887726439621</v>
      </c>
      <c r="I39" s="30">
        <f t="shared" si="13"/>
        <v>34540.887726439621</v>
      </c>
      <c r="J39" s="30">
        <f t="shared" si="13"/>
        <v>34540.887726439621</v>
      </c>
      <c r="K39" s="30">
        <f t="shared" si="13"/>
        <v>34540.887726439621</v>
      </c>
      <c r="L39" s="30">
        <f t="shared" si="13"/>
        <v>34540.887726439621</v>
      </c>
      <c r="M39" s="30">
        <f t="shared" si="13"/>
        <v>34540.887726439621</v>
      </c>
      <c r="N39" s="30">
        <f t="shared" si="13"/>
        <v>345408.87726439623</v>
      </c>
      <c r="O39" s="30">
        <f t="shared" si="13"/>
        <v>345408.87726439623</v>
      </c>
    </row>
    <row r="40" spans="1:18" x14ac:dyDescent="0.2">
      <c r="A40" s="170" t="s">
        <v>1216</v>
      </c>
      <c r="B40" s="7"/>
      <c r="C40" s="7"/>
      <c r="D40" s="430">
        <f>+D19</f>
        <v>0.75691051025637157</v>
      </c>
      <c r="E40" s="10">
        <f>+D40</f>
        <v>0.75691051025637157</v>
      </c>
      <c r="F40" s="10">
        <f t="shared" ref="F40:O40" si="14">+E40</f>
        <v>0.75691051025637157</v>
      </c>
      <c r="G40" s="10">
        <f t="shared" si="14"/>
        <v>0.75691051025637157</v>
      </c>
      <c r="H40" s="10">
        <f t="shared" si="14"/>
        <v>0.75691051025637157</v>
      </c>
      <c r="I40" s="10">
        <f t="shared" si="14"/>
        <v>0.75691051025637157</v>
      </c>
      <c r="J40" s="10">
        <f t="shared" si="14"/>
        <v>0.75691051025637157</v>
      </c>
      <c r="K40" s="10">
        <f t="shared" si="14"/>
        <v>0.75691051025637157</v>
      </c>
      <c r="L40" s="10">
        <f t="shared" si="14"/>
        <v>0.75691051025637157</v>
      </c>
      <c r="M40" s="10">
        <f t="shared" si="14"/>
        <v>0.75691051025637157</v>
      </c>
      <c r="N40" s="10">
        <f t="shared" si="14"/>
        <v>0.75691051025637157</v>
      </c>
      <c r="O40" s="10">
        <f t="shared" si="14"/>
        <v>0.75691051025637157</v>
      </c>
    </row>
    <row r="41" spans="1:18" x14ac:dyDescent="0.2">
      <c r="A41" s="48" t="s">
        <v>1217</v>
      </c>
      <c r="B41" s="40"/>
      <c r="C41" s="40"/>
      <c r="D41" s="33">
        <f>+D39*D40</f>
        <v>26144.360953727457</v>
      </c>
      <c r="E41" s="33">
        <f t="shared" ref="E41:O41" si="15">+E39*E40</f>
        <v>26144.360953727457</v>
      </c>
      <c r="F41" s="33">
        <f t="shared" si="15"/>
        <v>26144.360953727457</v>
      </c>
      <c r="G41" s="33">
        <f t="shared" si="15"/>
        <v>26144.360953727457</v>
      </c>
      <c r="H41" s="33">
        <f t="shared" si="15"/>
        <v>26144.360953727457</v>
      </c>
      <c r="I41" s="33">
        <f t="shared" si="15"/>
        <v>26144.360953727457</v>
      </c>
      <c r="J41" s="33">
        <f t="shared" si="15"/>
        <v>26144.360953727457</v>
      </c>
      <c r="K41" s="33">
        <f t="shared" si="15"/>
        <v>26144.360953727457</v>
      </c>
      <c r="L41" s="33">
        <f t="shared" si="15"/>
        <v>26144.360953727457</v>
      </c>
      <c r="M41" s="33">
        <f t="shared" si="15"/>
        <v>26144.360953727457</v>
      </c>
      <c r="N41" s="33">
        <f t="shared" si="15"/>
        <v>261443.60953727458</v>
      </c>
      <c r="O41" s="33">
        <f t="shared" si="15"/>
        <v>261443.60953727458</v>
      </c>
      <c r="P41" s="420"/>
      <c r="R41" s="489">
        <f>SUM(D41:Q41)</f>
        <v>784330.82861182373</v>
      </c>
    </row>
    <row r="42" spans="1:18" x14ac:dyDescent="0.2">
      <c r="A42" s="61" t="s">
        <v>1218</v>
      </c>
      <c r="B42" s="47"/>
      <c r="C42" s="47"/>
      <c r="D42" s="427">
        <v>0.03</v>
      </c>
      <c r="E42" s="427">
        <f>+D42</f>
        <v>0.03</v>
      </c>
      <c r="F42" s="427">
        <f t="shared" ref="F42:O42" si="16">+E42</f>
        <v>0.03</v>
      </c>
      <c r="G42" s="427">
        <f t="shared" si="16"/>
        <v>0.03</v>
      </c>
      <c r="H42" s="427">
        <f t="shared" si="16"/>
        <v>0.03</v>
      </c>
      <c r="I42" s="427">
        <f t="shared" si="16"/>
        <v>0.03</v>
      </c>
      <c r="J42" s="427">
        <f t="shared" si="16"/>
        <v>0.03</v>
      </c>
      <c r="K42" s="427">
        <f t="shared" si="16"/>
        <v>0.03</v>
      </c>
      <c r="L42" s="427">
        <f t="shared" si="16"/>
        <v>0.03</v>
      </c>
      <c r="M42" s="427">
        <f t="shared" si="16"/>
        <v>0.03</v>
      </c>
      <c r="N42" s="427">
        <f t="shared" si="16"/>
        <v>0.03</v>
      </c>
      <c r="O42" s="427">
        <f t="shared" si="16"/>
        <v>0.03</v>
      </c>
    </row>
    <row r="43" spans="1:18" x14ac:dyDescent="0.2">
      <c r="A43" s="170" t="s">
        <v>1219</v>
      </c>
      <c r="B43" s="7"/>
      <c r="C43" s="40"/>
      <c r="D43" s="33">
        <f>+(D35+D39)*D42</f>
        <v>2406.4909672432682</v>
      </c>
      <c r="E43" s="33">
        <f t="shared" ref="E43:O43" si="17">+(E35+E39)*E42</f>
        <v>2406.4909672432682</v>
      </c>
      <c r="F43" s="33">
        <f t="shared" si="17"/>
        <v>2406.4909672432682</v>
      </c>
      <c r="G43" s="33">
        <f t="shared" si="17"/>
        <v>2406.4909672432682</v>
      </c>
      <c r="H43" s="33">
        <f t="shared" si="17"/>
        <v>2406.4909672432682</v>
      </c>
      <c r="I43" s="33">
        <f t="shared" si="17"/>
        <v>2406.4909672432682</v>
      </c>
      <c r="J43" s="33">
        <f t="shared" si="17"/>
        <v>2406.4909672432682</v>
      </c>
      <c r="K43" s="33">
        <f t="shared" si="17"/>
        <v>2406.4909672432682</v>
      </c>
      <c r="L43" s="33">
        <f t="shared" si="17"/>
        <v>2406.4909672432682</v>
      </c>
      <c r="M43" s="33">
        <f t="shared" si="17"/>
        <v>2406.4909672432682</v>
      </c>
      <c r="N43" s="33">
        <f t="shared" si="17"/>
        <v>24064.909672432685</v>
      </c>
      <c r="O43" s="33">
        <f t="shared" si="17"/>
        <v>24064.909672432685</v>
      </c>
    </row>
    <row r="44" spans="1:18" x14ac:dyDescent="0.2">
      <c r="A44" s="47"/>
      <c r="B44" s="7"/>
      <c r="C44" s="7"/>
      <c r="D44" s="46"/>
    </row>
    <row r="45" spans="1:18" x14ac:dyDescent="0.2">
      <c r="A45" s="431" t="s">
        <v>1214</v>
      </c>
      <c r="B45" s="432"/>
      <c r="C45" s="432"/>
      <c r="D45" s="433">
        <f>+(D43*Assumptions!$E$41)+(D41*Assumptions!$E$40)+(D35*Assumptions!$E$39)</f>
        <v>74226.329769306714</v>
      </c>
      <c r="E45" s="433">
        <f>+(E43*Assumptions!$E$41)+(E41*Assumptions!$E$40)+(E35*Assumptions!$E$39)</f>
        <v>74226.329769306714</v>
      </c>
      <c r="F45" s="433">
        <f>+(F43*Assumptions!$E$41)+(F41*Assumptions!$E$40)+(F35*Assumptions!$E$39)</f>
        <v>74226.329769306714</v>
      </c>
      <c r="G45" s="433">
        <f>+(G43*Assumptions!$E$41)+(G41*Assumptions!$E$40)+(G35*Assumptions!$E$39)</f>
        <v>74226.329769306714</v>
      </c>
      <c r="H45" s="433">
        <f>+(H43*Assumptions!$E$41)+(H41*Assumptions!$E$40)+(H35*Assumptions!$E$39)</f>
        <v>74226.329769306714</v>
      </c>
      <c r="I45" s="433">
        <f>+(I43*Assumptions!$E$41)+(I41*Assumptions!$E$40)+(I35*Assumptions!$E$39)</f>
        <v>74226.329769306714</v>
      </c>
      <c r="J45" s="433">
        <f>+(J43*Assumptions!$E$41)+(J41*Assumptions!$E$40)+(J35*Assumptions!$E$39)</f>
        <v>74226.329769306714</v>
      </c>
      <c r="K45" s="433">
        <f>+(K43*Assumptions!$E$41)+(K41*Assumptions!$E$40)+(K35*Assumptions!$E$39)</f>
        <v>74226.329769306714</v>
      </c>
      <c r="L45" s="433">
        <f>+(L43*Assumptions!$E$41)+(L41*Assumptions!$E$40)+(L35*Assumptions!$E$39)</f>
        <v>74226.329769306714</v>
      </c>
      <c r="M45" s="433">
        <f>+(M43*Assumptions!$E$41)+(M41*Assumptions!$E$40)+(M35*Assumptions!$E$39)</f>
        <v>74226.329769306714</v>
      </c>
      <c r="N45" s="433">
        <f>+(N43*Assumptions!$E$41)+(N41*Assumptions!$E$40)+(N35*Assumptions!$E$39)</f>
        <v>742263.29769306711</v>
      </c>
      <c r="O45" s="433">
        <f>+(O43*Assumptions!$E$41)+(O41*Assumptions!$E$40)+(O35*Assumptions!$E$39)</f>
        <v>742263.29769306711</v>
      </c>
      <c r="Q45" s="488"/>
      <c r="R45" s="489">
        <f>SUM(D45:Q45)</f>
        <v>2226789.8930792012</v>
      </c>
    </row>
    <row r="48" spans="1:18" x14ac:dyDescent="0.2">
      <c r="A48" s="174" t="s">
        <v>49</v>
      </c>
      <c r="B48" s="175"/>
      <c r="C48" s="175"/>
    </row>
    <row r="49" spans="1:18" x14ac:dyDescent="0.2">
      <c r="A49" s="441" t="s">
        <v>16</v>
      </c>
      <c r="B49" s="7"/>
      <c r="C49" s="7"/>
    </row>
    <row r="50" spans="1:18" x14ac:dyDescent="0.2">
      <c r="A50" s="167" t="s">
        <v>118</v>
      </c>
      <c r="B50" s="111"/>
      <c r="C50" s="168"/>
    </row>
    <row r="51" spans="1:18" x14ac:dyDescent="0.2">
      <c r="A51" s="170" t="s">
        <v>1220</v>
      </c>
      <c r="B51" s="7"/>
      <c r="C51" s="7"/>
      <c r="D51" s="30">
        <f>+'Statistics of Interest'!D7</f>
        <v>459</v>
      </c>
      <c r="E51" s="46">
        <f>+D51*(1+Assumptions!$Q$11)</f>
        <v>459</v>
      </c>
      <c r="F51" s="46">
        <f>+E51*(1+Assumptions!$Q$11)</f>
        <v>459</v>
      </c>
      <c r="G51" s="46">
        <f>+F51*(1+Assumptions!$Q$11)</f>
        <v>459</v>
      </c>
      <c r="H51" s="46">
        <f>+G51*(1+Assumptions!$Q$11)</f>
        <v>459</v>
      </c>
      <c r="I51" s="46">
        <f>+H51*(1+Assumptions!$Q$11)</f>
        <v>459</v>
      </c>
      <c r="J51" s="46">
        <f>+I51*(1+Assumptions!$Q$11)</f>
        <v>459</v>
      </c>
      <c r="K51" s="46">
        <f>+J51*(1+Assumptions!$Q$11)</f>
        <v>459</v>
      </c>
      <c r="L51" s="46">
        <f>+K51*(1+Assumptions!$Q$11)</f>
        <v>459</v>
      </c>
      <c r="M51" s="46">
        <f>+L51*(1+Assumptions!$Q$11)</f>
        <v>459</v>
      </c>
      <c r="N51" s="46">
        <f>+M51*(1+Assumptions!$Q$11)</f>
        <v>459</v>
      </c>
      <c r="O51" s="46">
        <f>+N51*(1+Assumptions!$Q$11)</f>
        <v>459</v>
      </c>
    </row>
    <row r="52" spans="1:18" x14ac:dyDescent="0.2">
      <c r="A52" s="2"/>
      <c r="B52" s="7"/>
      <c r="C52" s="7"/>
    </row>
    <row r="53" spans="1:18" x14ac:dyDescent="0.2">
      <c r="A53" s="172" t="s">
        <v>210</v>
      </c>
      <c r="B53" s="20"/>
      <c r="C53" s="20"/>
      <c r="D53" s="21">
        <f>+'Boat Revenues'!C76</f>
        <v>12843.601710948162</v>
      </c>
      <c r="E53" s="21">
        <f>+'Boat Revenues'!D76</f>
        <v>12843.601710948162</v>
      </c>
      <c r="F53" s="21">
        <f>+'Boat Revenues'!E76</f>
        <v>12843.601710948162</v>
      </c>
      <c r="G53" s="21">
        <f>+'Boat Revenues'!F76</f>
        <v>12843.601710948162</v>
      </c>
      <c r="H53" s="21">
        <f>+'Boat Revenues'!G76</f>
        <v>12843.601710948162</v>
      </c>
      <c r="I53" s="21">
        <f>+'Boat Revenues'!H76</f>
        <v>12843.601710948162</v>
      </c>
      <c r="J53" s="21">
        <f>+'Boat Revenues'!I76</f>
        <v>12843.601710948162</v>
      </c>
      <c r="K53" s="21">
        <f>+'Boat Revenues'!J76</f>
        <v>12843.601710948162</v>
      </c>
      <c r="L53" s="21">
        <f>+'Boat Revenues'!K76</f>
        <v>12843.601710948162</v>
      </c>
      <c r="M53" s="21">
        <f>+'Boat Revenues'!L76</f>
        <v>12843.601710948162</v>
      </c>
      <c r="N53" s="21">
        <f>+'Boat Revenues'!M76</f>
        <v>128436.01710948162</v>
      </c>
      <c r="O53" s="21">
        <f>+'Boat Revenues'!N76</f>
        <v>128436.01710948162</v>
      </c>
    </row>
    <row r="54" spans="1:18" x14ac:dyDescent="0.2">
      <c r="A54" s="23" t="s">
        <v>211</v>
      </c>
      <c r="B54" s="22"/>
      <c r="C54" s="22"/>
      <c r="D54" s="385">
        <f>(0.5*D53)</f>
        <v>6421.8008554740809</v>
      </c>
      <c r="E54" s="385">
        <f t="shared" ref="E54:O54" si="18">(0.5*E53)</f>
        <v>6421.8008554740809</v>
      </c>
      <c r="F54" s="385">
        <f t="shared" si="18"/>
        <v>6421.8008554740809</v>
      </c>
      <c r="G54" s="385">
        <f t="shared" si="18"/>
        <v>6421.8008554740809</v>
      </c>
      <c r="H54" s="385">
        <f t="shared" si="18"/>
        <v>6421.8008554740809</v>
      </c>
      <c r="I54" s="385">
        <f t="shared" si="18"/>
        <v>6421.8008554740809</v>
      </c>
      <c r="J54" s="385">
        <f t="shared" si="18"/>
        <v>6421.8008554740809</v>
      </c>
      <c r="K54" s="385">
        <f t="shared" si="18"/>
        <v>6421.8008554740809</v>
      </c>
      <c r="L54" s="385">
        <f t="shared" si="18"/>
        <v>6421.8008554740809</v>
      </c>
      <c r="M54" s="385">
        <f t="shared" si="18"/>
        <v>6421.8008554740809</v>
      </c>
      <c r="N54" s="385">
        <f t="shared" si="18"/>
        <v>64218.008554740809</v>
      </c>
      <c r="O54" s="385">
        <f t="shared" si="18"/>
        <v>64218.008554740809</v>
      </c>
    </row>
    <row r="55" spans="1:18" x14ac:dyDescent="0.2">
      <c r="A55" s="23" t="s">
        <v>212</v>
      </c>
      <c r="B55" s="22"/>
      <c r="C55" s="22"/>
      <c r="D55" s="385">
        <f>D53*0.5/4</f>
        <v>1605.4502138685202</v>
      </c>
      <c r="E55" s="385">
        <f t="shared" ref="E55:O55" si="19">E53*0.5/4</f>
        <v>1605.4502138685202</v>
      </c>
      <c r="F55" s="385">
        <f t="shared" si="19"/>
        <v>1605.4502138685202</v>
      </c>
      <c r="G55" s="385">
        <f t="shared" si="19"/>
        <v>1605.4502138685202</v>
      </c>
      <c r="H55" s="385">
        <f t="shared" si="19"/>
        <v>1605.4502138685202</v>
      </c>
      <c r="I55" s="385">
        <f t="shared" si="19"/>
        <v>1605.4502138685202</v>
      </c>
      <c r="J55" s="385">
        <f t="shared" si="19"/>
        <v>1605.4502138685202</v>
      </c>
      <c r="K55" s="385">
        <f t="shared" si="19"/>
        <v>1605.4502138685202</v>
      </c>
      <c r="L55" s="385">
        <f t="shared" si="19"/>
        <v>1605.4502138685202</v>
      </c>
      <c r="M55" s="385">
        <f t="shared" si="19"/>
        <v>1605.4502138685202</v>
      </c>
      <c r="N55" s="385">
        <f t="shared" si="19"/>
        <v>16054.502138685202</v>
      </c>
      <c r="O55" s="385">
        <f t="shared" si="19"/>
        <v>16054.502138685202</v>
      </c>
    </row>
    <row r="56" spans="1:18" x14ac:dyDescent="0.2">
      <c r="A56" s="172" t="s">
        <v>122</v>
      </c>
      <c r="B56" s="41"/>
      <c r="C56" s="41"/>
      <c r="D56" s="385">
        <f>+D53*D51/1000</f>
        <v>5895.2131853252058</v>
      </c>
      <c r="E56" s="385">
        <f t="shared" ref="E56:O56" si="20">+E53*E51/1000</f>
        <v>5895.2131853252058</v>
      </c>
      <c r="F56" s="385">
        <f t="shared" si="20"/>
        <v>5895.2131853252058</v>
      </c>
      <c r="G56" s="385">
        <f t="shared" si="20"/>
        <v>5895.2131853252058</v>
      </c>
      <c r="H56" s="385">
        <f t="shared" si="20"/>
        <v>5895.2131853252058</v>
      </c>
      <c r="I56" s="385">
        <f t="shared" si="20"/>
        <v>5895.2131853252058</v>
      </c>
      <c r="J56" s="385">
        <f t="shared" si="20"/>
        <v>5895.2131853252058</v>
      </c>
      <c r="K56" s="385">
        <f t="shared" si="20"/>
        <v>5895.2131853252058</v>
      </c>
      <c r="L56" s="385">
        <f t="shared" si="20"/>
        <v>5895.2131853252058</v>
      </c>
      <c r="M56" s="385">
        <f t="shared" si="20"/>
        <v>5895.2131853252058</v>
      </c>
      <c r="N56" s="385">
        <f t="shared" si="20"/>
        <v>58952.13185325206</v>
      </c>
      <c r="O56" s="385">
        <f t="shared" si="20"/>
        <v>58952.13185325206</v>
      </c>
      <c r="R56" s="489">
        <f>SUM(D56:Q56)</f>
        <v>176856.39555975617</v>
      </c>
    </row>
    <row r="57" spans="1:18" x14ac:dyDescent="0.2">
      <c r="A57" s="2"/>
      <c r="B57" s="7"/>
      <c r="C57" s="7"/>
      <c r="D57" s="7"/>
    </row>
    <row r="58" spans="1:18" x14ac:dyDescent="0.2">
      <c r="A58" s="167" t="s">
        <v>1208</v>
      </c>
      <c r="B58" s="166"/>
      <c r="C58" s="166"/>
      <c r="D58" s="111"/>
    </row>
    <row r="59" spans="1:18" x14ac:dyDescent="0.2">
      <c r="A59" s="170" t="s">
        <v>1213</v>
      </c>
      <c r="B59" s="7"/>
      <c r="C59" s="7"/>
      <c r="D59" s="9">
        <f>+'Statistics of Interest'!D111-Assumptions!$Q$12</f>
        <v>0.77344884234032518</v>
      </c>
      <c r="E59" s="9">
        <f>+D59</f>
        <v>0.77344884234032518</v>
      </c>
      <c r="F59" s="9">
        <f t="shared" ref="F59:O59" si="21">+E59</f>
        <v>0.77344884234032518</v>
      </c>
      <c r="G59" s="9">
        <f t="shared" si="21"/>
        <v>0.77344884234032518</v>
      </c>
      <c r="H59" s="9">
        <f t="shared" si="21"/>
        <v>0.77344884234032518</v>
      </c>
      <c r="I59" s="9">
        <f t="shared" si="21"/>
        <v>0.77344884234032518</v>
      </c>
      <c r="J59" s="9">
        <f t="shared" si="21"/>
        <v>0.77344884234032518</v>
      </c>
      <c r="K59" s="9">
        <f t="shared" si="21"/>
        <v>0.77344884234032518</v>
      </c>
      <c r="L59" s="9">
        <f t="shared" si="21"/>
        <v>0.77344884234032518</v>
      </c>
      <c r="M59" s="9">
        <f t="shared" si="21"/>
        <v>0.77344884234032518</v>
      </c>
      <c r="N59" s="9">
        <f t="shared" si="21"/>
        <v>0.77344884234032518</v>
      </c>
      <c r="O59" s="9">
        <f t="shared" si="21"/>
        <v>0.77344884234032518</v>
      </c>
    </row>
    <row r="60" spans="1:18" x14ac:dyDescent="0.2">
      <c r="A60" s="61" t="s">
        <v>1215</v>
      </c>
      <c r="B60" s="7"/>
      <c r="C60" s="7"/>
      <c r="D60" s="30">
        <f>+D56*D59</f>
        <v>4559.6458135392013</v>
      </c>
      <c r="E60" s="30">
        <f t="shared" ref="E60:O60" si="22">+E56*E59</f>
        <v>4559.6458135392013</v>
      </c>
      <c r="F60" s="30">
        <f t="shared" si="22"/>
        <v>4559.6458135392013</v>
      </c>
      <c r="G60" s="30">
        <f t="shared" si="22"/>
        <v>4559.6458135392013</v>
      </c>
      <c r="H60" s="30">
        <f t="shared" si="22"/>
        <v>4559.6458135392013</v>
      </c>
      <c r="I60" s="30">
        <f t="shared" si="22"/>
        <v>4559.6458135392013</v>
      </c>
      <c r="J60" s="30">
        <f t="shared" si="22"/>
        <v>4559.6458135392013</v>
      </c>
      <c r="K60" s="30">
        <f t="shared" si="22"/>
        <v>4559.6458135392013</v>
      </c>
      <c r="L60" s="30">
        <f t="shared" si="22"/>
        <v>4559.6458135392013</v>
      </c>
      <c r="M60" s="30">
        <f t="shared" si="22"/>
        <v>4559.6458135392013</v>
      </c>
      <c r="N60" s="30">
        <f t="shared" si="22"/>
        <v>45596.458135392015</v>
      </c>
      <c r="O60" s="30">
        <f t="shared" si="22"/>
        <v>45596.458135392015</v>
      </c>
    </row>
    <row r="61" spans="1:18" x14ac:dyDescent="0.2">
      <c r="A61" s="170" t="s">
        <v>1216</v>
      </c>
      <c r="B61" s="7"/>
      <c r="C61" s="7"/>
      <c r="D61" s="430">
        <f>+D40</f>
        <v>0.75691051025637157</v>
      </c>
      <c r="E61" s="10">
        <f>+D61</f>
        <v>0.75691051025637157</v>
      </c>
      <c r="F61" s="10">
        <f t="shared" ref="F61:O61" si="23">+E61</f>
        <v>0.75691051025637157</v>
      </c>
      <c r="G61" s="10">
        <f t="shared" si="23"/>
        <v>0.75691051025637157</v>
      </c>
      <c r="H61" s="10">
        <f t="shared" si="23"/>
        <v>0.75691051025637157</v>
      </c>
      <c r="I61" s="10">
        <f t="shared" si="23"/>
        <v>0.75691051025637157</v>
      </c>
      <c r="J61" s="10">
        <f t="shared" si="23"/>
        <v>0.75691051025637157</v>
      </c>
      <c r="K61" s="10">
        <f t="shared" si="23"/>
        <v>0.75691051025637157</v>
      </c>
      <c r="L61" s="10">
        <f t="shared" si="23"/>
        <v>0.75691051025637157</v>
      </c>
      <c r="M61" s="10">
        <f t="shared" si="23"/>
        <v>0.75691051025637157</v>
      </c>
      <c r="N61" s="10">
        <f t="shared" si="23"/>
        <v>0.75691051025637157</v>
      </c>
      <c r="O61" s="10">
        <f t="shared" si="23"/>
        <v>0.75691051025637157</v>
      </c>
    </row>
    <row r="62" spans="1:18" x14ac:dyDescent="0.2">
      <c r="A62" s="48" t="s">
        <v>1217</v>
      </c>
      <c r="B62" s="40"/>
      <c r="C62" s="40"/>
      <c r="D62" s="33">
        <f>+D60*D61</f>
        <v>3451.2438393142852</v>
      </c>
      <c r="E62" s="33">
        <f t="shared" ref="E62:O62" si="24">+E60*E61</f>
        <v>3451.2438393142852</v>
      </c>
      <c r="F62" s="33">
        <f t="shared" si="24"/>
        <v>3451.2438393142852</v>
      </c>
      <c r="G62" s="33">
        <f t="shared" si="24"/>
        <v>3451.2438393142852</v>
      </c>
      <c r="H62" s="33">
        <f t="shared" si="24"/>
        <v>3451.2438393142852</v>
      </c>
      <c r="I62" s="33">
        <f t="shared" si="24"/>
        <v>3451.2438393142852</v>
      </c>
      <c r="J62" s="33">
        <f t="shared" si="24"/>
        <v>3451.2438393142852</v>
      </c>
      <c r="K62" s="33">
        <f t="shared" si="24"/>
        <v>3451.2438393142852</v>
      </c>
      <c r="L62" s="33">
        <f t="shared" si="24"/>
        <v>3451.2438393142852</v>
      </c>
      <c r="M62" s="33">
        <f t="shared" si="24"/>
        <v>3451.2438393142852</v>
      </c>
      <c r="N62" s="33">
        <f t="shared" si="24"/>
        <v>34512.438393142853</v>
      </c>
      <c r="O62" s="33">
        <f t="shared" si="24"/>
        <v>34512.438393142853</v>
      </c>
      <c r="P62" s="420"/>
      <c r="R62" s="489">
        <f>SUM(D62:Q62)</f>
        <v>103537.31517942855</v>
      </c>
    </row>
    <row r="63" spans="1:18" x14ac:dyDescent="0.2">
      <c r="A63" s="61" t="s">
        <v>1218</v>
      </c>
      <c r="B63" s="47"/>
      <c r="C63" s="47"/>
      <c r="D63" s="427">
        <v>0.03</v>
      </c>
      <c r="E63" s="10">
        <f>+D63</f>
        <v>0.03</v>
      </c>
      <c r="F63" s="10">
        <f t="shared" ref="F63:O63" si="25">+E63</f>
        <v>0.03</v>
      </c>
      <c r="G63" s="10">
        <f t="shared" si="25"/>
        <v>0.03</v>
      </c>
      <c r="H63" s="10">
        <f t="shared" si="25"/>
        <v>0.03</v>
      </c>
      <c r="I63" s="10">
        <f t="shared" si="25"/>
        <v>0.03</v>
      </c>
      <c r="J63" s="10">
        <f t="shared" si="25"/>
        <v>0.03</v>
      </c>
      <c r="K63" s="10">
        <f t="shared" si="25"/>
        <v>0.03</v>
      </c>
      <c r="L63" s="10">
        <f t="shared" si="25"/>
        <v>0.03</v>
      </c>
      <c r="M63" s="10">
        <f t="shared" si="25"/>
        <v>0.03</v>
      </c>
      <c r="N63" s="10">
        <f t="shared" si="25"/>
        <v>0.03</v>
      </c>
      <c r="O63" s="10">
        <f t="shared" si="25"/>
        <v>0.03</v>
      </c>
    </row>
    <row r="64" spans="1:18" x14ac:dyDescent="0.2">
      <c r="A64" s="170" t="s">
        <v>1219</v>
      </c>
      <c r="B64" s="7"/>
      <c r="C64" s="40"/>
      <c r="D64" s="33">
        <f>+(D56+D60)*D63</f>
        <v>313.64576996593217</v>
      </c>
      <c r="E64" s="33">
        <f t="shared" ref="E64:O64" si="26">+(E56+E60)*E63</f>
        <v>313.64576996593217</v>
      </c>
      <c r="F64" s="33">
        <f t="shared" si="26"/>
        <v>313.64576996593217</v>
      </c>
      <c r="G64" s="33">
        <f t="shared" si="26"/>
        <v>313.64576996593217</v>
      </c>
      <c r="H64" s="33">
        <f t="shared" si="26"/>
        <v>313.64576996593217</v>
      </c>
      <c r="I64" s="33">
        <f t="shared" si="26"/>
        <v>313.64576996593217</v>
      </c>
      <c r="J64" s="33">
        <f t="shared" si="26"/>
        <v>313.64576996593217</v>
      </c>
      <c r="K64" s="33">
        <f t="shared" si="26"/>
        <v>313.64576996593217</v>
      </c>
      <c r="L64" s="33">
        <f t="shared" si="26"/>
        <v>313.64576996593217</v>
      </c>
      <c r="M64" s="33">
        <f t="shared" si="26"/>
        <v>313.64576996593217</v>
      </c>
      <c r="N64" s="33">
        <f t="shared" si="26"/>
        <v>3136.4576996593223</v>
      </c>
      <c r="O64" s="33">
        <f t="shared" si="26"/>
        <v>3136.4576996593223</v>
      </c>
    </row>
    <row r="65" spans="1:18" x14ac:dyDescent="0.2">
      <c r="A65" s="47"/>
      <c r="B65" s="7"/>
      <c r="C65" s="7"/>
      <c r="D65" s="46"/>
    </row>
    <row r="66" spans="1:18" x14ac:dyDescent="0.2">
      <c r="A66" s="431" t="s">
        <v>1214</v>
      </c>
      <c r="B66" s="432"/>
      <c r="C66" s="432"/>
      <c r="D66" s="433">
        <f>+(D64*Assumptions!$E$41)+(D62*Assumptions!$E$40)+(D56*Assumptions!$E$39)</f>
        <v>9660.1027946054237</v>
      </c>
      <c r="E66" s="433">
        <f>+(E64*Assumptions!$E$41)+(E62*Assumptions!$E$40)+(E56*Assumptions!$E$39)</f>
        <v>9660.1027946054237</v>
      </c>
      <c r="F66" s="433">
        <f>+(F64*Assumptions!$E$41)+(F62*Assumptions!$E$40)+(F56*Assumptions!$E$39)</f>
        <v>9660.1027946054237</v>
      </c>
      <c r="G66" s="433">
        <f>+(G64*Assumptions!$E$41)+(G62*Assumptions!$E$40)+(G56*Assumptions!$E$39)</f>
        <v>9660.1027946054237</v>
      </c>
      <c r="H66" s="433">
        <f>+(H64*Assumptions!$E$41)+(H62*Assumptions!$E$40)+(H56*Assumptions!$E$39)</f>
        <v>9660.1027946054237</v>
      </c>
      <c r="I66" s="433">
        <f>+(I64*Assumptions!$E$41)+(I62*Assumptions!$E$40)+(I56*Assumptions!$E$39)</f>
        <v>9660.1027946054237</v>
      </c>
      <c r="J66" s="433">
        <f>+(J64*Assumptions!$E$41)+(J62*Assumptions!$E$40)+(J56*Assumptions!$E$39)</f>
        <v>9660.1027946054237</v>
      </c>
      <c r="K66" s="433">
        <f>+(K64*Assumptions!$E$41)+(K62*Assumptions!$E$40)+(K56*Assumptions!$E$39)</f>
        <v>9660.1027946054237</v>
      </c>
      <c r="L66" s="433">
        <f>+(L64*Assumptions!$E$41)+(L62*Assumptions!$E$40)+(L56*Assumptions!$E$39)</f>
        <v>9660.1027946054237</v>
      </c>
      <c r="M66" s="433">
        <f>+(M64*Assumptions!$E$41)+(M62*Assumptions!$E$40)+(M56*Assumptions!$E$39)</f>
        <v>9660.1027946054237</v>
      </c>
      <c r="N66" s="433">
        <f>+(N64*Assumptions!$E$41)+(N62*Assumptions!$E$40)+(N56*Assumptions!$E$39)</f>
        <v>96601.027946054237</v>
      </c>
      <c r="O66" s="433">
        <f>+(O64*Assumptions!$E$41)+(O62*Assumptions!$E$40)+(O56*Assumptions!$E$39)</f>
        <v>96601.027946054237</v>
      </c>
      <c r="Q66" s="488"/>
      <c r="R66" s="489">
        <f>SUM(D66:Q66)</f>
        <v>289803.08383816271</v>
      </c>
    </row>
    <row r="69" spans="1:18" x14ac:dyDescent="0.2">
      <c r="A69" s="174" t="s">
        <v>49</v>
      </c>
      <c r="B69" s="175"/>
      <c r="C69" s="175"/>
    </row>
    <row r="70" spans="1:18" x14ac:dyDescent="0.2">
      <c r="A70" s="441" t="s">
        <v>186</v>
      </c>
      <c r="B70" s="7"/>
      <c r="C70" s="7"/>
    </row>
    <row r="71" spans="1:18" x14ac:dyDescent="0.2">
      <c r="A71" s="167" t="s">
        <v>118</v>
      </c>
      <c r="B71" s="111"/>
      <c r="C71" s="168"/>
    </row>
    <row r="72" spans="1:18" x14ac:dyDescent="0.2">
      <c r="A72" s="170" t="s">
        <v>1220</v>
      </c>
      <c r="B72" s="7"/>
      <c r="C72" s="7"/>
      <c r="D72" s="30">
        <f>+'Statistics of Interest'!D8</f>
        <v>236</v>
      </c>
      <c r="E72" s="46">
        <f>+D72*(1+Assumptions!$Q$11)</f>
        <v>236</v>
      </c>
      <c r="F72" s="46">
        <f>+E72*(1+Assumptions!$Q$11)</f>
        <v>236</v>
      </c>
      <c r="G72" s="46">
        <f>+F72*(1+Assumptions!$Q$11)</f>
        <v>236</v>
      </c>
      <c r="H72" s="46">
        <f>+G72*(1+Assumptions!$Q$11)</f>
        <v>236</v>
      </c>
      <c r="I72" s="46">
        <f>+H72*(1+Assumptions!$Q$11)</f>
        <v>236</v>
      </c>
      <c r="J72" s="46">
        <f>+I72*(1+Assumptions!$Q$11)</f>
        <v>236</v>
      </c>
      <c r="K72" s="46">
        <f>+J72*(1+Assumptions!$Q$11)</f>
        <v>236</v>
      </c>
      <c r="L72" s="46">
        <f>+K72*(1+Assumptions!$Q$11)</f>
        <v>236</v>
      </c>
      <c r="M72" s="46">
        <f>+L72*(1+Assumptions!$Q$11)</f>
        <v>236</v>
      </c>
      <c r="N72" s="46">
        <f>+M72*(1+Assumptions!$Q$11)</f>
        <v>236</v>
      </c>
      <c r="O72" s="46">
        <f>+N72*(1+Assumptions!$Q$11)</f>
        <v>236</v>
      </c>
    </row>
    <row r="73" spans="1:18" x14ac:dyDescent="0.2">
      <c r="A73" s="2"/>
      <c r="B73" s="7"/>
      <c r="C73" s="7"/>
    </row>
    <row r="74" spans="1:18" x14ac:dyDescent="0.2">
      <c r="A74" s="172" t="s">
        <v>210</v>
      </c>
      <c r="B74" s="20"/>
      <c r="C74" s="20"/>
      <c r="D74" s="21">
        <f>+'Boat Revenues'!C113</f>
        <v>25524.502186082886</v>
      </c>
      <c r="E74" s="21">
        <f>+'Boat Revenues'!D113</f>
        <v>25524.502186082886</v>
      </c>
      <c r="F74" s="21">
        <f>+'Boat Revenues'!E113</f>
        <v>25524.502186082886</v>
      </c>
      <c r="G74" s="21">
        <f>+'Boat Revenues'!F113</f>
        <v>25524.502186082886</v>
      </c>
      <c r="H74" s="21">
        <f>+'Boat Revenues'!G113</f>
        <v>25524.502186082886</v>
      </c>
      <c r="I74" s="21">
        <f>+'Boat Revenues'!H113</f>
        <v>25524.502186082886</v>
      </c>
      <c r="J74" s="21">
        <f>+'Boat Revenues'!I113</f>
        <v>25524.502186082886</v>
      </c>
      <c r="K74" s="21">
        <f>+'Boat Revenues'!J113</f>
        <v>25524.502186082886</v>
      </c>
      <c r="L74" s="21">
        <f>+'Boat Revenues'!K113</f>
        <v>25524.502186082886</v>
      </c>
      <c r="M74" s="21">
        <f>+'Boat Revenues'!L113</f>
        <v>25524.502186082886</v>
      </c>
      <c r="N74" s="21">
        <f>+'Boat Revenues'!M113</f>
        <v>255245.02186082862</v>
      </c>
      <c r="O74" s="21">
        <f>+'Boat Revenues'!N113</f>
        <v>255245.02186082862</v>
      </c>
    </row>
    <row r="75" spans="1:18" x14ac:dyDescent="0.2">
      <c r="A75" s="23" t="s">
        <v>211</v>
      </c>
      <c r="B75" s="22"/>
      <c r="C75" s="22"/>
      <c r="D75" s="385">
        <f>(0.5*D74)</f>
        <v>12762.251093041443</v>
      </c>
      <c r="E75" s="385">
        <f t="shared" ref="E75:O75" si="27">(0.5*E74)</f>
        <v>12762.251093041443</v>
      </c>
      <c r="F75" s="385">
        <f t="shared" si="27"/>
        <v>12762.251093041443</v>
      </c>
      <c r="G75" s="385">
        <f t="shared" si="27"/>
        <v>12762.251093041443</v>
      </c>
      <c r="H75" s="385">
        <f t="shared" si="27"/>
        <v>12762.251093041443</v>
      </c>
      <c r="I75" s="385">
        <f t="shared" si="27"/>
        <v>12762.251093041443</v>
      </c>
      <c r="J75" s="385">
        <f t="shared" si="27"/>
        <v>12762.251093041443</v>
      </c>
      <c r="K75" s="385">
        <f t="shared" si="27"/>
        <v>12762.251093041443</v>
      </c>
      <c r="L75" s="385">
        <f t="shared" si="27"/>
        <v>12762.251093041443</v>
      </c>
      <c r="M75" s="385">
        <f t="shared" si="27"/>
        <v>12762.251093041443</v>
      </c>
      <c r="N75" s="385">
        <f t="shared" si="27"/>
        <v>127622.51093041431</v>
      </c>
      <c r="O75" s="385">
        <f t="shared" si="27"/>
        <v>127622.51093041431</v>
      </c>
    </row>
    <row r="76" spans="1:18" x14ac:dyDescent="0.2">
      <c r="A76" s="23" t="s">
        <v>212</v>
      </c>
      <c r="B76" s="22"/>
      <c r="C76" s="22"/>
      <c r="D76" s="385">
        <f>D74*0.5/4</f>
        <v>3190.5627732603607</v>
      </c>
      <c r="E76" s="385">
        <f t="shared" ref="E76:O76" si="28">E74*0.5/4</f>
        <v>3190.5627732603607</v>
      </c>
      <c r="F76" s="385">
        <f t="shared" si="28"/>
        <v>3190.5627732603607</v>
      </c>
      <c r="G76" s="385">
        <f t="shared" si="28"/>
        <v>3190.5627732603607</v>
      </c>
      <c r="H76" s="385">
        <f t="shared" si="28"/>
        <v>3190.5627732603607</v>
      </c>
      <c r="I76" s="385">
        <f t="shared" si="28"/>
        <v>3190.5627732603607</v>
      </c>
      <c r="J76" s="385">
        <f t="shared" si="28"/>
        <v>3190.5627732603607</v>
      </c>
      <c r="K76" s="385">
        <f t="shared" si="28"/>
        <v>3190.5627732603607</v>
      </c>
      <c r="L76" s="385">
        <f t="shared" si="28"/>
        <v>3190.5627732603607</v>
      </c>
      <c r="M76" s="385">
        <f t="shared" si="28"/>
        <v>3190.5627732603607</v>
      </c>
      <c r="N76" s="385">
        <f t="shared" si="28"/>
        <v>31905.627732603578</v>
      </c>
      <c r="O76" s="385">
        <f t="shared" si="28"/>
        <v>31905.627732603578</v>
      </c>
    </row>
    <row r="77" spans="1:18" x14ac:dyDescent="0.2">
      <c r="A77" s="172" t="s">
        <v>122</v>
      </c>
      <c r="B77" s="41"/>
      <c r="C77" s="41"/>
      <c r="D77" s="385">
        <f t="shared" ref="D77:O77" si="29">+D74*D72/1000</f>
        <v>6023.7825159155618</v>
      </c>
      <c r="E77" s="385">
        <f t="shared" si="29"/>
        <v>6023.7825159155618</v>
      </c>
      <c r="F77" s="385">
        <f t="shared" si="29"/>
        <v>6023.7825159155618</v>
      </c>
      <c r="G77" s="385">
        <f t="shared" si="29"/>
        <v>6023.7825159155618</v>
      </c>
      <c r="H77" s="385">
        <f t="shared" si="29"/>
        <v>6023.7825159155618</v>
      </c>
      <c r="I77" s="385">
        <f t="shared" si="29"/>
        <v>6023.7825159155618</v>
      </c>
      <c r="J77" s="385">
        <f t="shared" si="29"/>
        <v>6023.7825159155618</v>
      </c>
      <c r="K77" s="385">
        <f t="shared" si="29"/>
        <v>6023.7825159155618</v>
      </c>
      <c r="L77" s="385">
        <f t="shared" si="29"/>
        <v>6023.7825159155618</v>
      </c>
      <c r="M77" s="385">
        <f t="shared" si="29"/>
        <v>6023.7825159155618</v>
      </c>
      <c r="N77" s="385">
        <f t="shared" si="29"/>
        <v>60237.825159155553</v>
      </c>
      <c r="O77" s="385">
        <f t="shared" si="29"/>
        <v>60237.825159155553</v>
      </c>
      <c r="R77" s="489">
        <f>SUM(D77:Q77)</f>
        <v>180713.47547746674</v>
      </c>
    </row>
    <row r="78" spans="1:18" x14ac:dyDescent="0.2">
      <c r="A78" s="2"/>
      <c r="B78" s="7"/>
      <c r="C78" s="7"/>
      <c r="D78" s="6"/>
    </row>
    <row r="79" spans="1:18" x14ac:dyDescent="0.2">
      <c r="A79" s="167" t="s">
        <v>1208</v>
      </c>
      <c r="B79" s="166"/>
      <c r="C79" s="166"/>
      <c r="D79" s="168"/>
    </row>
    <row r="80" spans="1:18" x14ac:dyDescent="0.2">
      <c r="A80" s="170" t="s">
        <v>1213</v>
      </c>
      <c r="B80" s="7"/>
      <c r="C80" s="7"/>
      <c r="D80" s="428">
        <f>+'Statistics of Interest'!D112-Assumptions!$Q$12</f>
        <v>0.64923113630204798</v>
      </c>
      <c r="E80" s="10">
        <f>+D80</f>
        <v>0.64923113630204798</v>
      </c>
      <c r="F80" s="10">
        <f t="shared" ref="F80:O84" si="30">+E80</f>
        <v>0.64923113630204798</v>
      </c>
      <c r="G80" s="10">
        <f t="shared" si="30"/>
        <v>0.64923113630204798</v>
      </c>
      <c r="H80" s="10">
        <f t="shared" si="30"/>
        <v>0.64923113630204798</v>
      </c>
      <c r="I80" s="10">
        <f t="shared" si="30"/>
        <v>0.64923113630204798</v>
      </c>
      <c r="J80" s="10">
        <f t="shared" si="30"/>
        <v>0.64923113630204798</v>
      </c>
      <c r="K80" s="10">
        <f t="shared" si="30"/>
        <v>0.64923113630204798</v>
      </c>
      <c r="L80" s="10">
        <f t="shared" si="30"/>
        <v>0.64923113630204798</v>
      </c>
      <c r="M80" s="10">
        <f t="shared" si="30"/>
        <v>0.64923113630204798</v>
      </c>
      <c r="N80" s="10">
        <f t="shared" si="30"/>
        <v>0.64923113630204798</v>
      </c>
      <c r="O80" s="10">
        <f t="shared" si="30"/>
        <v>0.64923113630204798</v>
      </c>
    </row>
    <row r="81" spans="1:18" x14ac:dyDescent="0.2">
      <c r="A81" s="61" t="s">
        <v>1215</v>
      </c>
      <c r="B81" s="7"/>
      <c r="C81" s="7"/>
      <c r="D81" s="30">
        <f>+D77*D80</f>
        <v>3910.8271676442696</v>
      </c>
      <c r="E81" s="30">
        <f t="shared" ref="E81:O81" si="31">+E77*E80</f>
        <v>3910.8271676442696</v>
      </c>
      <c r="F81" s="30">
        <f t="shared" si="31"/>
        <v>3910.8271676442696</v>
      </c>
      <c r="G81" s="30">
        <f t="shared" si="31"/>
        <v>3910.8271676442696</v>
      </c>
      <c r="H81" s="30">
        <f t="shared" si="31"/>
        <v>3910.8271676442696</v>
      </c>
      <c r="I81" s="30">
        <f t="shared" si="31"/>
        <v>3910.8271676442696</v>
      </c>
      <c r="J81" s="30">
        <f t="shared" si="31"/>
        <v>3910.8271676442696</v>
      </c>
      <c r="K81" s="30">
        <f t="shared" si="31"/>
        <v>3910.8271676442696</v>
      </c>
      <c r="L81" s="30">
        <f t="shared" si="31"/>
        <v>3910.8271676442696</v>
      </c>
      <c r="M81" s="30">
        <f t="shared" si="31"/>
        <v>3910.8271676442696</v>
      </c>
      <c r="N81" s="30">
        <f t="shared" si="31"/>
        <v>39108.271676442651</v>
      </c>
      <c r="O81" s="30">
        <f t="shared" si="31"/>
        <v>39108.271676442651</v>
      </c>
    </row>
    <row r="82" spans="1:18" x14ac:dyDescent="0.2">
      <c r="A82" s="170" t="s">
        <v>1216</v>
      </c>
      <c r="B82" s="7"/>
      <c r="C82" s="7"/>
      <c r="D82" s="430">
        <f>+D61</f>
        <v>0.75691051025637157</v>
      </c>
      <c r="E82" s="10">
        <f>+D82</f>
        <v>0.75691051025637157</v>
      </c>
      <c r="F82" s="10">
        <f t="shared" si="30"/>
        <v>0.75691051025637157</v>
      </c>
      <c r="G82" s="10">
        <f t="shared" si="30"/>
        <v>0.75691051025637157</v>
      </c>
      <c r="H82" s="10">
        <f t="shared" si="30"/>
        <v>0.75691051025637157</v>
      </c>
      <c r="I82" s="10">
        <f t="shared" si="30"/>
        <v>0.75691051025637157</v>
      </c>
      <c r="J82" s="10">
        <f t="shared" si="30"/>
        <v>0.75691051025637157</v>
      </c>
      <c r="K82" s="10">
        <f t="shared" si="30"/>
        <v>0.75691051025637157</v>
      </c>
      <c r="L82" s="10">
        <f t="shared" si="30"/>
        <v>0.75691051025637157</v>
      </c>
      <c r="M82" s="10">
        <f t="shared" si="30"/>
        <v>0.75691051025637157</v>
      </c>
      <c r="N82" s="10">
        <f t="shared" si="30"/>
        <v>0.75691051025637157</v>
      </c>
      <c r="O82" s="10">
        <f t="shared" si="30"/>
        <v>0.75691051025637157</v>
      </c>
    </row>
    <row r="83" spans="1:18" x14ac:dyDescent="0.2">
      <c r="A83" s="48" t="s">
        <v>1217</v>
      </c>
      <c r="B83" s="40"/>
      <c r="C83" s="40"/>
      <c r="D83" s="33">
        <f>+D81*D82</f>
        <v>2960.1461869861046</v>
      </c>
      <c r="E83" s="33">
        <f t="shared" ref="E83:O83" si="32">+E81*E82</f>
        <v>2960.1461869861046</v>
      </c>
      <c r="F83" s="33">
        <f t="shared" si="32"/>
        <v>2960.1461869861046</v>
      </c>
      <c r="G83" s="33">
        <f t="shared" si="32"/>
        <v>2960.1461869861046</v>
      </c>
      <c r="H83" s="33">
        <f t="shared" si="32"/>
        <v>2960.1461869861046</v>
      </c>
      <c r="I83" s="33">
        <f t="shared" si="32"/>
        <v>2960.1461869861046</v>
      </c>
      <c r="J83" s="33">
        <f t="shared" si="32"/>
        <v>2960.1461869861046</v>
      </c>
      <c r="K83" s="33">
        <f t="shared" si="32"/>
        <v>2960.1461869861046</v>
      </c>
      <c r="L83" s="33">
        <f t="shared" si="32"/>
        <v>2960.1461869861046</v>
      </c>
      <c r="M83" s="33">
        <f t="shared" si="32"/>
        <v>2960.1461869861046</v>
      </c>
      <c r="N83" s="33">
        <f t="shared" si="32"/>
        <v>29601.46186986101</v>
      </c>
      <c r="O83" s="33">
        <f t="shared" si="32"/>
        <v>29601.46186986101</v>
      </c>
      <c r="P83" s="420"/>
      <c r="R83" s="489">
        <f>SUM(D83:Q83)</f>
        <v>88804.385609583071</v>
      </c>
    </row>
    <row r="84" spans="1:18" x14ac:dyDescent="0.2">
      <c r="A84" s="61" t="s">
        <v>1218</v>
      </c>
      <c r="B84" s="47"/>
      <c r="C84" s="47"/>
      <c r="D84" s="427">
        <v>0.03</v>
      </c>
      <c r="E84" s="10">
        <f>+D84</f>
        <v>0.03</v>
      </c>
      <c r="F84" s="10">
        <f t="shared" si="30"/>
        <v>0.03</v>
      </c>
      <c r="G84" s="10">
        <f t="shared" si="30"/>
        <v>0.03</v>
      </c>
      <c r="H84" s="10">
        <f t="shared" si="30"/>
        <v>0.03</v>
      </c>
      <c r="I84" s="10">
        <f t="shared" si="30"/>
        <v>0.03</v>
      </c>
      <c r="J84" s="10">
        <f t="shared" si="30"/>
        <v>0.03</v>
      </c>
      <c r="K84" s="10">
        <f t="shared" si="30"/>
        <v>0.03</v>
      </c>
      <c r="L84" s="10">
        <f t="shared" si="30"/>
        <v>0.03</v>
      </c>
      <c r="M84" s="10">
        <f t="shared" si="30"/>
        <v>0.03</v>
      </c>
      <c r="N84" s="10">
        <f t="shared" si="30"/>
        <v>0.03</v>
      </c>
      <c r="O84" s="10">
        <f t="shared" si="30"/>
        <v>0.03</v>
      </c>
    </row>
    <row r="85" spans="1:18" x14ac:dyDescent="0.2">
      <c r="A85" s="170" t="s">
        <v>1219</v>
      </c>
      <c r="B85" s="7"/>
      <c r="C85" s="40"/>
      <c r="D85" s="33">
        <f>+(D81+D77)*D84</f>
        <v>298.03829050679491</v>
      </c>
      <c r="E85" s="33">
        <f t="shared" ref="E85:O85" si="33">+(E81+E77)*E84</f>
        <v>298.03829050679491</v>
      </c>
      <c r="F85" s="33">
        <f t="shared" si="33"/>
        <v>298.03829050679491</v>
      </c>
      <c r="G85" s="33">
        <f t="shared" si="33"/>
        <v>298.03829050679491</v>
      </c>
      <c r="H85" s="33">
        <f t="shared" si="33"/>
        <v>298.03829050679491</v>
      </c>
      <c r="I85" s="33">
        <f t="shared" si="33"/>
        <v>298.03829050679491</v>
      </c>
      <c r="J85" s="33">
        <f t="shared" si="33"/>
        <v>298.03829050679491</v>
      </c>
      <c r="K85" s="33">
        <f t="shared" si="33"/>
        <v>298.03829050679491</v>
      </c>
      <c r="L85" s="33">
        <f t="shared" si="33"/>
        <v>298.03829050679491</v>
      </c>
      <c r="M85" s="33">
        <f t="shared" si="33"/>
        <v>298.03829050679491</v>
      </c>
      <c r="N85" s="33">
        <f t="shared" si="33"/>
        <v>2980.382905067946</v>
      </c>
      <c r="O85" s="33">
        <f t="shared" si="33"/>
        <v>2980.382905067946</v>
      </c>
    </row>
    <row r="86" spans="1:18" x14ac:dyDescent="0.2">
      <c r="A86" s="47"/>
      <c r="B86" s="7"/>
      <c r="C86" s="7"/>
      <c r="D86" s="171"/>
    </row>
    <row r="87" spans="1:18" x14ac:dyDescent="0.2">
      <c r="A87" s="431" t="s">
        <v>1214</v>
      </c>
      <c r="B87" s="432"/>
      <c r="C87" s="432"/>
      <c r="D87" s="433">
        <f>+(D85*Assumptions!$E$41)+(D83*Assumptions!$E$40)+(D77*Assumptions!$E$39)</f>
        <v>9281.9669934084613</v>
      </c>
      <c r="E87" s="433">
        <f>+(E85*Assumptions!$E$41)+(E83*Assumptions!$E$40)+(E77*Assumptions!$E$39)</f>
        <v>9281.9669934084613</v>
      </c>
      <c r="F87" s="433">
        <f>+(F85*Assumptions!$E$41)+(F83*Assumptions!$E$40)+(F77*Assumptions!$E$39)</f>
        <v>9281.9669934084613</v>
      </c>
      <c r="G87" s="433">
        <f>+(G85*Assumptions!$E$41)+(G83*Assumptions!$E$40)+(G77*Assumptions!$E$39)</f>
        <v>9281.9669934084613</v>
      </c>
      <c r="H87" s="433">
        <f>+(H85*Assumptions!$E$41)+(H83*Assumptions!$E$40)+(H77*Assumptions!$E$39)</f>
        <v>9281.9669934084613</v>
      </c>
      <c r="I87" s="433">
        <f>+(I85*Assumptions!$E$41)+(I83*Assumptions!$E$40)+(I77*Assumptions!$E$39)</f>
        <v>9281.9669934084613</v>
      </c>
      <c r="J87" s="433">
        <f>+(J85*Assumptions!$E$41)+(J83*Assumptions!$E$40)+(J77*Assumptions!$E$39)</f>
        <v>9281.9669934084613</v>
      </c>
      <c r="K87" s="433">
        <f>+(K85*Assumptions!$E$41)+(K83*Assumptions!$E$40)+(K77*Assumptions!$E$39)</f>
        <v>9281.9669934084613</v>
      </c>
      <c r="L87" s="433">
        <f>+(L85*Assumptions!$E$41)+(L83*Assumptions!$E$40)+(L77*Assumptions!$E$39)</f>
        <v>9281.9669934084613</v>
      </c>
      <c r="M87" s="433">
        <f>+(M85*Assumptions!$E$41)+(M83*Assumptions!$E$40)+(M77*Assumptions!$E$39)</f>
        <v>9281.9669934084613</v>
      </c>
      <c r="N87" s="433">
        <f>+(N85*Assumptions!$E$41)+(N83*Assumptions!$E$40)+(N77*Assumptions!$E$39)</f>
        <v>92819.669934084508</v>
      </c>
      <c r="O87" s="433">
        <f>+(O85*Assumptions!$E$41)+(O83*Assumptions!$E$40)+(O77*Assumptions!$E$39)</f>
        <v>92819.669934084508</v>
      </c>
      <c r="Q87" s="488"/>
      <c r="R87" s="489">
        <f>SUM(D87:Q87)</f>
        <v>278459.00980225363</v>
      </c>
    </row>
    <row r="90" spans="1:18" x14ac:dyDescent="0.2">
      <c r="A90" s="174" t="s">
        <v>49</v>
      </c>
      <c r="B90" s="175"/>
      <c r="C90" s="175"/>
    </row>
    <row r="91" spans="1:18" x14ac:dyDescent="0.2">
      <c r="A91" s="440" t="s">
        <v>178</v>
      </c>
      <c r="B91" s="7"/>
      <c r="C91" s="7"/>
    </row>
    <row r="92" spans="1:18" x14ac:dyDescent="0.2">
      <c r="A92" s="167" t="s">
        <v>118</v>
      </c>
      <c r="B92" s="111"/>
      <c r="C92" s="168"/>
    </row>
    <row r="93" spans="1:18" x14ac:dyDescent="0.2">
      <c r="A93" s="170" t="s">
        <v>1220</v>
      </c>
      <c r="B93" s="7"/>
      <c r="C93" s="7"/>
      <c r="D93" s="30">
        <f>+'Statistics of Interest'!D9</f>
        <v>314</v>
      </c>
      <c r="E93" s="46">
        <f>+D93*(1+Assumptions!$Q$11)</f>
        <v>314</v>
      </c>
      <c r="F93" s="46">
        <f>+E93*(1+Assumptions!$Q$11)</f>
        <v>314</v>
      </c>
      <c r="G93" s="46">
        <f>+F93*(1+Assumptions!$Q$11)</f>
        <v>314</v>
      </c>
      <c r="H93" s="46">
        <f>+G93*(1+Assumptions!$Q$11)</f>
        <v>314</v>
      </c>
      <c r="I93" s="46">
        <f>+H93*(1+Assumptions!$Q$11)</f>
        <v>314</v>
      </c>
      <c r="J93" s="46">
        <f>+I93*(1+Assumptions!$Q$11)</f>
        <v>314</v>
      </c>
      <c r="K93" s="46">
        <f>+J93*(1+Assumptions!$Q$11)</f>
        <v>314</v>
      </c>
      <c r="L93" s="46">
        <f>+K93*(1+Assumptions!$Q$11)</f>
        <v>314</v>
      </c>
      <c r="M93" s="46">
        <f>+L93*(1+Assumptions!$Q$11)</f>
        <v>314</v>
      </c>
      <c r="N93" s="46">
        <f>+M93*(1+Assumptions!$Q$11)</f>
        <v>314</v>
      </c>
      <c r="O93" s="46">
        <f>+N93*(1+Assumptions!$Q$11)</f>
        <v>314</v>
      </c>
    </row>
    <row r="94" spans="1:18" x14ac:dyDescent="0.2">
      <c r="A94" s="2"/>
      <c r="B94" s="7"/>
      <c r="C94" s="7"/>
    </row>
    <row r="95" spans="1:18" x14ac:dyDescent="0.2">
      <c r="A95" s="172" t="s">
        <v>210</v>
      </c>
      <c r="B95" s="20"/>
      <c r="C95" s="20"/>
      <c r="D95" s="21">
        <f>+'Boat Revenues'!C149</f>
        <v>12765.14318906283</v>
      </c>
      <c r="E95" s="21">
        <f>+'Boat Revenues'!D149</f>
        <v>12765.14318906283</v>
      </c>
      <c r="F95" s="21">
        <f>+'Boat Revenues'!E149</f>
        <v>12765.14318906283</v>
      </c>
      <c r="G95" s="21">
        <f>+'Boat Revenues'!F149</f>
        <v>12765.14318906283</v>
      </c>
      <c r="H95" s="21">
        <f>+'Boat Revenues'!G149</f>
        <v>12765.14318906283</v>
      </c>
      <c r="I95" s="21">
        <f>+'Boat Revenues'!H149</f>
        <v>12765.14318906283</v>
      </c>
      <c r="J95" s="21">
        <f>+'Boat Revenues'!I149</f>
        <v>12765.14318906283</v>
      </c>
      <c r="K95" s="21">
        <f>+'Boat Revenues'!J149</f>
        <v>12765.14318906283</v>
      </c>
      <c r="L95" s="21">
        <f>+'Boat Revenues'!K149</f>
        <v>12765.14318906283</v>
      </c>
      <c r="M95" s="21">
        <f>+'Boat Revenues'!L149</f>
        <v>12765.14318906283</v>
      </c>
      <c r="N95" s="21">
        <f>+'Boat Revenues'!M149</f>
        <v>127651.43189062853</v>
      </c>
      <c r="O95" s="21">
        <f>+'Boat Revenues'!N149</f>
        <v>127651.43189062853</v>
      </c>
    </row>
    <row r="96" spans="1:18" x14ac:dyDescent="0.2">
      <c r="A96" s="23" t="s">
        <v>211</v>
      </c>
      <c r="B96" s="22"/>
      <c r="C96" s="22"/>
      <c r="D96" s="385">
        <f>(0.5*D95)</f>
        <v>6382.571594531415</v>
      </c>
      <c r="E96" s="385">
        <f t="shared" ref="E96:O96" si="34">(0.5*E95)</f>
        <v>6382.571594531415</v>
      </c>
      <c r="F96" s="385">
        <f t="shared" si="34"/>
        <v>6382.571594531415</v>
      </c>
      <c r="G96" s="385">
        <f t="shared" si="34"/>
        <v>6382.571594531415</v>
      </c>
      <c r="H96" s="385">
        <f t="shared" si="34"/>
        <v>6382.571594531415</v>
      </c>
      <c r="I96" s="385">
        <f t="shared" si="34"/>
        <v>6382.571594531415</v>
      </c>
      <c r="J96" s="385">
        <f t="shared" si="34"/>
        <v>6382.571594531415</v>
      </c>
      <c r="K96" s="385">
        <f t="shared" si="34"/>
        <v>6382.571594531415</v>
      </c>
      <c r="L96" s="385">
        <f t="shared" si="34"/>
        <v>6382.571594531415</v>
      </c>
      <c r="M96" s="385">
        <f t="shared" si="34"/>
        <v>6382.571594531415</v>
      </c>
      <c r="N96" s="385">
        <f t="shared" si="34"/>
        <v>63825.715945314267</v>
      </c>
      <c r="O96" s="385">
        <f t="shared" si="34"/>
        <v>63825.715945314267</v>
      </c>
    </row>
    <row r="97" spans="1:18" x14ac:dyDescent="0.2">
      <c r="A97" s="23" t="s">
        <v>212</v>
      </c>
      <c r="B97" s="22"/>
      <c r="C97" s="22"/>
      <c r="D97" s="385">
        <f>D95*0.5/4</f>
        <v>1595.6428986328538</v>
      </c>
      <c r="E97" s="385">
        <f t="shared" ref="E97:O97" si="35">E95*0.5/4</f>
        <v>1595.6428986328538</v>
      </c>
      <c r="F97" s="385">
        <f t="shared" si="35"/>
        <v>1595.6428986328538</v>
      </c>
      <c r="G97" s="385">
        <f t="shared" si="35"/>
        <v>1595.6428986328538</v>
      </c>
      <c r="H97" s="385">
        <f t="shared" si="35"/>
        <v>1595.6428986328538</v>
      </c>
      <c r="I97" s="385">
        <f t="shared" si="35"/>
        <v>1595.6428986328538</v>
      </c>
      <c r="J97" s="385">
        <f t="shared" si="35"/>
        <v>1595.6428986328538</v>
      </c>
      <c r="K97" s="385">
        <f t="shared" si="35"/>
        <v>1595.6428986328538</v>
      </c>
      <c r="L97" s="385">
        <f t="shared" si="35"/>
        <v>1595.6428986328538</v>
      </c>
      <c r="M97" s="385">
        <f t="shared" si="35"/>
        <v>1595.6428986328538</v>
      </c>
      <c r="N97" s="385">
        <f t="shared" si="35"/>
        <v>15956.428986328567</v>
      </c>
      <c r="O97" s="385">
        <f t="shared" si="35"/>
        <v>15956.428986328567</v>
      </c>
    </row>
    <row r="98" spans="1:18" x14ac:dyDescent="0.2">
      <c r="A98" s="172" t="s">
        <v>122</v>
      </c>
      <c r="B98" s="41"/>
      <c r="C98" s="41"/>
      <c r="D98" s="385">
        <f>+D95*D93/1000</f>
        <v>4008.2549613657288</v>
      </c>
      <c r="E98" s="385">
        <f t="shared" ref="E98:O98" si="36">+E95*E93/1000</f>
        <v>4008.2549613657288</v>
      </c>
      <c r="F98" s="385">
        <f t="shared" si="36"/>
        <v>4008.2549613657288</v>
      </c>
      <c r="G98" s="385">
        <f t="shared" si="36"/>
        <v>4008.2549613657288</v>
      </c>
      <c r="H98" s="385">
        <f t="shared" si="36"/>
        <v>4008.2549613657288</v>
      </c>
      <c r="I98" s="385">
        <f t="shared" si="36"/>
        <v>4008.2549613657288</v>
      </c>
      <c r="J98" s="385">
        <f t="shared" si="36"/>
        <v>4008.2549613657288</v>
      </c>
      <c r="K98" s="385">
        <f t="shared" si="36"/>
        <v>4008.2549613657288</v>
      </c>
      <c r="L98" s="385">
        <f t="shared" si="36"/>
        <v>4008.2549613657288</v>
      </c>
      <c r="M98" s="385">
        <f t="shared" si="36"/>
        <v>4008.2549613657288</v>
      </c>
      <c r="N98" s="385">
        <f t="shared" si="36"/>
        <v>40082.549613657364</v>
      </c>
      <c r="O98" s="385">
        <f t="shared" si="36"/>
        <v>40082.549613657364</v>
      </c>
      <c r="R98" s="489">
        <f>SUM(D98:O98)</f>
        <v>120247.64884097202</v>
      </c>
    </row>
    <row r="99" spans="1:18" x14ac:dyDescent="0.2">
      <c r="A99" s="2"/>
      <c r="B99" s="7"/>
      <c r="C99" s="7"/>
      <c r="D99" s="7"/>
    </row>
    <row r="100" spans="1:18" x14ac:dyDescent="0.2">
      <c r="A100" s="167" t="s">
        <v>1208</v>
      </c>
      <c r="B100" s="166"/>
      <c r="C100" s="166"/>
      <c r="D100" s="351"/>
    </row>
    <row r="101" spans="1:18" x14ac:dyDescent="0.2">
      <c r="A101" s="170" t="s">
        <v>1213</v>
      </c>
      <c r="B101" s="7"/>
      <c r="C101" s="7"/>
      <c r="D101" s="9">
        <f>+'Statistics of Interest'!D113-Assumptions!$Q$12</f>
        <v>0.79277232784687834</v>
      </c>
      <c r="E101" s="10">
        <f>+D101</f>
        <v>0.79277232784687834</v>
      </c>
      <c r="F101" s="10">
        <f t="shared" ref="F101:O105" si="37">+E101</f>
        <v>0.79277232784687834</v>
      </c>
      <c r="G101" s="10">
        <f t="shared" si="37"/>
        <v>0.79277232784687834</v>
      </c>
      <c r="H101" s="10">
        <f t="shared" si="37"/>
        <v>0.79277232784687834</v>
      </c>
      <c r="I101" s="10">
        <f t="shared" si="37"/>
        <v>0.79277232784687834</v>
      </c>
      <c r="J101" s="10">
        <f t="shared" si="37"/>
        <v>0.79277232784687834</v>
      </c>
      <c r="K101" s="10">
        <f t="shared" si="37"/>
        <v>0.79277232784687834</v>
      </c>
      <c r="L101" s="10">
        <f t="shared" si="37"/>
        <v>0.79277232784687834</v>
      </c>
      <c r="M101" s="10">
        <f t="shared" si="37"/>
        <v>0.79277232784687834</v>
      </c>
      <c r="N101" s="10">
        <f t="shared" si="37"/>
        <v>0.79277232784687834</v>
      </c>
      <c r="O101" s="10">
        <f t="shared" si="37"/>
        <v>0.79277232784687834</v>
      </c>
    </row>
    <row r="102" spans="1:18" x14ac:dyDescent="0.2">
      <c r="A102" s="61" t="s">
        <v>1215</v>
      </c>
      <c r="B102" s="7"/>
      <c r="C102" s="7"/>
      <c r="D102" s="30">
        <f>+D98*D101</f>
        <v>3177.6336163257083</v>
      </c>
      <c r="E102" s="30">
        <f t="shared" ref="E102:O102" si="38">+E98*E101</f>
        <v>3177.6336163257083</v>
      </c>
      <c r="F102" s="30">
        <f t="shared" si="38"/>
        <v>3177.6336163257083</v>
      </c>
      <c r="G102" s="30">
        <f t="shared" si="38"/>
        <v>3177.6336163257083</v>
      </c>
      <c r="H102" s="30">
        <f t="shared" si="38"/>
        <v>3177.6336163257083</v>
      </c>
      <c r="I102" s="30">
        <f t="shared" si="38"/>
        <v>3177.6336163257083</v>
      </c>
      <c r="J102" s="30">
        <f t="shared" si="38"/>
        <v>3177.6336163257083</v>
      </c>
      <c r="K102" s="30">
        <f t="shared" si="38"/>
        <v>3177.6336163257083</v>
      </c>
      <c r="L102" s="30">
        <f t="shared" si="38"/>
        <v>3177.6336163257083</v>
      </c>
      <c r="M102" s="30">
        <f t="shared" si="38"/>
        <v>3177.6336163257083</v>
      </c>
      <c r="N102" s="30">
        <f t="shared" si="38"/>
        <v>31776.336163257143</v>
      </c>
      <c r="O102" s="30">
        <f t="shared" si="38"/>
        <v>31776.336163257143</v>
      </c>
    </row>
    <row r="103" spans="1:18" x14ac:dyDescent="0.2">
      <c r="A103" s="170" t="s">
        <v>1216</v>
      </c>
      <c r="B103" s="7"/>
      <c r="C103" s="7"/>
      <c r="D103" s="430">
        <f>+D82</f>
        <v>0.75691051025637157</v>
      </c>
      <c r="E103" s="10">
        <f>+D103</f>
        <v>0.75691051025637157</v>
      </c>
      <c r="F103" s="10">
        <f t="shared" si="37"/>
        <v>0.75691051025637157</v>
      </c>
      <c r="G103" s="10">
        <f t="shared" si="37"/>
        <v>0.75691051025637157</v>
      </c>
      <c r="H103" s="10">
        <f t="shared" si="37"/>
        <v>0.75691051025637157</v>
      </c>
      <c r="I103" s="10">
        <f t="shared" si="37"/>
        <v>0.75691051025637157</v>
      </c>
      <c r="J103" s="10">
        <f t="shared" si="37"/>
        <v>0.75691051025637157</v>
      </c>
      <c r="K103" s="10">
        <f t="shared" si="37"/>
        <v>0.75691051025637157</v>
      </c>
      <c r="L103" s="10">
        <f t="shared" si="37"/>
        <v>0.75691051025637157</v>
      </c>
      <c r="M103" s="10">
        <f t="shared" si="37"/>
        <v>0.75691051025637157</v>
      </c>
      <c r="N103" s="10">
        <f t="shared" si="37"/>
        <v>0.75691051025637157</v>
      </c>
      <c r="O103" s="10">
        <f t="shared" si="37"/>
        <v>0.75691051025637157</v>
      </c>
    </row>
    <row r="104" spans="1:18" x14ac:dyDescent="0.2">
      <c r="A104" s="48" t="s">
        <v>1217</v>
      </c>
      <c r="B104" s="40"/>
      <c r="C104" s="40"/>
      <c r="D104" s="33">
        <f>+D102*D103</f>
        <v>2405.1842819408912</v>
      </c>
      <c r="E104" s="33">
        <f t="shared" ref="E104:O104" si="39">+E102*E103</f>
        <v>2405.1842819408912</v>
      </c>
      <c r="F104" s="33">
        <f t="shared" si="39"/>
        <v>2405.1842819408912</v>
      </c>
      <c r="G104" s="33">
        <f t="shared" si="39"/>
        <v>2405.1842819408912</v>
      </c>
      <c r="H104" s="33">
        <f t="shared" si="39"/>
        <v>2405.1842819408912</v>
      </c>
      <c r="I104" s="33">
        <f t="shared" si="39"/>
        <v>2405.1842819408912</v>
      </c>
      <c r="J104" s="33">
        <f t="shared" si="39"/>
        <v>2405.1842819408912</v>
      </c>
      <c r="K104" s="33">
        <f t="shared" si="39"/>
        <v>2405.1842819408912</v>
      </c>
      <c r="L104" s="33">
        <f t="shared" si="39"/>
        <v>2405.1842819408912</v>
      </c>
      <c r="M104" s="33">
        <f t="shared" si="39"/>
        <v>2405.1842819408912</v>
      </c>
      <c r="N104" s="33">
        <f t="shared" si="39"/>
        <v>24051.842819408957</v>
      </c>
      <c r="O104" s="33">
        <f t="shared" si="39"/>
        <v>24051.842819408957</v>
      </c>
      <c r="P104" s="420"/>
      <c r="R104" s="489">
        <f>SUM(D104:O104)</f>
        <v>72155.528458226821</v>
      </c>
    </row>
    <row r="105" spans="1:18" x14ac:dyDescent="0.2">
      <c r="A105" s="61" t="s">
        <v>1218</v>
      </c>
      <c r="B105" s="47"/>
      <c r="C105" s="47"/>
      <c r="D105" s="427">
        <v>0.03</v>
      </c>
      <c r="E105" s="10">
        <f>+D105</f>
        <v>0.03</v>
      </c>
      <c r="F105" s="10">
        <f t="shared" si="37"/>
        <v>0.03</v>
      </c>
      <c r="G105" s="10">
        <f t="shared" si="37"/>
        <v>0.03</v>
      </c>
      <c r="H105" s="10">
        <f t="shared" si="37"/>
        <v>0.03</v>
      </c>
      <c r="I105" s="10">
        <f t="shared" si="37"/>
        <v>0.03</v>
      </c>
      <c r="J105" s="10">
        <f t="shared" si="37"/>
        <v>0.03</v>
      </c>
      <c r="K105" s="10">
        <f t="shared" si="37"/>
        <v>0.03</v>
      </c>
      <c r="L105" s="10">
        <f t="shared" si="37"/>
        <v>0.03</v>
      </c>
      <c r="M105" s="10">
        <f t="shared" si="37"/>
        <v>0.03</v>
      </c>
      <c r="N105" s="10">
        <f t="shared" si="37"/>
        <v>0.03</v>
      </c>
      <c r="O105" s="10">
        <f t="shared" si="37"/>
        <v>0.03</v>
      </c>
    </row>
    <row r="106" spans="1:18" x14ac:dyDescent="0.2">
      <c r="A106" s="170" t="s">
        <v>1219</v>
      </c>
      <c r="B106" s="7"/>
      <c r="C106" s="40"/>
      <c r="D106" s="33">
        <f t="shared" ref="D106:O106" si="40">+(D1032+D98)*D105</f>
        <v>120.24764884097186</v>
      </c>
      <c r="E106" s="33">
        <f t="shared" si="40"/>
        <v>120.24764884097186</v>
      </c>
      <c r="F106" s="33">
        <f t="shared" si="40"/>
        <v>120.24764884097186</v>
      </c>
      <c r="G106" s="33">
        <f t="shared" si="40"/>
        <v>120.24764884097186</v>
      </c>
      <c r="H106" s="33">
        <f t="shared" si="40"/>
        <v>120.24764884097186</v>
      </c>
      <c r="I106" s="33">
        <f t="shared" si="40"/>
        <v>120.24764884097186</v>
      </c>
      <c r="J106" s="33">
        <f t="shared" si="40"/>
        <v>120.24764884097186</v>
      </c>
      <c r="K106" s="33">
        <f t="shared" si="40"/>
        <v>120.24764884097186</v>
      </c>
      <c r="L106" s="33">
        <f t="shared" si="40"/>
        <v>120.24764884097186</v>
      </c>
      <c r="M106" s="33">
        <f t="shared" si="40"/>
        <v>120.24764884097186</v>
      </c>
      <c r="N106" s="33">
        <f t="shared" si="40"/>
        <v>1202.4764884097208</v>
      </c>
      <c r="O106" s="33">
        <f t="shared" si="40"/>
        <v>1202.4764884097208</v>
      </c>
    </row>
    <row r="107" spans="1:18" x14ac:dyDescent="0.2">
      <c r="A107" s="47"/>
      <c r="B107" s="7"/>
      <c r="C107" s="7"/>
      <c r="D107" s="46"/>
    </row>
    <row r="108" spans="1:18" x14ac:dyDescent="0.2">
      <c r="A108" s="431" t="s">
        <v>1214</v>
      </c>
      <c r="B108" s="432"/>
      <c r="C108" s="432"/>
      <c r="D108" s="433">
        <f>+(D106*Assumptions!$E$41)+(D104*Assumptions!$E$40)+(D98*Assumptions!$E$39)</f>
        <v>6533.6868921475925</v>
      </c>
      <c r="E108" s="433">
        <f>+(E106*Assumptions!$E$41)+(E104*Assumptions!$E$40)+(E98*Assumptions!$E$39)</f>
        <v>6533.6868921475925</v>
      </c>
      <c r="F108" s="433">
        <f>+(F106*Assumptions!$E$41)+(F104*Assumptions!$E$40)+(F98*Assumptions!$E$39)</f>
        <v>6533.6868921475925</v>
      </c>
      <c r="G108" s="433">
        <f>+(G106*Assumptions!$E$41)+(G104*Assumptions!$E$40)+(G98*Assumptions!$E$39)</f>
        <v>6533.6868921475925</v>
      </c>
      <c r="H108" s="433">
        <f>+(H106*Assumptions!$E$41)+(H104*Assumptions!$E$40)+(H98*Assumptions!$E$39)</f>
        <v>6533.6868921475925</v>
      </c>
      <c r="I108" s="433">
        <f>+(I106*Assumptions!$E$41)+(I104*Assumptions!$E$40)+(I98*Assumptions!$E$39)</f>
        <v>6533.6868921475925</v>
      </c>
      <c r="J108" s="433">
        <f>+(J106*Assumptions!$E$41)+(J104*Assumptions!$E$40)+(J98*Assumptions!$E$39)</f>
        <v>6533.6868921475925</v>
      </c>
      <c r="K108" s="433">
        <f>+(K106*Assumptions!$E$41)+(K104*Assumptions!$E$40)+(K98*Assumptions!$E$39)</f>
        <v>6533.6868921475925</v>
      </c>
      <c r="L108" s="433">
        <f>+(L106*Assumptions!$E$41)+(L104*Assumptions!$E$40)+(L98*Assumptions!$E$39)</f>
        <v>6533.6868921475925</v>
      </c>
      <c r="M108" s="433">
        <f>+(M106*Assumptions!$E$41)+(M104*Assumptions!$E$40)+(M98*Assumptions!$E$39)</f>
        <v>6533.6868921475925</v>
      </c>
      <c r="N108" s="433">
        <f>+(N106*Assumptions!$E$41)+(N104*Assumptions!$E$40)+(N98*Assumptions!$E$39)</f>
        <v>65336.868921476038</v>
      </c>
      <c r="O108" s="433">
        <f>+(O106*Assumptions!$E$41)+(O104*Assumptions!$E$40)+(O98*Assumptions!$E$39)</f>
        <v>65336.868921476038</v>
      </c>
      <c r="Q108" s="488"/>
      <c r="R108" s="489">
        <f>SUM(D108:O108)</f>
        <v>196010.606764428</v>
      </c>
    </row>
    <row r="111" spans="1:18" x14ac:dyDescent="0.2">
      <c r="A111" s="174" t="s">
        <v>49</v>
      </c>
      <c r="B111" s="175"/>
      <c r="C111" s="175"/>
    </row>
    <row r="112" spans="1:18" x14ac:dyDescent="0.2">
      <c r="A112" s="440" t="s">
        <v>165</v>
      </c>
      <c r="B112" s="7"/>
      <c r="C112" s="7"/>
    </row>
    <row r="113" spans="1:18" x14ac:dyDescent="0.2">
      <c r="A113" s="167" t="s">
        <v>118</v>
      </c>
      <c r="B113" s="111"/>
      <c r="C113" s="168"/>
    </row>
    <row r="114" spans="1:18" x14ac:dyDescent="0.2">
      <c r="A114" s="170" t="s">
        <v>1220</v>
      </c>
      <c r="B114" s="7"/>
      <c r="C114" s="7"/>
      <c r="D114" s="30">
        <f>+'Statistics of Interest'!D10</f>
        <v>220</v>
      </c>
      <c r="E114" s="46">
        <f>+D114*(1+Assumptions!$Q$11)</f>
        <v>220</v>
      </c>
      <c r="F114" s="46">
        <f>+E114*(1+Assumptions!$Q$11)</f>
        <v>220</v>
      </c>
      <c r="G114" s="46">
        <f>+F114*(1+Assumptions!$Q$11)</f>
        <v>220</v>
      </c>
      <c r="H114" s="46">
        <f>+G114*(1+Assumptions!$Q$11)</f>
        <v>220</v>
      </c>
      <c r="I114" s="46">
        <f>+H114*(1+Assumptions!$Q$11)</f>
        <v>220</v>
      </c>
      <c r="J114" s="46">
        <f>+I114*(1+Assumptions!$Q$11)</f>
        <v>220</v>
      </c>
      <c r="K114" s="46">
        <f>+J114*(1+Assumptions!$Q$11)</f>
        <v>220</v>
      </c>
      <c r="L114" s="46">
        <f>+K114*(1+Assumptions!$Q$11)</f>
        <v>220</v>
      </c>
      <c r="M114" s="46">
        <f>+L114*(1+Assumptions!$Q$11)</f>
        <v>220</v>
      </c>
      <c r="N114" s="46">
        <f>+M114*(1+Assumptions!$Q$11)</f>
        <v>220</v>
      </c>
      <c r="O114" s="46">
        <f>+N114*(1+Assumptions!$Q$11)</f>
        <v>220</v>
      </c>
    </row>
    <row r="115" spans="1:18" x14ac:dyDescent="0.2">
      <c r="A115" s="2"/>
      <c r="B115" s="7"/>
      <c r="C115" s="7"/>
    </row>
    <row r="116" spans="1:18" x14ac:dyDescent="0.2">
      <c r="A116" s="172" t="s">
        <v>210</v>
      </c>
      <c r="B116" s="20"/>
      <c r="C116" s="20"/>
      <c r="D116" s="21">
        <f>+'Boat Revenues'!C185</f>
        <v>13718.050731720374</v>
      </c>
      <c r="E116" s="21">
        <f>+'Boat Revenues'!D185</f>
        <v>13718.050731720374</v>
      </c>
      <c r="F116" s="21">
        <f>+'Boat Revenues'!E185</f>
        <v>13718.050731720374</v>
      </c>
      <c r="G116" s="21">
        <f>+'Boat Revenues'!F185</f>
        <v>13718.050731720374</v>
      </c>
      <c r="H116" s="21">
        <f>+'Boat Revenues'!G185</f>
        <v>13718.050731720374</v>
      </c>
      <c r="I116" s="21">
        <f>+'Boat Revenues'!H185</f>
        <v>13718.050731720374</v>
      </c>
      <c r="J116" s="21">
        <f>+'Boat Revenues'!I185</f>
        <v>13718.050731720374</v>
      </c>
      <c r="K116" s="21">
        <f>+'Boat Revenues'!J185</f>
        <v>13718.050731720374</v>
      </c>
      <c r="L116" s="21">
        <f>+'Boat Revenues'!K185</f>
        <v>13718.050731720374</v>
      </c>
      <c r="M116" s="21">
        <f>+'Boat Revenues'!L185</f>
        <v>13718.050731720374</v>
      </c>
      <c r="N116" s="21">
        <f>+'Boat Revenues'!M185</f>
        <v>137180.50731720356</v>
      </c>
      <c r="O116" s="21">
        <f>+'Boat Revenues'!N185</f>
        <v>137180.50731720356</v>
      </c>
    </row>
    <row r="117" spans="1:18" x14ac:dyDescent="0.2">
      <c r="A117" s="23" t="s">
        <v>211</v>
      </c>
      <c r="B117" s="22"/>
      <c r="C117" s="22"/>
      <c r="D117" s="385">
        <f>(0.5*D116)</f>
        <v>6859.0253658601869</v>
      </c>
      <c r="E117" s="385">
        <f t="shared" ref="E117:O117" si="41">(0.5*E116)</f>
        <v>6859.0253658601869</v>
      </c>
      <c r="F117" s="385">
        <f t="shared" si="41"/>
        <v>6859.0253658601869</v>
      </c>
      <c r="G117" s="385">
        <f t="shared" si="41"/>
        <v>6859.0253658601869</v>
      </c>
      <c r="H117" s="385">
        <f t="shared" si="41"/>
        <v>6859.0253658601869</v>
      </c>
      <c r="I117" s="385">
        <f t="shared" si="41"/>
        <v>6859.0253658601869</v>
      </c>
      <c r="J117" s="385">
        <f t="shared" si="41"/>
        <v>6859.0253658601869</v>
      </c>
      <c r="K117" s="385">
        <f t="shared" si="41"/>
        <v>6859.0253658601869</v>
      </c>
      <c r="L117" s="385">
        <f t="shared" si="41"/>
        <v>6859.0253658601869</v>
      </c>
      <c r="M117" s="385">
        <f t="shared" si="41"/>
        <v>6859.0253658601869</v>
      </c>
      <c r="N117" s="385">
        <f t="shared" si="41"/>
        <v>68590.253658601781</v>
      </c>
      <c r="O117" s="385">
        <f t="shared" si="41"/>
        <v>68590.253658601781</v>
      </c>
    </row>
    <row r="118" spans="1:18" x14ac:dyDescent="0.2">
      <c r="A118" s="23" t="s">
        <v>212</v>
      </c>
      <c r="B118" s="22"/>
      <c r="C118" s="22"/>
      <c r="D118" s="385">
        <f>D116*0.5/4</f>
        <v>1714.7563414650467</v>
      </c>
      <c r="E118" s="385">
        <f t="shared" ref="E118:O118" si="42">E116*0.5/4</f>
        <v>1714.7563414650467</v>
      </c>
      <c r="F118" s="385">
        <f t="shared" si="42"/>
        <v>1714.7563414650467</v>
      </c>
      <c r="G118" s="385">
        <f t="shared" si="42"/>
        <v>1714.7563414650467</v>
      </c>
      <c r="H118" s="385">
        <f t="shared" si="42"/>
        <v>1714.7563414650467</v>
      </c>
      <c r="I118" s="385">
        <f t="shared" si="42"/>
        <v>1714.7563414650467</v>
      </c>
      <c r="J118" s="385">
        <f t="shared" si="42"/>
        <v>1714.7563414650467</v>
      </c>
      <c r="K118" s="385">
        <f t="shared" si="42"/>
        <v>1714.7563414650467</v>
      </c>
      <c r="L118" s="385">
        <f t="shared" si="42"/>
        <v>1714.7563414650467</v>
      </c>
      <c r="M118" s="385">
        <f t="shared" si="42"/>
        <v>1714.7563414650467</v>
      </c>
      <c r="N118" s="385">
        <f t="shared" si="42"/>
        <v>17147.563414650445</v>
      </c>
      <c r="O118" s="385">
        <f t="shared" si="42"/>
        <v>17147.563414650445</v>
      </c>
    </row>
    <row r="119" spans="1:18" x14ac:dyDescent="0.2">
      <c r="A119" s="172" t="s">
        <v>122</v>
      </c>
      <c r="B119" s="41"/>
      <c r="C119" s="41"/>
      <c r="D119" s="385">
        <f t="shared" ref="D119:O119" si="43">+D116*D114/1000</f>
        <v>3017.9711609784822</v>
      </c>
      <c r="E119" s="385">
        <f t="shared" si="43"/>
        <v>3017.9711609784822</v>
      </c>
      <c r="F119" s="385">
        <f t="shared" si="43"/>
        <v>3017.9711609784822</v>
      </c>
      <c r="G119" s="385">
        <f t="shared" si="43"/>
        <v>3017.9711609784822</v>
      </c>
      <c r="H119" s="385">
        <f t="shared" si="43"/>
        <v>3017.9711609784822</v>
      </c>
      <c r="I119" s="385">
        <f t="shared" si="43"/>
        <v>3017.9711609784822</v>
      </c>
      <c r="J119" s="385">
        <f t="shared" si="43"/>
        <v>3017.9711609784822</v>
      </c>
      <c r="K119" s="385">
        <f t="shared" si="43"/>
        <v>3017.9711609784822</v>
      </c>
      <c r="L119" s="385">
        <f t="shared" si="43"/>
        <v>3017.9711609784822</v>
      </c>
      <c r="M119" s="385">
        <f t="shared" si="43"/>
        <v>3017.9711609784822</v>
      </c>
      <c r="N119" s="385">
        <f t="shared" si="43"/>
        <v>30179.711609784783</v>
      </c>
      <c r="O119" s="385">
        <f t="shared" si="43"/>
        <v>30179.711609784783</v>
      </c>
      <c r="R119" s="489">
        <f>SUM(D119:Q119)</f>
        <v>90539.134829354385</v>
      </c>
    </row>
    <row r="120" spans="1:18" x14ac:dyDescent="0.2">
      <c r="A120" s="2"/>
      <c r="B120" s="7"/>
      <c r="C120" s="7"/>
      <c r="D120" s="7"/>
    </row>
    <row r="121" spans="1:18" x14ac:dyDescent="0.2">
      <c r="A121" s="167" t="s">
        <v>1208</v>
      </c>
      <c r="B121" s="166"/>
      <c r="C121" s="166"/>
      <c r="D121" s="351"/>
    </row>
    <row r="122" spans="1:18" x14ac:dyDescent="0.2">
      <c r="A122" s="170" t="s">
        <v>1213</v>
      </c>
      <c r="B122" s="7"/>
      <c r="C122" s="7"/>
      <c r="D122" s="9">
        <f>+'Statistics of Interest'!D114-Assumptions!$Q$12</f>
        <v>0.67727614587419893</v>
      </c>
      <c r="E122" s="10">
        <f>+D122</f>
        <v>0.67727614587419893</v>
      </c>
      <c r="F122" s="10">
        <f t="shared" ref="F122:O122" si="44">+E122</f>
        <v>0.67727614587419893</v>
      </c>
      <c r="G122" s="10">
        <f t="shared" si="44"/>
        <v>0.67727614587419893</v>
      </c>
      <c r="H122" s="10">
        <f t="shared" si="44"/>
        <v>0.67727614587419893</v>
      </c>
      <c r="I122" s="10">
        <f t="shared" si="44"/>
        <v>0.67727614587419893</v>
      </c>
      <c r="J122" s="10">
        <f t="shared" si="44"/>
        <v>0.67727614587419893</v>
      </c>
      <c r="K122" s="10">
        <f t="shared" si="44"/>
        <v>0.67727614587419893</v>
      </c>
      <c r="L122" s="10">
        <f t="shared" si="44"/>
        <v>0.67727614587419893</v>
      </c>
      <c r="M122" s="10">
        <f t="shared" si="44"/>
        <v>0.67727614587419893</v>
      </c>
      <c r="N122" s="10">
        <f t="shared" si="44"/>
        <v>0.67727614587419893</v>
      </c>
      <c r="O122" s="10">
        <f t="shared" si="44"/>
        <v>0.67727614587419893</v>
      </c>
    </row>
    <row r="123" spans="1:18" x14ac:dyDescent="0.2">
      <c r="A123" s="61" t="s">
        <v>1215</v>
      </c>
      <c r="B123" s="7"/>
      <c r="C123" s="7"/>
      <c r="D123" s="30">
        <f>+D119*D122</f>
        <v>2043.9998762669879</v>
      </c>
      <c r="E123" s="420">
        <f>+E119*E122</f>
        <v>2043.9998762669879</v>
      </c>
      <c r="F123" s="420">
        <f t="shared" ref="F123:O123" si="45">+F119*F122</f>
        <v>2043.9998762669879</v>
      </c>
      <c r="G123" s="420">
        <f t="shared" si="45"/>
        <v>2043.9998762669879</v>
      </c>
      <c r="H123" s="420">
        <f t="shared" si="45"/>
        <v>2043.9998762669879</v>
      </c>
      <c r="I123" s="420">
        <f t="shared" si="45"/>
        <v>2043.9998762669879</v>
      </c>
      <c r="J123" s="420">
        <f t="shared" si="45"/>
        <v>2043.9998762669879</v>
      </c>
      <c r="K123" s="420">
        <f t="shared" si="45"/>
        <v>2043.9998762669879</v>
      </c>
      <c r="L123" s="420">
        <f t="shared" si="45"/>
        <v>2043.9998762669879</v>
      </c>
      <c r="M123" s="420">
        <f t="shared" si="45"/>
        <v>2043.9998762669879</v>
      </c>
      <c r="N123" s="420">
        <f t="shared" si="45"/>
        <v>20439.998762669853</v>
      </c>
      <c r="O123" s="420">
        <f t="shared" si="45"/>
        <v>20439.998762669853</v>
      </c>
    </row>
    <row r="124" spans="1:18" x14ac:dyDescent="0.2">
      <c r="A124" s="170" t="s">
        <v>1216</v>
      </c>
      <c r="B124" s="7"/>
      <c r="C124" s="7"/>
      <c r="D124" s="430">
        <f>+D103</f>
        <v>0.75691051025637157</v>
      </c>
      <c r="E124" s="10">
        <f>+D124</f>
        <v>0.75691051025637157</v>
      </c>
      <c r="F124" s="10">
        <f t="shared" ref="F124:O126" si="46">+E124</f>
        <v>0.75691051025637157</v>
      </c>
      <c r="G124" s="10">
        <f t="shared" si="46"/>
        <v>0.75691051025637157</v>
      </c>
      <c r="H124" s="10">
        <f t="shared" si="46"/>
        <v>0.75691051025637157</v>
      </c>
      <c r="I124" s="10">
        <f t="shared" si="46"/>
        <v>0.75691051025637157</v>
      </c>
      <c r="J124" s="10">
        <f t="shared" si="46"/>
        <v>0.75691051025637157</v>
      </c>
      <c r="K124" s="10">
        <f t="shared" si="46"/>
        <v>0.75691051025637157</v>
      </c>
      <c r="L124" s="10">
        <f t="shared" si="46"/>
        <v>0.75691051025637157</v>
      </c>
      <c r="M124" s="10">
        <f t="shared" si="46"/>
        <v>0.75691051025637157</v>
      </c>
      <c r="N124" s="10">
        <f t="shared" si="46"/>
        <v>0.75691051025637157</v>
      </c>
      <c r="O124" s="10">
        <f t="shared" si="46"/>
        <v>0.75691051025637157</v>
      </c>
    </row>
    <row r="125" spans="1:18" x14ac:dyDescent="0.2">
      <c r="A125" s="48" t="s">
        <v>1217</v>
      </c>
      <c r="B125" s="40"/>
      <c r="C125" s="40"/>
      <c r="D125" s="33">
        <f>+D123*D124</f>
        <v>1547.1249893092063</v>
      </c>
      <c r="E125" s="33">
        <f t="shared" ref="E125:O125" si="47">+E123*E124</f>
        <v>1547.1249893092063</v>
      </c>
      <c r="F125" s="33">
        <f t="shared" si="47"/>
        <v>1547.1249893092063</v>
      </c>
      <c r="G125" s="33">
        <f t="shared" si="47"/>
        <v>1547.1249893092063</v>
      </c>
      <c r="H125" s="33">
        <f t="shared" si="47"/>
        <v>1547.1249893092063</v>
      </c>
      <c r="I125" s="33">
        <f t="shared" si="47"/>
        <v>1547.1249893092063</v>
      </c>
      <c r="J125" s="33">
        <f t="shared" si="47"/>
        <v>1547.1249893092063</v>
      </c>
      <c r="K125" s="33">
        <f t="shared" si="47"/>
        <v>1547.1249893092063</v>
      </c>
      <c r="L125" s="33">
        <f t="shared" si="47"/>
        <v>1547.1249893092063</v>
      </c>
      <c r="M125" s="33">
        <f t="shared" si="47"/>
        <v>1547.1249893092063</v>
      </c>
      <c r="N125" s="33">
        <f t="shared" si="47"/>
        <v>15471.249893092043</v>
      </c>
      <c r="O125" s="33">
        <f t="shared" si="47"/>
        <v>15471.249893092043</v>
      </c>
      <c r="P125" s="420"/>
      <c r="R125" s="489">
        <f>SUM(D125:Q125)</f>
        <v>46413.749679276145</v>
      </c>
    </row>
    <row r="126" spans="1:18" x14ac:dyDescent="0.2">
      <c r="A126" s="61" t="s">
        <v>1218</v>
      </c>
      <c r="B126" s="47"/>
      <c r="C126" s="47"/>
      <c r="D126" s="427">
        <v>0.03</v>
      </c>
      <c r="E126" s="10">
        <f>+D126</f>
        <v>0.03</v>
      </c>
      <c r="F126" s="10">
        <f t="shared" si="46"/>
        <v>0.03</v>
      </c>
      <c r="G126" s="10">
        <f t="shared" si="46"/>
        <v>0.03</v>
      </c>
      <c r="H126" s="10">
        <f t="shared" si="46"/>
        <v>0.03</v>
      </c>
      <c r="I126" s="10">
        <f t="shared" si="46"/>
        <v>0.03</v>
      </c>
      <c r="J126" s="10">
        <f t="shared" si="46"/>
        <v>0.03</v>
      </c>
      <c r="K126" s="10">
        <f t="shared" si="46"/>
        <v>0.03</v>
      </c>
      <c r="L126" s="10">
        <f t="shared" si="46"/>
        <v>0.03</v>
      </c>
      <c r="M126" s="10">
        <f t="shared" si="46"/>
        <v>0.03</v>
      </c>
      <c r="N126" s="10">
        <f t="shared" si="46"/>
        <v>0.03</v>
      </c>
      <c r="O126" s="10">
        <f t="shared" si="46"/>
        <v>0.03</v>
      </c>
    </row>
    <row r="127" spans="1:18" x14ac:dyDescent="0.2">
      <c r="A127" s="170" t="s">
        <v>1219</v>
      </c>
      <c r="B127" s="7"/>
      <c r="C127" s="40"/>
      <c r="D127" s="33">
        <f>+(D123+D119)*D126</f>
        <v>151.85913111736409</v>
      </c>
      <c r="E127" s="33">
        <f t="shared" ref="E127:O127" si="48">+(E123+E119)*E126</f>
        <v>151.85913111736409</v>
      </c>
      <c r="F127" s="33">
        <f t="shared" si="48"/>
        <v>151.85913111736409</v>
      </c>
      <c r="G127" s="33">
        <f t="shared" si="48"/>
        <v>151.85913111736409</v>
      </c>
      <c r="H127" s="33">
        <f t="shared" si="48"/>
        <v>151.85913111736409</v>
      </c>
      <c r="I127" s="33">
        <f t="shared" si="48"/>
        <v>151.85913111736409</v>
      </c>
      <c r="J127" s="33">
        <f t="shared" si="48"/>
        <v>151.85913111736409</v>
      </c>
      <c r="K127" s="33">
        <f t="shared" si="48"/>
        <v>151.85913111736409</v>
      </c>
      <c r="L127" s="33">
        <f t="shared" si="48"/>
        <v>151.85913111736409</v>
      </c>
      <c r="M127" s="33">
        <f t="shared" si="48"/>
        <v>151.85913111736409</v>
      </c>
      <c r="N127" s="33">
        <f t="shared" si="48"/>
        <v>1518.5913111736388</v>
      </c>
      <c r="O127" s="33">
        <f t="shared" si="48"/>
        <v>1518.5913111736388</v>
      </c>
    </row>
    <row r="128" spans="1:18" x14ac:dyDescent="0.2">
      <c r="A128" s="47"/>
      <c r="B128" s="7"/>
      <c r="C128" s="7"/>
      <c r="D128" s="46"/>
    </row>
    <row r="129" spans="1:18" x14ac:dyDescent="0.2">
      <c r="A129" s="431" t="s">
        <v>1214</v>
      </c>
      <c r="B129" s="432"/>
      <c r="C129" s="432"/>
      <c r="D129" s="433">
        <f>+(D127*Assumptions!$E$41)+(D125*Assumptions!$E$40)+(D119*Assumptions!$E$39)</f>
        <v>4716.955281405053</v>
      </c>
      <c r="E129" s="433">
        <f>+(E127*Assumptions!$E$41)+(E125*Assumptions!$E$40)+(E119*Assumptions!$E$39)</f>
        <v>4716.955281405053</v>
      </c>
      <c r="F129" s="433">
        <f>+(F127*Assumptions!$E$41)+(F125*Assumptions!$E$40)+(F119*Assumptions!$E$39)</f>
        <v>4716.955281405053</v>
      </c>
      <c r="G129" s="433">
        <f>+(G127*Assumptions!$E$41)+(G125*Assumptions!$E$40)+(G119*Assumptions!$E$39)</f>
        <v>4716.955281405053</v>
      </c>
      <c r="H129" s="433">
        <f>+(H127*Assumptions!$E$41)+(H125*Assumptions!$E$40)+(H119*Assumptions!$E$39)</f>
        <v>4716.955281405053</v>
      </c>
      <c r="I129" s="433">
        <f>+(I127*Assumptions!$E$41)+(I125*Assumptions!$E$40)+(I119*Assumptions!$E$39)</f>
        <v>4716.955281405053</v>
      </c>
      <c r="J129" s="433">
        <f>+(J127*Assumptions!$E$41)+(J125*Assumptions!$E$40)+(J119*Assumptions!$E$39)</f>
        <v>4716.955281405053</v>
      </c>
      <c r="K129" s="433">
        <f>+(K127*Assumptions!$E$41)+(K125*Assumptions!$E$40)+(K119*Assumptions!$E$39)</f>
        <v>4716.955281405053</v>
      </c>
      <c r="L129" s="433">
        <f>+(L127*Assumptions!$E$41)+(L125*Assumptions!$E$40)+(L119*Assumptions!$E$39)</f>
        <v>4716.955281405053</v>
      </c>
      <c r="M129" s="433">
        <f>+(M127*Assumptions!$E$41)+(M125*Assumptions!$E$40)+(M119*Assumptions!$E$39)</f>
        <v>4716.955281405053</v>
      </c>
      <c r="N129" s="433">
        <f>+(N127*Assumptions!$E$41)+(N125*Assumptions!$E$40)+(N119*Assumptions!$E$39)</f>
        <v>47169.552814050461</v>
      </c>
      <c r="O129" s="433">
        <f>+(O127*Assumptions!$E$41)+(O125*Assumptions!$E$40)+(O119*Assumptions!$E$39)</f>
        <v>47169.552814050461</v>
      </c>
      <c r="Q129" s="488"/>
      <c r="R129" s="489">
        <f>SUM(D129:Q129)</f>
        <v>141508.65844215147</v>
      </c>
    </row>
    <row r="132" spans="1:18" x14ac:dyDescent="0.2">
      <c r="A132" s="174" t="s">
        <v>49</v>
      </c>
      <c r="B132" s="175"/>
      <c r="C132" s="175"/>
    </row>
    <row r="133" spans="1:18" x14ac:dyDescent="0.2">
      <c r="A133" s="440" t="s">
        <v>204</v>
      </c>
      <c r="B133" s="7"/>
      <c r="C133" s="7"/>
    </row>
    <row r="134" spans="1:18" x14ac:dyDescent="0.2">
      <c r="A134" s="167" t="s">
        <v>118</v>
      </c>
      <c r="B134" s="111"/>
      <c r="C134" s="168"/>
    </row>
    <row r="135" spans="1:18" x14ac:dyDescent="0.2">
      <c r="A135" s="170" t="s">
        <v>1220</v>
      </c>
      <c r="B135" s="7"/>
      <c r="C135" s="7"/>
      <c r="D135" s="30">
        <f>+'Statistics of Interest'!D11</f>
        <v>56</v>
      </c>
      <c r="E135" s="46">
        <f>+D135*(1+Assumptions!$Q$11)</f>
        <v>56</v>
      </c>
      <c r="F135" s="46">
        <f>+E135*(1+Assumptions!$Q$11)</f>
        <v>56</v>
      </c>
      <c r="G135" s="46">
        <f>+F135*(1+Assumptions!$Q$11)</f>
        <v>56</v>
      </c>
      <c r="H135" s="46">
        <f>+G135*(1+Assumptions!$Q$11)</f>
        <v>56</v>
      </c>
      <c r="I135" s="46">
        <f>+H135*(1+Assumptions!$Q$11)</f>
        <v>56</v>
      </c>
      <c r="J135" s="46">
        <f>+I135*(1+Assumptions!$Q$11)</f>
        <v>56</v>
      </c>
      <c r="K135" s="46">
        <f>+J135*(1+Assumptions!$Q$11)</f>
        <v>56</v>
      </c>
      <c r="L135" s="46">
        <f>+K135*(1+Assumptions!$Q$11)</f>
        <v>56</v>
      </c>
      <c r="M135" s="46">
        <f>+L135*(1+Assumptions!$Q$11)</f>
        <v>56</v>
      </c>
      <c r="N135" s="46">
        <f>+M135*(1+Assumptions!$Q$11)</f>
        <v>56</v>
      </c>
      <c r="O135" s="46">
        <f>+N135*(1+Assumptions!$Q$11)</f>
        <v>56</v>
      </c>
    </row>
    <row r="136" spans="1:18" x14ac:dyDescent="0.2">
      <c r="A136" s="2"/>
      <c r="B136" s="7"/>
      <c r="C136" s="7"/>
    </row>
    <row r="137" spans="1:18" x14ac:dyDescent="0.2">
      <c r="A137" s="172" t="s">
        <v>210</v>
      </c>
      <c r="B137" s="20"/>
      <c r="C137" s="20"/>
      <c r="D137" s="21">
        <f>+'Boat Revenues'!C221</f>
        <v>-1110.1414497493679</v>
      </c>
      <c r="E137" s="21">
        <f>+'Boat Revenues'!D221</f>
        <v>-1110.1414497493679</v>
      </c>
      <c r="F137" s="21">
        <f>+'Boat Revenues'!E221</f>
        <v>-1110.1414497493679</v>
      </c>
      <c r="G137" s="21">
        <f>+'Boat Revenues'!F221</f>
        <v>-1110.1414497493679</v>
      </c>
      <c r="H137" s="21">
        <f>+'Boat Revenues'!G221</f>
        <v>-1110.1414497493679</v>
      </c>
      <c r="I137" s="21">
        <f>+'Boat Revenues'!H221</f>
        <v>-1110.1414497493679</v>
      </c>
      <c r="J137" s="21">
        <f>+'Boat Revenues'!I221</f>
        <v>-1110.1414497493679</v>
      </c>
      <c r="K137" s="21">
        <f>+'Boat Revenues'!J221</f>
        <v>-1110.1414497493679</v>
      </c>
      <c r="L137" s="21">
        <f>+'Boat Revenues'!K221</f>
        <v>-1110.1414497493679</v>
      </c>
      <c r="M137" s="21">
        <f>+'Boat Revenues'!L221</f>
        <v>-1110.1414497493679</v>
      </c>
      <c r="N137" s="21">
        <f>+'Boat Revenues'!M221</f>
        <v>-11101.414497493999</v>
      </c>
      <c r="O137" s="21">
        <f>+'Boat Revenues'!N221</f>
        <v>-11101.414497493999</v>
      </c>
    </row>
    <row r="138" spans="1:18" x14ac:dyDescent="0.2">
      <c r="A138" s="23" t="s">
        <v>211</v>
      </c>
      <c r="B138" s="22"/>
      <c r="C138" s="22"/>
      <c r="D138" s="385">
        <f>(0.5*D137)</f>
        <v>-555.07072487468395</v>
      </c>
      <c r="E138" s="385">
        <f t="shared" ref="E138:O138" si="49">(0.5*E137)</f>
        <v>-555.07072487468395</v>
      </c>
      <c r="F138" s="385">
        <f t="shared" si="49"/>
        <v>-555.07072487468395</v>
      </c>
      <c r="G138" s="385">
        <f t="shared" si="49"/>
        <v>-555.07072487468395</v>
      </c>
      <c r="H138" s="385">
        <f t="shared" si="49"/>
        <v>-555.07072487468395</v>
      </c>
      <c r="I138" s="385">
        <f t="shared" si="49"/>
        <v>-555.07072487468395</v>
      </c>
      <c r="J138" s="385">
        <f t="shared" si="49"/>
        <v>-555.07072487468395</v>
      </c>
      <c r="K138" s="385">
        <f t="shared" si="49"/>
        <v>-555.07072487468395</v>
      </c>
      <c r="L138" s="385">
        <f t="shared" si="49"/>
        <v>-555.07072487468395</v>
      </c>
      <c r="M138" s="385">
        <f t="shared" si="49"/>
        <v>-555.07072487468395</v>
      </c>
      <c r="N138" s="385">
        <f t="shared" si="49"/>
        <v>-5550.7072487469995</v>
      </c>
      <c r="O138" s="385">
        <f t="shared" si="49"/>
        <v>-5550.7072487469995</v>
      </c>
    </row>
    <row r="139" spans="1:18" x14ac:dyDescent="0.2">
      <c r="A139" s="23" t="s">
        <v>212</v>
      </c>
      <c r="B139" s="22"/>
      <c r="C139" s="22"/>
      <c r="D139" s="385">
        <f>D137*0.5/4</f>
        <v>-138.76768121867099</v>
      </c>
      <c r="E139" s="385">
        <f t="shared" ref="E139:O139" si="50">E137*0.5/4</f>
        <v>-138.76768121867099</v>
      </c>
      <c r="F139" s="385">
        <f t="shared" si="50"/>
        <v>-138.76768121867099</v>
      </c>
      <c r="G139" s="385">
        <f t="shared" si="50"/>
        <v>-138.76768121867099</v>
      </c>
      <c r="H139" s="385">
        <f t="shared" si="50"/>
        <v>-138.76768121867099</v>
      </c>
      <c r="I139" s="385">
        <f t="shared" si="50"/>
        <v>-138.76768121867099</v>
      </c>
      <c r="J139" s="385">
        <f t="shared" si="50"/>
        <v>-138.76768121867099</v>
      </c>
      <c r="K139" s="385">
        <f t="shared" si="50"/>
        <v>-138.76768121867099</v>
      </c>
      <c r="L139" s="385">
        <f t="shared" si="50"/>
        <v>-138.76768121867099</v>
      </c>
      <c r="M139" s="385">
        <f t="shared" si="50"/>
        <v>-138.76768121867099</v>
      </c>
      <c r="N139" s="385">
        <f t="shared" si="50"/>
        <v>-1387.6768121867499</v>
      </c>
      <c r="O139" s="385">
        <f t="shared" si="50"/>
        <v>-1387.6768121867499</v>
      </c>
    </row>
    <row r="140" spans="1:18" x14ac:dyDescent="0.2">
      <c r="A140" s="172" t="s">
        <v>122</v>
      </c>
      <c r="B140" s="41"/>
      <c r="C140" s="41"/>
      <c r="D140" s="385">
        <f>+D137*D135/1000</f>
        <v>-62.167921185964602</v>
      </c>
      <c r="E140" s="385">
        <f t="shared" ref="E140:O140" si="51">+E137*E135/1000</f>
        <v>-62.167921185964602</v>
      </c>
      <c r="F140" s="385">
        <f t="shared" si="51"/>
        <v>-62.167921185964602</v>
      </c>
      <c r="G140" s="385">
        <f t="shared" si="51"/>
        <v>-62.167921185964602</v>
      </c>
      <c r="H140" s="385">
        <f t="shared" si="51"/>
        <v>-62.167921185964602</v>
      </c>
      <c r="I140" s="385">
        <f t="shared" si="51"/>
        <v>-62.167921185964602</v>
      </c>
      <c r="J140" s="385">
        <f t="shared" si="51"/>
        <v>-62.167921185964602</v>
      </c>
      <c r="K140" s="385">
        <f t="shared" si="51"/>
        <v>-62.167921185964602</v>
      </c>
      <c r="L140" s="385">
        <f t="shared" si="51"/>
        <v>-62.167921185964602</v>
      </c>
      <c r="M140" s="385">
        <f t="shared" si="51"/>
        <v>-62.167921185964602</v>
      </c>
      <c r="N140" s="385">
        <f t="shared" si="51"/>
        <v>-621.67921185966395</v>
      </c>
      <c r="O140" s="385">
        <f t="shared" si="51"/>
        <v>-621.67921185966395</v>
      </c>
      <c r="R140" s="489">
        <f>SUM(D140:Q140)</f>
        <v>-1865.037635578974</v>
      </c>
    </row>
    <row r="141" spans="1:18" x14ac:dyDescent="0.2">
      <c r="A141" s="2"/>
      <c r="B141" s="7"/>
      <c r="C141" s="7"/>
      <c r="D141" s="7"/>
    </row>
    <row r="142" spans="1:18" x14ac:dyDescent="0.2">
      <c r="A142" s="167" t="s">
        <v>1208</v>
      </c>
      <c r="B142" s="166"/>
      <c r="C142" s="166"/>
      <c r="D142" s="351"/>
    </row>
    <row r="143" spans="1:18" x14ac:dyDescent="0.2">
      <c r="A143" s="170" t="s">
        <v>1213</v>
      </c>
      <c r="B143" s="7"/>
      <c r="C143" s="7"/>
      <c r="D143" s="9">
        <f>+'Statistics of Interest'!D115-Assumptions!$Q$12</f>
        <v>0.77822313319245762</v>
      </c>
      <c r="E143" s="10">
        <f>+D143</f>
        <v>0.77822313319245762</v>
      </c>
      <c r="F143" s="10">
        <f t="shared" ref="F143:O143" si="52">+E143</f>
        <v>0.77822313319245762</v>
      </c>
      <c r="G143" s="10">
        <f t="shared" si="52"/>
        <v>0.77822313319245762</v>
      </c>
      <c r="H143" s="10">
        <f t="shared" si="52"/>
        <v>0.77822313319245762</v>
      </c>
      <c r="I143" s="10">
        <f t="shared" si="52"/>
        <v>0.77822313319245762</v>
      </c>
      <c r="J143" s="10">
        <f t="shared" si="52"/>
        <v>0.77822313319245762</v>
      </c>
      <c r="K143" s="10">
        <f t="shared" si="52"/>
        <v>0.77822313319245762</v>
      </c>
      <c r="L143" s="10">
        <f t="shared" si="52"/>
        <v>0.77822313319245762</v>
      </c>
      <c r="M143" s="10">
        <f t="shared" si="52"/>
        <v>0.77822313319245762</v>
      </c>
      <c r="N143" s="10">
        <f t="shared" si="52"/>
        <v>0.77822313319245762</v>
      </c>
      <c r="O143" s="10">
        <f t="shared" si="52"/>
        <v>0.77822313319245762</v>
      </c>
    </row>
    <row r="144" spans="1:18" x14ac:dyDescent="0.2">
      <c r="A144" s="61" t="s">
        <v>1215</v>
      </c>
      <c r="B144" s="7"/>
      <c r="C144" s="7"/>
      <c r="D144" s="30">
        <f>+D140*D143</f>
        <v>-48.380514409403141</v>
      </c>
      <c r="E144" s="30">
        <f t="shared" ref="E144:O144" si="53">+E140*E143</f>
        <v>-48.380514409403141</v>
      </c>
      <c r="F144" s="30">
        <f t="shared" si="53"/>
        <v>-48.380514409403141</v>
      </c>
      <c r="G144" s="30">
        <f t="shared" si="53"/>
        <v>-48.380514409403141</v>
      </c>
      <c r="H144" s="30">
        <f t="shared" si="53"/>
        <v>-48.380514409403141</v>
      </c>
      <c r="I144" s="30">
        <f t="shared" si="53"/>
        <v>-48.380514409403141</v>
      </c>
      <c r="J144" s="30">
        <f t="shared" si="53"/>
        <v>-48.380514409403141</v>
      </c>
      <c r="K144" s="30">
        <f t="shared" si="53"/>
        <v>-48.380514409403141</v>
      </c>
      <c r="L144" s="30">
        <f t="shared" si="53"/>
        <v>-48.380514409403141</v>
      </c>
      <c r="M144" s="30">
        <f t="shared" si="53"/>
        <v>-48.380514409403141</v>
      </c>
      <c r="N144" s="30">
        <f t="shared" si="53"/>
        <v>-483.80514409404532</v>
      </c>
      <c r="O144" s="30">
        <f t="shared" si="53"/>
        <v>-483.80514409404532</v>
      </c>
    </row>
    <row r="145" spans="1:18" x14ac:dyDescent="0.2">
      <c r="A145" s="170" t="s">
        <v>1216</v>
      </c>
      <c r="B145" s="7"/>
      <c r="C145" s="7"/>
      <c r="D145" s="430">
        <f>+D124</f>
        <v>0.75691051025637157</v>
      </c>
      <c r="E145" s="10">
        <f>+D145</f>
        <v>0.75691051025637157</v>
      </c>
      <c r="F145" s="10">
        <f t="shared" ref="F145:O145" si="54">+E145</f>
        <v>0.75691051025637157</v>
      </c>
      <c r="G145" s="10">
        <f t="shared" si="54"/>
        <v>0.75691051025637157</v>
      </c>
      <c r="H145" s="10">
        <f t="shared" si="54"/>
        <v>0.75691051025637157</v>
      </c>
      <c r="I145" s="10">
        <f t="shared" si="54"/>
        <v>0.75691051025637157</v>
      </c>
      <c r="J145" s="10">
        <f t="shared" si="54"/>
        <v>0.75691051025637157</v>
      </c>
      <c r="K145" s="10">
        <f t="shared" si="54"/>
        <v>0.75691051025637157</v>
      </c>
      <c r="L145" s="10">
        <f t="shared" si="54"/>
        <v>0.75691051025637157</v>
      </c>
      <c r="M145" s="10">
        <f t="shared" si="54"/>
        <v>0.75691051025637157</v>
      </c>
      <c r="N145" s="10">
        <f t="shared" si="54"/>
        <v>0.75691051025637157</v>
      </c>
      <c r="O145" s="10">
        <f t="shared" si="54"/>
        <v>0.75691051025637157</v>
      </c>
    </row>
    <row r="146" spans="1:18" x14ac:dyDescent="0.2">
      <c r="A146" s="48" t="s">
        <v>1217</v>
      </c>
      <c r="B146" s="40"/>
      <c r="C146" s="40"/>
      <c r="D146" s="33">
        <f>+D144*D145</f>
        <v>-36.619719848087065</v>
      </c>
      <c r="E146" s="33">
        <f t="shared" ref="E146:O146" si="55">+E144*E145</f>
        <v>-36.619719848087065</v>
      </c>
      <c r="F146" s="33">
        <f t="shared" si="55"/>
        <v>-36.619719848087065</v>
      </c>
      <c r="G146" s="33">
        <f t="shared" si="55"/>
        <v>-36.619719848087065</v>
      </c>
      <c r="H146" s="33">
        <f t="shared" si="55"/>
        <v>-36.619719848087065</v>
      </c>
      <c r="I146" s="33">
        <f t="shared" si="55"/>
        <v>-36.619719848087065</v>
      </c>
      <c r="J146" s="33">
        <f t="shared" si="55"/>
        <v>-36.619719848087065</v>
      </c>
      <c r="K146" s="33">
        <f t="shared" si="55"/>
        <v>-36.619719848087065</v>
      </c>
      <c r="L146" s="33">
        <f t="shared" si="55"/>
        <v>-36.619719848087065</v>
      </c>
      <c r="M146" s="33">
        <f t="shared" si="55"/>
        <v>-36.619719848087065</v>
      </c>
      <c r="N146" s="33">
        <f t="shared" si="55"/>
        <v>-366.19719848088124</v>
      </c>
      <c r="O146" s="33">
        <f t="shared" si="55"/>
        <v>-366.19719848088124</v>
      </c>
      <c r="P146" s="420"/>
      <c r="R146" s="489">
        <f>SUM(D146:Q146)</f>
        <v>-1098.5915954426332</v>
      </c>
    </row>
    <row r="147" spans="1:18" x14ac:dyDescent="0.2">
      <c r="A147" s="61" t="s">
        <v>1218</v>
      </c>
      <c r="B147" s="47"/>
      <c r="C147" s="47"/>
      <c r="D147" s="427">
        <v>0.03</v>
      </c>
      <c r="E147" s="10">
        <f>+D147</f>
        <v>0.03</v>
      </c>
      <c r="F147" s="10">
        <f t="shared" ref="F147:O147" si="56">+E147</f>
        <v>0.03</v>
      </c>
      <c r="G147" s="10">
        <f t="shared" si="56"/>
        <v>0.03</v>
      </c>
      <c r="H147" s="10">
        <f t="shared" si="56"/>
        <v>0.03</v>
      </c>
      <c r="I147" s="10">
        <f t="shared" si="56"/>
        <v>0.03</v>
      </c>
      <c r="J147" s="10">
        <f t="shared" si="56"/>
        <v>0.03</v>
      </c>
      <c r="K147" s="10">
        <f t="shared" si="56"/>
        <v>0.03</v>
      </c>
      <c r="L147" s="10">
        <f t="shared" si="56"/>
        <v>0.03</v>
      </c>
      <c r="M147" s="10">
        <f t="shared" si="56"/>
        <v>0.03</v>
      </c>
      <c r="N147" s="10">
        <f t="shared" si="56"/>
        <v>0.03</v>
      </c>
      <c r="O147" s="10">
        <f t="shared" si="56"/>
        <v>0.03</v>
      </c>
    </row>
    <row r="148" spans="1:18" x14ac:dyDescent="0.2">
      <c r="A148" s="170" t="s">
        <v>1219</v>
      </c>
      <c r="B148" s="7"/>
      <c r="C148" s="40"/>
      <c r="D148" s="33">
        <f>+(D144+D140)*D147</f>
        <v>-3.3164530678610324</v>
      </c>
      <c r="E148" s="33">
        <f t="shared" ref="E148:O148" si="57">+(E144+E140)*E147</f>
        <v>-3.3164530678610324</v>
      </c>
      <c r="F148" s="33">
        <f t="shared" si="57"/>
        <v>-3.3164530678610324</v>
      </c>
      <c r="G148" s="33">
        <f t="shared" si="57"/>
        <v>-3.3164530678610324</v>
      </c>
      <c r="H148" s="33">
        <f t="shared" si="57"/>
        <v>-3.3164530678610324</v>
      </c>
      <c r="I148" s="33">
        <f t="shared" si="57"/>
        <v>-3.3164530678610324</v>
      </c>
      <c r="J148" s="33">
        <f t="shared" si="57"/>
        <v>-3.3164530678610324</v>
      </c>
      <c r="K148" s="33">
        <f t="shared" si="57"/>
        <v>-3.3164530678610324</v>
      </c>
      <c r="L148" s="33">
        <f t="shared" si="57"/>
        <v>-3.3164530678610324</v>
      </c>
      <c r="M148" s="33">
        <f t="shared" si="57"/>
        <v>-3.3164530678610324</v>
      </c>
      <c r="N148" s="33">
        <f t="shared" si="57"/>
        <v>-33.164530678611278</v>
      </c>
      <c r="O148" s="33">
        <f t="shared" si="57"/>
        <v>-33.164530678611278</v>
      </c>
    </row>
    <row r="149" spans="1:18" x14ac:dyDescent="0.2">
      <c r="A149" s="47"/>
      <c r="B149" s="7"/>
      <c r="C149" s="7"/>
      <c r="D149" s="46"/>
    </row>
    <row r="150" spans="1:18" x14ac:dyDescent="0.2">
      <c r="A150" s="431" t="s">
        <v>1214</v>
      </c>
      <c r="B150" s="432"/>
      <c r="C150" s="432"/>
      <c r="D150" s="433">
        <f>+(D148*Assumptions!$E$41)+(D146*Assumptions!$E$40)+(D140*Assumptions!$E$39)</f>
        <v>-102.10409410191269</v>
      </c>
      <c r="E150" s="433">
        <f>+(E148*Assumptions!$E$41)+(E146*Assumptions!$E$40)+(E140*Assumptions!$E$39)</f>
        <v>-102.10409410191269</v>
      </c>
      <c r="F150" s="433">
        <f>+(F148*Assumptions!$E$41)+(F146*Assumptions!$E$40)+(F140*Assumptions!$E$39)</f>
        <v>-102.10409410191269</v>
      </c>
      <c r="G150" s="433">
        <f>+(G148*Assumptions!$E$41)+(G146*Assumptions!$E$40)+(G140*Assumptions!$E$39)</f>
        <v>-102.10409410191269</v>
      </c>
      <c r="H150" s="433">
        <f>+(H148*Assumptions!$E$41)+(H146*Assumptions!$E$40)+(H140*Assumptions!$E$39)</f>
        <v>-102.10409410191269</v>
      </c>
      <c r="I150" s="433">
        <f>+(I148*Assumptions!$E$41)+(I146*Assumptions!$E$40)+(I140*Assumptions!$E$39)</f>
        <v>-102.10409410191269</v>
      </c>
      <c r="J150" s="433">
        <f>+(J148*Assumptions!$E$41)+(J146*Assumptions!$E$40)+(J140*Assumptions!$E$39)</f>
        <v>-102.10409410191269</v>
      </c>
      <c r="K150" s="433">
        <f>+(K148*Assumptions!$E$41)+(K146*Assumptions!$E$40)+(K140*Assumptions!$E$39)</f>
        <v>-102.10409410191269</v>
      </c>
      <c r="L150" s="433">
        <f>+(L148*Assumptions!$E$41)+(L146*Assumptions!$E$40)+(L140*Assumptions!$E$39)</f>
        <v>-102.10409410191269</v>
      </c>
      <c r="M150" s="433">
        <f>+(M148*Assumptions!$E$41)+(M146*Assumptions!$E$40)+(M140*Assumptions!$E$39)</f>
        <v>-102.10409410191269</v>
      </c>
      <c r="N150" s="433">
        <f>+(N148*Assumptions!$E$41)+(N146*Assumptions!$E$40)+(N140*Assumptions!$E$39)</f>
        <v>-1021.0409410191564</v>
      </c>
      <c r="O150" s="433">
        <f>+(O148*Assumptions!$E$41)+(O146*Assumptions!$E$40)+(O140*Assumptions!$E$39)</f>
        <v>-1021.0409410191564</v>
      </c>
      <c r="Q150" s="488"/>
      <c r="R150" s="489">
        <f>SUM(D150:Q150)</f>
        <v>-3063.1228230574397</v>
      </c>
    </row>
    <row r="153" spans="1:18" x14ac:dyDescent="0.2">
      <c r="A153" s="174" t="s">
        <v>49</v>
      </c>
      <c r="B153" s="175"/>
      <c r="C153" s="175"/>
    </row>
    <row r="154" spans="1:18" x14ac:dyDescent="0.2">
      <c r="A154" s="440" t="s">
        <v>163</v>
      </c>
      <c r="B154" s="7"/>
      <c r="C154" s="7"/>
    </row>
    <row r="155" spans="1:18" x14ac:dyDescent="0.2">
      <c r="A155" s="167" t="s">
        <v>118</v>
      </c>
      <c r="B155" s="111"/>
      <c r="C155" s="168"/>
    </row>
    <row r="156" spans="1:18" x14ac:dyDescent="0.2">
      <c r="A156" s="170" t="s">
        <v>1220</v>
      </c>
      <c r="B156" s="7"/>
      <c r="C156" s="7"/>
      <c r="D156" s="30">
        <f>+'Statistics of Interest'!D12</f>
        <v>109</v>
      </c>
      <c r="E156" s="46">
        <f>+D156*(1+Assumptions!$Q$11)</f>
        <v>109</v>
      </c>
      <c r="F156" s="46">
        <f>+E156*(1+Assumptions!$Q$11)</f>
        <v>109</v>
      </c>
      <c r="G156" s="46">
        <f>+F156*(1+Assumptions!$Q$11)</f>
        <v>109</v>
      </c>
      <c r="H156" s="46">
        <f>+G156*(1+Assumptions!$Q$11)</f>
        <v>109</v>
      </c>
      <c r="I156" s="46">
        <f>+H156*(1+Assumptions!$Q$11)</f>
        <v>109</v>
      </c>
      <c r="J156" s="46">
        <f>+I156*(1+Assumptions!$Q$11)</f>
        <v>109</v>
      </c>
      <c r="K156" s="46">
        <f>+J156*(1+Assumptions!$Q$11)</f>
        <v>109</v>
      </c>
      <c r="L156" s="46">
        <f>+K156*(1+Assumptions!$Q$11)</f>
        <v>109</v>
      </c>
      <c r="M156" s="46">
        <f>+L156*(1+Assumptions!$Q$11)</f>
        <v>109</v>
      </c>
      <c r="N156" s="46">
        <f>+M156*(1+Assumptions!$Q$11)</f>
        <v>109</v>
      </c>
      <c r="O156" s="46">
        <f>+N156*(1+Assumptions!$Q$11)</f>
        <v>109</v>
      </c>
    </row>
    <row r="157" spans="1:18" x14ac:dyDescent="0.2">
      <c r="A157" s="2"/>
      <c r="B157" s="7"/>
      <c r="C157" s="7"/>
    </row>
    <row r="158" spans="1:18" x14ac:dyDescent="0.2">
      <c r="A158" s="172" t="s">
        <v>210</v>
      </c>
      <c r="B158" s="20"/>
      <c r="C158" s="20"/>
      <c r="D158" s="21">
        <f>+'Boat Revenues'!C257</f>
        <v>9036.4355618437112</v>
      </c>
      <c r="E158" s="21">
        <f>+'Boat Revenues'!D257</f>
        <v>9036.4355618437112</v>
      </c>
      <c r="F158" s="21">
        <f>+'Boat Revenues'!E257</f>
        <v>9036.4355618437112</v>
      </c>
      <c r="G158" s="21">
        <f>+'Boat Revenues'!F257</f>
        <v>9036.4355618437112</v>
      </c>
      <c r="H158" s="21">
        <f>+'Boat Revenues'!G257</f>
        <v>9036.4355618437112</v>
      </c>
      <c r="I158" s="21">
        <f>+'Boat Revenues'!H257</f>
        <v>9036.4355618437112</v>
      </c>
      <c r="J158" s="21">
        <f>+'Boat Revenues'!I257</f>
        <v>9036.4355618437112</v>
      </c>
      <c r="K158" s="21">
        <f>+'Boat Revenues'!J257</f>
        <v>9036.4355618437112</v>
      </c>
      <c r="L158" s="21">
        <f>+'Boat Revenues'!K257</f>
        <v>9036.4355618437112</v>
      </c>
      <c r="M158" s="21">
        <f>+'Boat Revenues'!L257</f>
        <v>9036.4355618437112</v>
      </c>
      <c r="N158" s="21">
        <f>+'Boat Revenues'!M257</f>
        <v>90364.355618436821</v>
      </c>
      <c r="O158" s="21">
        <f>+'Boat Revenues'!N257</f>
        <v>90364.355618436821</v>
      </c>
    </row>
    <row r="159" spans="1:18" x14ac:dyDescent="0.2">
      <c r="A159" s="23" t="s">
        <v>211</v>
      </c>
      <c r="B159" s="22"/>
      <c r="C159" s="22"/>
      <c r="D159" s="385">
        <f>(0.5*D158)</f>
        <v>4518.2177809218556</v>
      </c>
      <c r="E159" s="385">
        <f t="shared" ref="E159:O159" si="58">(0.5*E158)</f>
        <v>4518.2177809218556</v>
      </c>
      <c r="F159" s="385">
        <f t="shared" si="58"/>
        <v>4518.2177809218556</v>
      </c>
      <c r="G159" s="385">
        <f t="shared" si="58"/>
        <v>4518.2177809218556</v>
      </c>
      <c r="H159" s="385">
        <f t="shared" si="58"/>
        <v>4518.2177809218556</v>
      </c>
      <c r="I159" s="385">
        <f t="shared" si="58"/>
        <v>4518.2177809218556</v>
      </c>
      <c r="J159" s="385">
        <f t="shared" si="58"/>
        <v>4518.2177809218556</v>
      </c>
      <c r="K159" s="385">
        <f t="shared" si="58"/>
        <v>4518.2177809218556</v>
      </c>
      <c r="L159" s="385">
        <f t="shared" si="58"/>
        <v>4518.2177809218556</v>
      </c>
      <c r="M159" s="385">
        <f t="shared" si="58"/>
        <v>4518.2177809218556</v>
      </c>
      <c r="N159" s="385">
        <f t="shared" si="58"/>
        <v>45182.17780921841</v>
      </c>
      <c r="O159" s="385">
        <f t="shared" si="58"/>
        <v>45182.17780921841</v>
      </c>
    </row>
    <row r="160" spans="1:18" x14ac:dyDescent="0.2">
      <c r="A160" s="23" t="s">
        <v>212</v>
      </c>
      <c r="B160" s="22"/>
      <c r="C160" s="22"/>
      <c r="D160" s="385">
        <f>D158*0.5/4</f>
        <v>1129.5544452304639</v>
      </c>
      <c r="E160" s="385">
        <f t="shared" ref="E160:O160" si="59">E158*0.5/4</f>
        <v>1129.5544452304639</v>
      </c>
      <c r="F160" s="385">
        <f t="shared" si="59"/>
        <v>1129.5544452304639</v>
      </c>
      <c r="G160" s="385">
        <f t="shared" si="59"/>
        <v>1129.5544452304639</v>
      </c>
      <c r="H160" s="385">
        <f t="shared" si="59"/>
        <v>1129.5544452304639</v>
      </c>
      <c r="I160" s="385">
        <f t="shared" si="59"/>
        <v>1129.5544452304639</v>
      </c>
      <c r="J160" s="385">
        <f t="shared" si="59"/>
        <v>1129.5544452304639</v>
      </c>
      <c r="K160" s="385">
        <f t="shared" si="59"/>
        <v>1129.5544452304639</v>
      </c>
      <c r="L160" s="385">
        <f t="shared" si="59"/>
        <v>1129.5544452304639</v>
      </c>
      <c r="M160" s="385">
        <f t="shared" si="59"/>
        <v>1129.5544452304639</v>
      </c>
      <c r="N160" s="385">
        <f t="shared" si="59"/>
        <v>11295.544452304603</v>
      </c>
      <c r="O160" s="385">
        <f t="shared" si="59"/>
        <v>11295.544452304603</v>
      </c>
    </row>
    <row r="161" spans="1:18" x14ac:dyDescent="0.2">
      <c r="A161" s="172" t="s">
        <v>122</v>
      </c>
      <c r="B161" s="41"/>
      <c r="C161" s="41"/>
      <c r="D161" s="385">
        <f t="shared" ref="D161:O161" si="60">+D158*D156/1000</f>
        <v>984.97147624096453</v>
      </c>
      <c r="E161" s="385">
        <f t="shared" si="60"/>
        <v>984.97147624096453</v>
      </c>
      <c r="F161" s="385">
        <f t="shared" si="60"/>
        <v>984.97147624096453</v>
      </c>
      <c r="G161" s="385">
        <f t="shared" si="60"/>
        <v>984.97147624096453</v>
      </c>
      <c r="H161" s="385">
        <f t="shared" si="60"/>
        <v>984.97147624096453</v>
      </c>
      <c r="I161" s="385">
        <f t="shared" si="60"/>
        <v>984.97147624096453</v>
      </c>
      <c r="J161" s="385">
        <f t="shared" si="60"/>
        <v>984.97147624096453</v>
      </c>
      <c r="K161" s="385">
        <f t="shared" si="60"/>
        <v>984.97147624096453</v>
      </c>
      <c r="L161" s="385">
        <f t="shared" si="60"/>
        <v>984.97147624096453</v>
      </c>
      <c r="M161" s="385">
        <f t="shared" si="60"/>
        <v>984.97147624096453</v>
      </c>
      <c r="N161" s="385">
        <f t="shared" si="60"/>
        <v>9849.7147624096124</v>
      </c>
      <c r="O161" s="385">
        <f t="shared" si="60"/>
        <v>9849.7147624096124</v>
      </c>
      <c r="R161" s="489">
        <f>SUM(D161:Q161)</f>
        <v>29549.144287228868</v>
      </c>
    </row>
    <row r="162" spans="1:18" x14ac:dyDescent="0.2">
      <c r="A162" s="2"/>
      <c r="B162" s="7"/>
      <c r="C162" s="7"/>
      <c r="D162" s="7"/>
    </row>
    <row r="163" spans="1:18" x14ac:dyDescent="0.2">
      <c r="A163" s="167" t="s">
        <v>1208</v>
      </c>
      <c r="B163" s="166"/>
      <c r="C163" s="166"/>
      <c r="D163" s="351"/>
    </row>
    <row r="164" spans="1:18" x14ac:dyDescent="0.2">
      <c r="A164" s="170" t="s">
        <v>1213</v>
      </c>
      <c r="B164" s="7"/>
      <c r="C164" s="7"/>
      <c r="D164" s="9">
        <f>+'Statistics of Interest'!D116-Assumptions!$Q$12</f>
        <v>0.63092176552294577</v>
      </c>
      <c r="E164" s="10">
        <f>+D164</f>
        <v>0.63092176552294577</v>
      </c>
      <c r="F164" s="10">
        <f t="shared" ref="F164:O168" si="61">+E164</f>
        <v>0.63092176552294577</v>
      </c>
      <c r="G164" s="10">
        <f t="shared" si="61"/>
        <v>0.63092176552294577</v>
      </c>
      <c r="H164" s="10">
        <f t="shared" si="61"/>
        <v>0.63092176552294577</v>
      </c>
      <c r="I164" s="10">
        <f t="shared" si="61"/>
        <v>0.63092176552294577</v>
      </c>
      <c r="J164" s="10">
        <f t="shared" si="61"/>
        <v>0.63092176552294577</v>
      </c>
      <c r="K164" s="10">
        <f t="shared" si="61"/>
        <v>0.63092176552294577</v>
      </c>
      <c r="L164" s="10">
        <f t="shared" si="61"/>
        <v>0.63092176552294577</v>
      </c>
      <c r="M164" s="10">
        <f t="shared" si="61"/>
        <v>0.63092176552294577</v>
      </c>
      <c r="N164" s="10">
        <f t="shared" si="61"/>
        <v>0.63092176552294577</v>
      </c>
      <c r="O164" s="10">
        <f t="shared" si="61"/>
        <v>0.63092176552294577</v>
      </c>
    </row>
    <row r="165" spans="1:18" x14ac:dyDescent="0.2">
      <c r="A165" s="61" t="s">
        <v>1215</v>
      </c>
      <c r="B165" s="7"/>
      <c r="C165" s="7"/>
      <c r="D165" s="30">
        <f>+D161*D164</f>
        <v>621.43994277969159</v>
      </c>
      <c r="E165" s="420">
        <f>+E161*E164</f>
        <v>621.43994277969159</v>
      </c>
      <c r="F165" s="420">
        <f t="shared" ref="F165:O165" si="62">+F161*F164</f>
        <v>621.43994277969159</v>
      </c>
      <c r="G165" s="420">
        <f t="shared" si="62"/>
        <v>621.43994277969159</v>
      </c>
      <c r="H165" s="420">
        <f t="shared" si="62"/>
        <v>621.43994277969159</v>
      </c>
      <c r="I165" s="420">
        <f t="shared" si="62"/>
        <v>621.43994277969159</v>
      </c>
      <c r="J165" s="420">
        <f t="shared" si="62"/>
        <v>621.43994277969159</v>
      </c>
      <c r="K165" s="420">
        <f t="shared" si="62"/>
        <v>621.43994277969159</v>
      </c>
      <c r="L165" s="420">
        <f t="shared" si="62"/>
        <v>621.43994277969159</v>
      </c>
      <c r="M165" s="420">
        <f t="shared" si="62"/>
        <v>621.43994277969159</v>
      </c>
      <c r="N165" s="420">
        <f t="shared" si="62"/>
        <v>6214.399427796895</v>
      </c>
      <c r="O165" s="420">
        <f t="shared" si="62"/>
        <v>6214.399427796895</v>
      </c>
    </row>
    <row r="166" spans="1:18" x14ac:dyDescent="0.2">
      <c r="A166" s="170" t="s">
        <v>1216</v>
      </c>
      <c r="B166" s="7"/>
      <c r="C166" s="7"/>
      <c r="D166" s="430">
        <f>+D145</f>
        <v>0.75691051025637157</v>
      </c>
      <c r="E166" s="10">
        <f>+D166</f>
        <v>0.75691051025637157</v>
      </c>
      <c r="F166" s="10">
        <f t="shared" si="61"/>
        <v>0.75691051025637157</v>
      </c>
      <c r="G166" s="10">
        <f t="shared" si="61"/>
        <v>0.75691051025637157</v>
      </c>
      <c r="H166" s="10">
        <f t="shared" si="61"/>
        <v>0.75691051025637157</v>
      </c>
      <c r="I166" s="10">
        <f t="shared" si="61"/>
        <v>0.75691051025637157</v>
      </c>
      <c r="J166" s="10">
        <f t="shared" si="61"/>
        <v>0.75691051025637157</v>
      </c>
      <c r="K166" s="10">
        <f t="shared" si="61"/>
        <v>0.75691051025637157</v>
      </c>
      <c r="L166" s="10">
        <f t="shared" si="61"/>
        <v>0.75691051025637157</v>
      </c>
      <c r="M166" s="10">
        <f t="shared" si="61"/>
        <v>0.75691051025637157</v>
      </c>
      <c r="N166" s="10">
        <f t="shared" si="61"/>
        <v>0.75691051025637157</v>
      </c>
      <c r="O166" s="10">
        <f t="shared" si="61"/>
        <v>0.75691051025637157</v>
      </c>
    </row>
    <row r="167" spans="1:18" x14ac:dyDescent="0.2">
      <c r="A167" s="48" t="s">
        <v>1217</v>
      </c>
      <c r="B167" s="40"/>
      <c r="C167" s="40"/>
      <c r="D167" s="33">
        <f>+D165*D166</f>
        <v>470.37442418306671</v>
      </c>
      <c r="E167" s="33">
        <f t="shared" ref="E167:O167" si="63">+E165*E166</f>
        <v>470.37442418306671</v>
      </c>
      <c r="F167" s="33">
        <f t="shared" si="63"/>
        <v>470.37442418306671</v>
      </c>
      <c r="G167" s="33">
        <f t="shared" si="63"/>
        <v>470.37442418306671</v>
      </c>
      <c r="H167" s="33">
        <f t="shared" si="63"/>
        <v>470.37442418306671</v>
      </c>
      <c r="I167" s="33">
        <f t="shared" si="63"/>
        <v>470.37442418306671</v>
      </c>
      <c r="J167" s="33">
        <f t="shared" si="63"/>
        <v>470.37442418306671</v>
      </c>
      <c r="K167" s="33">
        <f t="shared" si="63"/>
        <v>470.37442418306671</v>
      </c>
      <c r="L167" s="33">
        <f t="shared" si="63"/>
        <v>470.37442418306671</v>
      </c>
      <c r="M167" s="33">
        <f t="shared" si="63"/>
        <v>470.37442418306671</v>
      </c>
      <c r="N167" s="33">
        <f t="shared" si="63"/>
        <v>4703.7442418306509</v>
      </c>
      <c r="O167" s="33">
        <f t="shared" si="63"/>
        <v>4703.7442418306509</v>
      </c>
      <c r="P167" s="420"/>
      <c r="R167" s="489">
        <f>SUM(D167:Q167)</f>
        <v>14111.232725491969</v>
      </c>
    </row>
    <row r="168" spans="1:18" x14ac:dyDescent="0.2">
      <c r="A168" s="61" t="s">
        <v>1218</v>
      </c>
      <c r="B168" s="47"/>
      <c r="C168" s="47"/>
      <c r="D168" s="427">
        <v>0.03</v>
      </c>
      <c r="E168" s="10">
        <f>+D168</f>
        <v>0.03</v>
      </c>
      <c r="F168" s="10">
        <f t="shared" si="61"/>
        <v>0.03</v>
      </c>
      <c r="G168" s="10">
        <f t="shared" si="61"/>
        <v>0.03</v>
      </c>
      <c r="H168" s="10">
        <f t="shared" si="61"/>
        <v>0.03</v>
      </c>
      <c r="I168" s="10">
        <f t="shared" si="61"/>
        <v>0.03</v>
      </c>
      <c r="J168" s="10">
        <f t="shared" si="61"/>
        <v>0.03</v>
      </c>
      <c r="K168" s="10">
        <f t="shared" si="61"/>
        <v>0.03</v>
      </c>
      <c r="L168" s="10">
        <f t="shared" si="61"/>
        <v>0.03</v>
      </c>
      <c r="M168" s="10">
        <f t="shared" si="61"/>
        <v>0.03</v>
      </c>
      <c r="N168" s="10">
        <f t="shared" si="61"/>
        <v>0.03</v>
      </c>
      <c r="O168" s="10">
        <f t="shared" si="61"/>
        <v>0.03</v>
      </c>
    </row>
    <row r="169" spans="1:18" x14ac:dyDescent="0.2">
      <c r="A169" s="170" t="s">
        <v>1219</v>
      </c>
      <c r="B169" s="7"/>
      <c r="C169" s="40"/>
      <c r="D169" s="33">
        <f>+(D165+D161)*D168</f>
        <v>48.19234257061968</v>
      </c>
      <c r="E169" s="33">
        <f t="shared" ref="E169:O169" si="64">+(E165+E161)*E168</f>
        <v>48.19234257061968</v>
      </c>
      <c r="F169" s="33">
        <f t="shared" si="64"/>
        <v>48.19234257061968</v>
      </c>
      <c r="G169" s="33">
        <f t="shared" si="64"/>
        <v>48.19234257061968</v>
      </c>
      <c r="H169" s="33">
        <f t="shared" si="64"/>
        <v>48.19234257061968</v>
      </c>
      <c r="I169" s="33">
        <f t="shared" si="64"/>
        <v>48.19234257061968</v>
      </c>
      <c r="J169" s="33">
        <f t="shared" si="64"/>
        <v>48.19234257061968</v>
      </c>
      <c r="K169" s="33">
        <f t="shared" si="64"/>
        <v>48.19234257061968</v>
      </c>
      <c r="L169" s="33">
        <f t="shared" si="64"/>
        <v>48.19234257061968</v>
      </c>
      <c r="M169" s="33">
        <f t="shared" si="64"/>
        <v>48.19234257061968</v>
      </c>
      <c r="N169" s="33">
        <f t="shared" si="64"/>
        <v>481.92342570619519</v>
      </c>
      <c r="O169" s="33">
        <f t="shared" si="64"/>
        <v>481.92342570619519</v>
      </c>
    </row>
    <row r="170" spans="1:18" x14ac:dyDescent="0.2">
      <c r="A170" s="47"/>
      <c r="B170" s="7"/>
      <c r="C170" s="7"/>
      <c r="D170" s="46"/>
    </row>
    <row r="171" spans="1:18" x14ac:dyDescent="0.2">
      <c r="A171" s="431" t="s">
        <v>1214</v>
      </c>
      <c r="B171" s="432"/>
      <c r="C171" s="432"/>
      <c r="D171" s="433">
        <f>+(D169*Assumptions!$E$41)+(D167*Assumptions!$E$40)+(D161*Assumptions!$E$39)</f>
        <v>1503.5382429946508</v>
      </c>
      <c r="E171" s="433">
        <f>+(E169*Assumptions!$E$41)+(E167*Assumptions!$E$40)+(E161*Assumptions!$E$39)</f>
        <v>1503.5382429946508</v>
      </c>
      <c r="F171" s="433">
        <f>+(F169*Assumptions!$E$41)+(F167*Assumptions!$E$40)+(F161*Assumptions!$E$39)</f>
        <v>1503.5382429946508</v>
      </c>
      <c r="G171" s="433">
        <f>+(G169*Assumptions!$E$41)+(G167*Assumptions!$E$40)+(G161*Assumptions!$E$39)</f>
        <v>1503.5382429946508</v>
      </c>
      <c r="H171" s="433">
        <f>+(H169*Assumptions!$E$41)+(H167*Assumptions!$E$40)+(H161*Assumptions!$E$39)</f>
        <v>1503.5382429946508</v>
      </c>
      <c r="I171" s="433">
        <f>+(I169*Assumptions!$E$41)+(I167*Assumptions!$E$40)+(I161*Assumptions!$E$39)</f>
        <v>1503.5382429946508</v>
      </c>
      <c r="J171" s="433">
        <f>+(J169*Assumptions!$E$41)+(J167*Assumptions!$E$40)+(J161*Assumptions!$E$39)</f>
        <v>1503.5382429946508</v>
      </c>
      <c r="K171" s="433">
        <f>+(K169*Assumptions!$E$41)+(K167*Assumptions!$E$40)+(K161*Assumptions!$E$39)</f>
        <v>1503.5382429946508</v>
      </c>
      <c r="L171" s="433">
        <f>+(L169*Assumptions!$E$41)+(L167*Assumptions!$E$40)+(L161*Assumptions!$E$39)</f>
        <v>1503.5382429946508</v>
      </c>
      <c r="M171" s="433">
        <f>+(M169*Assumptions!$E$41)+(M167*Assumptions!$E$40)+(M161*Assumptions!$E$39)</f>
        <v>1503.5382429946508</v>
      </c>
      <c r="N171" s="433">
        <f>+(N169*Assumptions!$E$41)+(N167*Assumptions!$E$40)+(N161*Assumptions!$E$39)</f>
        <v>15035.382429946458</v>
      </c>
      <c r="O171" s="433">
        <f>+(O169*Assumptions!$E$41)+(O167*Assumptions!$E$40)+(O161*Assumptions!$E$39)</f>
        <v>15035.382429946458</v>
      </c>
      <c r="Q171" s="488"/>
      <c r="R171" s="489">
        <f>SUM(D171:Q171)</f>
        <v>45106.147289839428</v>
      </c>
    </row>
    <row r="174" spans="1:18" x14ac:dyDescent="0.2">
      <c r="A174" s="174" t="s">
        <v>49</v>
      </c>
      <c r="B174" s="175"/>
      <c r="C174" s="175"/>
    </row>
    <row r="175" spans="1:18" x14ac:dyDescent="0.2">
      <c r="A175" s="440" t="s">
        <v>205</v>
      </c>
      <c r="B175" s="7"/>
      <c r="C175" s="7"/>
    </row>
    <row r="176" spans="1:18" x14ac:dyDescent="0.2">
      <c r="A176" s="167" t="s">
        <v>118</v>
      </c>
      <c r="B176" s="111"/>
      <c r="C176" s="168"/>
    </row>
    <row r="177" spans="1:18" x14ac:dyDescent="0.2">
      <c r="A177" s="170" t="s">
        <v>1220</v>
      </c>
      <c r="B177" s="7"/>
      <c r="C177" s="7"/>
      <c r="D177" s="30">
        <f>+'Statistics of Interest'!D13</f>
        <v>124</v>
      </c>
      <c r="E177" s="46">
        <f>+D177*(1+Assumptions!$Q$11)</f>
        <v>124</v>
      </c>
      <c r="F177" s="46">
        <f>+E177*(1+Assumptions!$Q$11)</f>
        <v>124</v>
      </c>
      <c r="G177" s="46">
        <f>+F177*(1+Assumptions!$Q$11)</f>
        <v>124</v>
      </c>
      <c r="H177" s="46">
        <f>+G177*(1+Assumptions!$Q$11)</f>
        <v>124</v>
      </c>
      <c r="I177" s="46">
        <f>+H177*(1+Assumptions!$Q$11)</f>
        <v>124</v>
      </c>
      <c r="J177" s="46">
        <f>+I177*(1+Assumptions!$Q$11)</f>
        <v>124</v>
      </c>
      <c r="K177" s="46">
        <f>+J177*(1+Assumptions!$Q$11)</f>
        <v>124</v>
      </c>
      <c r="L177" s="46">
        <f>+K177*(1+Assumptions!$Q$11)</f>
        <v>124</v>
      </c>
      <c r="M177" s="46">
        <f>+L177*(1+Assumptions!$Q$11)</f>
        <v>124</v>
      </c>
      <c r="N177" s="46">
        <f>+M177*(1+Assumptions!$Q$11)</f>
        <v>124</v>
      </c>
      <c r="O177" s="46">
        <f>+N177*(1+Assumptions!$Q$11)</f>
        <v>124</v>
      </c>
    </row>
    <row r="178" spans="1:18" x14ac:dyDescent="0.2">
      <c r="A178" s="2"/>
      <c r="B178" s="7"/>
      <c r="C178" s="7"/>
    </row>
    <row r="179" spans="1:18" x14ac:dyDescent="0.2">
      <c r="A179" s="172" t="s">
        <v>210</v>
      </c>
      <c r="B179" s="20"/>
      <c r="C179" s="20"/>
      <c r="D179" s="21">
        <f>+'Boat Revenues'!C293</f>
        <v>368.0918703720381</v>
      </c>
      <c r="E179" s="21">
        <f>+'Boat Revenues'!D293</f>
        <v>368.0918703720381</v>
      </c>
      <c r="F179" s="21">
        <f>+'Boat Revenues'!E293</f>
        <v>368.0918703720381</v>
      </c>
      <c r="G179" s="21">
        <f>+'Boat Revenues'!F293</f>
        <v>368.0918703720381</v>
      </c>
      <c r="H179" s="21">
        <f>+'Boat Revenues'!G293</f>
        <v>368.0918703720381</v>
      </c>
      <c r="I179" s="21">
        <f>+'Boat Revenues'!H293</f>
        <v>368.0918703720381</v>
      </c>
      <c r="J179" s="21">
        <f>+'Boat Revenues'!I293</f>
        <v>368.0918703720381</v>
      </c>
      <c r="K179" s="21">
        <f>+'Boat Revenues'!J293</f>
        <v>368.0918703720381</v>
      </c>
      <c r="L179" s="21">
        <f>+'Boat Revenues'!K293</f>
        <v>368.0918703720381</v>
      </c>
      <c r="M179" s="21">
        <f>+'Boat Revenues'!L293</f>
        <v>368.0918703720381</v>
      </c>
      <c r="N179" s="21">
        <f>+'Boat Revenues'!M293</f>
        <v>3680.9187037204392</v>
      </c>
      <c r="O179" s="21">
        <f>+'Boat Revenues'!N293</f>
        <v>3680.9187037204392</v>
      </c>
    </row>
    <row r="180" spans="1:18" x14ac:dyDescent="0.2">
      <c r="A180" s="23" t="s">
        <v>211</v>
      </c>
      <c r="B180" s="22"/>
      <c r="C180" s="22"/>
      <c r="D180" s="385">
        <f>(0.5*D179)</f>
        <v>184.04593518601905</v>
      </c>
      <c r="E180" s="385">
        <f t="shared" ref="E180:O180" si="65">(0.5*E179)</f>
        <v>184.04593518601905</v>
      </c>
      <c r="F180" s="385">
        <f t="shared" si="65"/>
        <v>184.04593518601905</v>
      </c>
      <c r="G180" s="385">
        <f t="shared" si="65"/>
        <v>184.04593518601905</v>
      </c>
      <c r="H180" s="385">
        <f t="shared" si="65"/>
        <v>184.04593518601905</v>
      </c>
      <c r="I180" s="385">
        <f t="shared" si="65"/>
        <v>184.04593518601905</v>
      </c>
      <c r="J180" s="385">
        <f t="shared" si="65"/>
        <v>184.04593518601905</v>
      </c>
      <c r="K180" s="385">
        <f t="shared" si="65"/>
        <v>184.04593518601905</v>
      </c>
      <c r="L180" s="385">
        <f t="shared" si="65"/>
        <v>184.04593518601905</v>
      </c>
      <c r="M180" s="385">
        <f t="shared" si="65"/>
        <v>184.04593518601905</v>
      </c>
      <c r="N180" s="385">
        <f t="shared" si="65"/>
        <v>1840.4593518602196</v>
      </c>
      <c r="O180" s="385">
        <f t="shared" si="65"/>
        <v>1840.4593518602196</v>
      </c>
    </row>
    <row r="181" spans="1:18" x14ac:dyDescent="0.2">
      <c r="A181" s="23" t="s">
        <v>212</v>
      </c>
      <c r="B181" s="22"/>
      <c r="C181" s="22"/>
      <c r="D181" s="385">
        <f>D179*0.5/4</f>
        <v>46.011483796504763</v>
      </c>
      <c r="E181" s="385">
        <f t="shared" ref="E181:O181" si="66">E179*0.5/4</f>
        <v>46.011483796504763</v>
      </c>
      <c r="F181" s="385">
        <f t="shared" si="66"/>
        <v>46.011483796504763</v>
      </c>
      <c r="G181" s="385">
        <f t="shared" si="66"/>
        <v>46.011483796504763</v>
      </c>
      <c r="H181" s="385">
        <f t="shared" si="66"/>
        <v>46.011483796504763</v>
      </c>
      <c r="I181" s="385">
        <f t="shared" si="66"/>
        <v>46.011483796504763</v>
      </c>
      <c r="J181" s="385">
        <f t="shared" si="66"/>
        <v>46.011483796504763</v>
      </c>
      <c r="K181" s="385">
        <f t="shared" si="66"/>
        <v>46.011483796504763</v>
      </c>
      <c r="L181" s="385">
        <f t="shared" si="66"/>
        <v>46.011483796504763</v>
      </c>
      <c r="M181" s="385">
        <f t="shared" si="66"/>
        <v>46.011483796504763</v>
      </c>
      <c r="N181" s="385">
        <f t="shared" si="66"/>
        <v>460.1148379650549</v>
      </c>
      <c r="O181" s="385">
        <f t="shared" si="66"/>
        <v>460.1148379650549</v>
      </c>
    </row>
    <row r="182" spans="1:18" x14ac:dyDescent="0.2">
      <c r="A182" s="172" t="s">
        <v>122</v>
      </c>
      <c r="B182" s="41"/>
      <c r="C182" s="41"/>
      <c r="D182" s="45">
        <f>+D179*D177/1000</f>
        <v>45.643391926132722</v>
      </c>
      <c r="E182" s="45">
        <f t="shared" ref="E182:O182" si="67">+E179*E177/1000</f>
        <v>45.643391926132722</v>
      </c>
      <c r="F182" s="45">
        <f t="shared" si="67"/>
        <v>45.643391926132722</v>
      </c>
      <c r="G182" s="45">
        <f t="shared" si="67"/>
        <v>45.643391926132722</v>
      </c>
      <c r="H182" s="45">
        <f t="shared" si="67"/>
        <v>45.643391926132722</v>
      </c>
      <c r="I182" s="45">
        <f t="shared" si="67"/>
        <v>45.643391926132722</v>
      </c>
      <c r="J182" s="45">
        <f t="shared" si="67"/>
        <v>45.643391926132722</v>
      </c>
      <c r="K182" s="45">
        <f t="shared" si="67"/>
        <v>45.643391926132722</v>
      </c>
      <c r="L182" s="45">
        <f t="shared" si="67"/>
        <v>45.643391926132722</v>
      </c>
      <c r="M182" s="45">
        <f t="shared" si="67"/>
        <v>45.643391926132722</v>
      </c>
      <c r="N182" s="45">
        <f t="shared" si="67"/>
        <v>456.43391926133444</v>
      </c>
      <c r="O182" s="45">
        <f t="shared" si="67"/>
        <v>456.43391926133444</v>
      </c>
      <c r="R182" s="489">
        <f>SUM(D182:Q182)</f>
        <v>1369.3017577839962</v>
      </c>
    </row>
    <row r="183" spans="1:18" x14ac:dyDescent="0.2">
      <c r="A183" s="2"/>
      <c r="B183" s="7"/>
      <c r="C183" s="7"/>
      <c r="D183" s="7"/>
    </row>
    <row r="184" spans="1:18" x14ac:dyDescent="0.2">
      <c r="A184" s="167" t="s">
        <v>1208</v>
      </c>
      <c r="B184" s="166"/>
      <c r="C184" s="166"/>
      <c r="D184" s="351"/>
    </row>
    <row r="185" spans="1:18" x14ac:dyDescent="0.2">
      <c r="A185" s="170" t="s">
        <v>1213</v>
      </c>
      <c r="B185" s="7"/>
      <c r="C185" s="7"/>
      <c r="D185" s="9">
        <f>+'Statistics of Interest'!D117-Assumptions!$Q$12</f>
        <v>0.73404171772979798</v>
      </c>
      <c r="E185" s="10">
        <f>+D185</f>
        <v>0.73404171772979798</v>
      </c>
      <c r="F185" s="10">
        <f t="shared" ref="F185:O189" si="68">+E185</f>
        <v>0.73404171772979798</v>
      </c>
      <c r="G185" s="10">
        <f t="shared" si="68"/>
        <v>0.73404171772979798</v>
      </c>
      <c r="H185" s="10">
        <f t="shared" si="68"/>
        <v>0.73404171772979798</v>
      </c>
      <c r="I185" s="10">
        <f t="shared" si="68"/>
        <v>0.73404171772979798</v>
      </c>
      <c r="J185" s="10">
        <f t="shared" si="68"/>
        <v>0.73404171772979798</v>
      </c>
      <c r="K185" s="10">
        <f t="shared" si="68"/>
        <v>0.73404171772979798</v>
      </c>
      <c r="L185" s="10">
        <f t="shared" si="68"/>
        <v>0.73404171772979798</v>
      </c>
      <c r="M185" s="10">
        <f t="shared" si="68"/>
        <v>0.73404171772979798</v>
      </c>
      <c r="N185" s="10">
        <f t="shared" si="68"/>
        <v>0.73404171772979798</v>
      </c>
      <c r="O185" s="10">
        <f t="shared" si="68"/>
        <v>0.73404171772979798</v>
      </c>
    </row>
    <row r="186" spans="1:18" x14ac:dyDescent="0.2">
      <c r="A186" s="61" t="s">
        <v>1215</v>
      </c>
      <c r="B186" s="7"/>
      <c r="C186" s="7"/>
      <c r="D186" s="30">
        <f>+D182*D185</f>
        <v>33.504153812472858</v>
      </c>
      <c r="E186" s="30">
        <f t="shared" ref="E186:O186" si="69">+E182*E185</f>
        <v>33.504153812472858</v>
      </c>
      <c r="F186" s="30">
        <f t="shared" si="69"/>
        <v>33.504153812472858</v>
      </c>
      <c r="G186" s="30">
        <f t="shared" si="69"/>
        <v>33.504153812472858</v>
      </c>
      <c r="H186" s="30">
        <f t="shared" si="69"/>
        <v>33.504153812472858</v>
      </c>
      <c r="I186" s="30">
        <f t="shared" si="69"/>
        <v>33.504153812472858</v>
      </c>
      <c r="J186" s="30">
        <f t="shared" si="69"/>
        <v>33.504153812472858</v>
      </c>
      <c r="K186" s="30">
        <f t="shared" si="69"/>
        <v>33.504153812472858</v>
      </c>
      <c r="L186" s="30">
        <f t="shared" si="69"/>
        <v>33.504153812472858</v>
      </c>
      <c r="M186" s="30">
        <f t="shared" si="69"/>
        <v>33.504153812472858</v>
      </c>
      <c r="N186" s="30">
        <f t="shared" si="69"/>
        <v>335.04153812473385</v>
      </c>
      <c r="O186" s="30">
        <f t="shared" si="69"/>
        <v>335.04153812473385</v>
      </c>
    </row>
    <row r="187" spans="1:18" x14ac:dyDescent="0.2">
      <c r="A187" s="170" t="s">
        <v>1216</v>
      </c>
      <c r="B187" s="7"/>
      <c r="C187" s="7"/>
      <c r="D187" s="430">
        <f>+D166</f>
        <v>0.75691051025637157</v>
      </c>
      <c r="E187" s="10">
        <f>+D187</f>
        <v>0.75691051025637157</v>
      </c>
      <c r="F187" s="10">
        <f t="shared" si="68"/>
        <v>0.75691051025637157</v>
      </c>
      <c r="G187" s="10">
        <f t="shared" si="68"/>
        <v>0.75691051025637157</v>
      </c>
      <c r="H187" s="10">
        <f t="shared" si="68"/>
        <v>0.75691051025637157</v>
      </c>
      <c r="I187" s="10">
        <f t="shared" si="68"/>
        <v>0.75691051025637157</v>
      </c>
      <c r="J187" s="10">
        <f t="shared" si="68"/>
        <v>0.75691051025637157</v>
      </c>
      <c r="K187" s="10">
        <f t="shared" si="68"/>
        <v>0.75691051025637157</v>
      </c>
      <c r="L187" s="10">
        <f t="shared" si="68"/>
        <v>0.75691051025637157</v>
      </c>
      <c r="M187" s="10">
        <f t="shared" si="68"/>
        <v>0.75691051025637157</v>
      </c>
      <c r="N187" s="10">
        <f t="shared" si="68"/>
        <v>0.75691051025637157</v>
      </c>
      <c r="O187" s="10">
        <f t="shared" si="68"/>
        <v>0.75691051025637157</v>
      </c>
    </row>
    <row r="188" spans="1:18" x14ac:dyDescent="0.2">
      <c r="A188" s="48" t="s">
        <v>1217</v>
      </c>
      <c r="B188" s="40"/>
      <c r="C188" s="40"/>
      <c r="D188" s="33">
        <f>+D186*D187</f>
        <v>25.359646157906788</v>
      </c>
      <c r="E188" s="33">
        <f t="shared" ref="E188:O188" si="70">+E186*E187</f>
        <v>25.359646157906788</v>
      </c>
      <c r="F188" s="33">
        <f t="shared" si="70"/>
        <v>25.359646157906788</v>
      </c>
      <c r="G188" s="33">
        <f t="shared" si="70"/>
        <v>25.359646157906788</v>
      </c>
      <c r="H188" s="33">
        <f t="shared" si="70"/>
        <v>25.359646157906788</v>
      </c>
      <c r="I188" s="33">
        <f t="shared" si="70"/>
        <v>25.359646157906788</v>
      </c>
      <c r="J188" s="33">
        <f t="shared" si="70"/>
        <v>25.359646157906788</v>
      </c>
      <c r="K188" s="33">
        <f t="shared" si="70"/>
        <v>25.359646157906788</v>
      </c>
      <c r="L188" s="33">
        <f t="shared" si="70"/>
        <v>25.359646157906788</v>
      </c>
      <c r="M188" s="33">
        <f t="shared" si="70"/>
        <v>25.359646157906788</v>
      </c>
      <c r="N188" s="33">
        <f t="shared" si="70"/>
        <v>253.59646157907187</v>
      </c>
      <c r="O188" s="33">
        <f t="shared" si="70"/>
        <v>253.59646157907187</v>
      </c>
      <c r="P188" s="420"/>
      <c r="R188" s="489">
        <f>SUM(D188:Q188)</f>
        <v>760.78938473721155</v>
      </c>
    </row>
    <row r="189" spans="1:18" x14ac:dyDescent="0.2">
      <c r="A189" s="61" t="s">
        <v>1218</v>
      </c>
      <c r="B189" s="47"/>
      <c r="C189" s="47"/>
      <c r="D189" s="427">
        <v>0.03</v>
      </c>
      <c r="E189" s="10">
        <f>+D189</f>
        <v>0.03</v>
      </c>
      <c r="F189" s="10">
        <f t="shared" si="68"/>
        <v>0.03</v>
      </c>
      <c r="G189" s="10">
        <f t="shared" si="68"/>
        <v>0.03</v>
      </c>
      <c r="H189" s="10">
        <f t="shared" si="68"/>
        <v>0.03</v>
      </c>
      <c r="I189" s="10">
        <f t="shared" si="68"/>
        <v>0.03</v>
      </c>
      <c r="J189" s="10">
        <f t="shared" si="68"/>
        <v>0.03</v>
      </c>
      <c r="K189" s="10">
        <f t="shared" si="68"/>
        <v>0.03</v>
      </c>
      <c r="L189" s="10">
        <f t="shared" si="68"/>
        <v>0.03</v>
      </c>
      <c r="M189" s="10">
        <f t="shared" si="68"/>
        <v>0.03</v>
      </c>
      <c r="N189" s="10">
        <f t="shared" si="68"/>
        <v>0.03</v>
      </c>
      <c r="O189" s="10">
        <f t="shared" si="68"/>
        <v>0.03</v>
      </c>
    </row>
    <row r="190" spans="1:18" x14ac:dyDescent="0.2">
      <c r="A190" s="170" t="s">
        <v>1219</v>
      </c>
      <c r="B190" s="7"/>
      <c r="C190" s="40"/>
      <c r="D190" s="33">
        <f>+(D186+D182)*D189</f>
        <v>2.3744263721581671</v>
      </c>
      <c r="E190" s="33">
        <f t="shared" ref="E190:O190" si="71">+(E186+E182)*E189</f>
        <v>2.3744263721581671</v>
      </c>
      <c r="F190" s="33">
        <f t="shared" si="71"/>
        <v>2.3744263721581671</v>
      </c>
      <c r="G190" s="33">
        <f t="shared" si="71"/>
        <v>2.3744263721581671</v>
      </c>
      <c r="H190" s="33">
        <f t="shared" si="71"/>
        <v>2.3744263721581671</v>
      </c>
      <c r="I190" s="33">
        <f t="shared" si="71"/>
        <v>2.3744263721581671</v>
      </c>
      <c r="J190" s="33">
        <f t="shared" si="71"/>
        <v>2.3744263721581671</v>
      </c>
      <c r="K190" s="33">
        <f t="shared" si="71"/>
        <v>2.3744263721581671</v>
      </c>
      <c r="L190" s="33">
        <f t="shared" si="71"/>
        <v>2.3744263721581671</v>
      </c>
      <c r="M190" s="33">
        <f t="shared" si="71"/>
        <v>2.3744263721581671</v>
      </c>
      <c r="N190" s="33">
        <f t="shared" si="71"/>
        <v>23.744263721582048</v>
      </c>
      <c r="O190" s="33">
        <f t="shared" si="71"/>
        <v>23.744263721582048</v>
      </c>
    </row>
    <row r="191" spans="1:18" x14ac:dyDescent="0.2">
      <c r="A191" s="47"/>
      <c r="B191" s="7"/>
      <c r="C191" s="7"/>
      <c r="D191" s="46"/>
    </row>
    <row r="192" spans="1:18" x14ac:dyDescent="0.2">
      <c r="A192" s="431" t="s">
        <v>1214</v>
      </c>
      <c r="B192" s="432"/>
      <c r="C192" s="432"/>
      <c r="D192" s="433">
        <f>+(D190*Assumptions!$E$41)+(D188*Assumptions!$E$40)+(D182*Assumptions!$E$39)</f>
        <v>73.377464456197686</v>
      </c>
      <c r="E192" s="433">
        <f>+(E190*Assumptions!$E$41)+(E188*Assumptions!$E$40)+(E182*Assumptions!$E$39)</f>
        <v>73.377464456197686</v>
      </c>
      <c r="F192" s="433">
        <f>+(F190*Assumptions!$E$41)+(F188*Assumptions!$E$40)+(F182*Assumptions!$E$39)</f>
        <v>73.377464456197686</v>
      </c>
      <c r="G192" s="433">
        <f>+(G190*Assumptions!$E$41)+(G188*Assumptions!$E$40)+(G182*Assumptions!$E$39)</f>
        <v>73.377464456197686</v>
      </c>
      <c r="H192" s="433">
        <f>+(H190*Assumptions!$E$41)+(H188*Assumptions!$E$40)+(H182*Assumptions!$E$39)</f>
        <v>73.377464456197686</v>
      </c>
      <c r="I192" s="433">
        <f>+(I190*Assumptions!$E$41)+(I188*Assumptions!$E$40)+(I182*Assumptions!$E$39)</f>
        <v>73.377464456197686</v>
      </c>
      <c r="J192" s="433">
        <f>+(J190*Assumptions!$E$41)+(J188*Assumptions!$E$40)+(J182*Assumptions!$E$39)</f>
        <v>73.377464456197686</v>
      </c>
      <c r="K192" s="433">
        <f>+(K190*Assumptions!$E$41)+(K188*Assumptions!$E$40)+(K182*Assumptions!$E$39)</f>
        <v>73.377464456197686</v>
      </c>
      <c r="L192" s="433">
        <f>+(L190*Assumptions!$E$41)+(L188*Assumptions!$E$40)+(L182*Assumptions!$E$39)</f>
        <v>73.377464456197686</v>
      </c>
      <c r="M192" s="433">
        <f>+(M190*Assumptions!$E$41)+(M188*Assumptions!$E$40)+(M182*Assumptions!$E$39)</f>
        <v>73.377464456197686</v>
      </c>
      <c r="N192" s="433">
        <f>+(N190*Assumptions!$E$41)+(N188*Assumptions!$E$40)+(N182*Assumptions!$E$39)</f>
        <v>733.77464456198834</v>
      </c>
      <c r="O192" s="433">
        <f>+(O190*Assumptions!$E$41)+(O188*Assumptions!$E$40)+(O182*Assumptions!$E$39)</f>
        <v>733.77464456198834</v>
      </c>
      <c r="Q192" s="488"/>
      <c r="R192" s="489">
        <f>SUM(D192:Q192)</f>
        <v>2201.3239336859533</v>
      </c>
    </row>
    <row r="195" spans="1:110" x14ac:dyDescent="0.2">
      <c r="A195" s="174" t="s">
        <v>49</v>
      </c>
      <c r="B195" s="175"/>
      <c r="C195" s="175"/>
    </row>
    <row r="196" spans="1:110" x14ac:dyDescent="0.2">
      <c r="A196" s="440" t="s">
        <v>162</v>
      </c>
      <c r="B196" s="7"/>
      <c r="C196" s="7"/>
    </row>
    <row r="197" spans="1:110" x14ac:dyDescent="0.2">
      <c r="A197" s="167" t="s">
        <v>118</v>
      </c>
      <c r="B197" s="111"/>
      <c r="C197" s="168"/>
    </row>
    <row r="198" spans="1:110" x14ac:dyDescent="0.2">
      <c r="A198" s="170" t="s">
        <v>1220</v>
      </c>
      <c r="B198" s="7"/>
      <c r="C198" s="7"/>
      <c r="D198" s="30">
        <f>+'Statistics of Interest'!D14</f>
        <v>59</v>
      </c>
      <c r="E198" s="46">
        <f>+D198*(1+Assumptions!$Q$11)</f>
        <v>59</v>
      </c>
      <c r="F198" s="46">
        <f>+E198*(1+Assumptions!$Q$11)</f>
        <v>59</v>
      </c>
      <c r="G198" s="46">
        <f>+F198*(1+Assumptions!$Q$11)</f>
        <v>59</v>
      </c>
      <c r="H198" s="46">
        <f>+G198*(1+Assumptions!$Q$11)</f>
        <v>59</v>
      </c>
      <c r="I198" s="46">
        <f>+H198*(1+Assumptions!$Q$11)</f>
        <v>59</v>
      </c>
      <c r="J198" s="46">
        <f>+I198*(1+Assumptions!$Q$11)</f>
        <v>59</v>
      </c>
      <c r="K198" s="46">
        <f>+J198*(1+Assumptions!$Q$11)</f>
        <v>59</v>
      </c>
      <c r="L198" s="46">
        <f>+K198*(1+Assumptions!$Q$11)</f>
        <v>59</v>
      </c>
      <c r="M198" s="46">
        <f>+L198*(1+Assumptions!$Q$11)</f>
        <v>59</v>
      </c>
      <c r="N198" s="46">
        <f>+M198*(1+Assumptions!$Q$11)</f>
        <v>59</v>
      </c>
      <c r="O198" s="46">
        <f>+N198*(1+Assumptions!$Q$11)</f>
        <v>59</v>
      </c>
    </row>
    <row r="199" spans="1:110" x14ac:dyDescent="0.2">
      <c r="A199" s="2"/>
      <c r="B199" s="7"/>
      <c r="C199" s="7"/>
      <c r="DF199" s="47"/>
    </row>
    <row r="200" spans="1:110" x14ac:dyDescent="0.2">
      <c r="A200" s="172" t="s">
        <v>210</v>
      </c>
      <c r="B200" s="20"/>
      <c r="C200" s="20"/>
      <c r="D200" s="21">
        <f>+'Boat Revenues'!C329</f>
        <v>-4311.6799129060819</v>
      </c>
      <c r="E200" s="21">
        <f>+'Boat Revenues'!D329</f>
        <v>-4311.6799129060819</v>
      </c>
      <c r="F200" s="21">
        <f>+'Boat Revenues'!E329</f>
        <v>-4311.6799129060819</v>
      </c>
      <c r="G200" s="21">
        <f>+'Boat Revenues'!F329</f>
        <v>-4311.6799129060819</v>
      </c>
      <c r="H200" s="21">
        <f>+'Boat Revenues'!G329</f>
        <v>-4311.6799129060819</v>
      </c>
      <c r="I200" s="21">
        <f>+'Boat Revenues'!H329</f>
        <v>-4311.6799129060819</v>
      </c>
      <c r="J200" s="21">
        <f>+'Boat Revenues'!I329</f>
        <v>-4311.6799129060819</v>
      </c>
      <c r="K200" s="21">
        <f>+'Boat Revenues'!J329</f>
        <v>-4311.6799129060819</v>
      </c>
      <c r="L200" s="21">
        <f>+'Boat Revenues'!K329</f>
        <v>-4311.6799129060819</v>
      </c>
      <c r="M200" s="21">
        <f>+'Boat Revenues'!L329</f>
        <v>-4311.6799129060819</v>
      </c>
      <c r="N200" s="21">
        <f>+'Boat Revenues'!M329</f>
        <v>-43116.799129060702</v>
      </c>
      <c r="O200" s="21">
        <f>+'Boat Revenues'!N329</f>
        <v>-43116.799129060702</v>
      </c>
      <c r="DF200" s="47"/>
    </row>
    <row r="201" spans="1:110" x14ac:dyDescent="0.2">
      <c r="A201" s="23" t="s">
        <v>211</v>
      </c>
      <c r="B201" s="22"/>
      <c r="C201" s="22"/>
      <c r="D201" s="385">
        <f>(0.5*D200)</f>
        <v>-2155.8399564530409</v>
      </c>
      <c r="E201" s="385">
        <f t="shared" ref="E201:O201" si="72">(0.5*E200)</f>
        <v>-2155.8399564530409</v>
      </c>
      <c r="F201" s="385">
        <f t="shared" si="72"/>
        <v>-2155.8399564530409</v>
      </c>
      <c r="G201" s="385">
        <f t="shared" si="72"/>
        <v>-2155.8399564530409</v>
      </c>
      <c r="H201" s="385">
        <f t="shared" si="72"/>
        <v>-2155.8399564530409</v>
      </c>
      <c r="I201" s="385">
        <f t="shared" si="72"/>
        <v>-2155.8399564530409</v>
      </c>
      <c r="J201" s="385">
        <f t="shared" si="72"/>
        <v>-2155.8399564530409</v>
      </c>
      <c r="K201" s="385">
        <f t="shared" si="72"/>
        <v>-2155.8399564530409</v>
      </c>
      <c r="L201" s="385">
        <f t="shared" si="72"/>
        <v>-2155.8399564530409</v>
      </c>
      <c r="M201" s="385">
        <f t="shared" si="72"/>
        <v>-2155.8399564530409</v>
      </c>
      <c r="N201" s="385">
        <f t="shared" si="72"/>
        <v>-21558.399564530351</v>
      </c>
      <c r="O201" s="385">
        <f t="shared" si="72"/>
        <v>-21558.399564530351</v>
      </c>
      <c r="DF201" s="47"/>
    </row>
    <row r="202" spans="1:110" x14ac:dyDescent="0.2">
      <c r="A202" s="23" t="s">
        <v>212</v>
      </c>
      <c r="B202" s="22"/>
      <c r="C202" s="22"/>
      <c r="D202" s="385">
        <f>D200*0.5/4</f>
        <v>-538.95998911326024</v>
      </c>
      <c r="E202" s="385">
        <f t="shared" ref="E202:O202" si="73">E200*0.5/4</f>
        <v>-538.95998911326024</v>
      </c>
      <c r="F202" s="385">
        <f t="shared" si="73"/>
        <v>-538.95998911326024</v>
      </c>
      <c r="G202" s="385">
        <f t="shared" si="73"/>
        <v>-538.95998911326024</v>
      </c>
      <c r="H202" s="385">
        <f t="shared" si="73"/>
        <v>-538.95998911326024</v>
      </c>
      <c r="I202" s="385">
        <f t="shared" si="73"/>
        <v>-538.95998911326024</v>
      </c>
      <c r="J202" s="385">
        <f t="shared" si="73"/>
        <v>-538.95998911326024</v>
      </c>
      <c r="K202" s="385">
        <f t="shared" si="73"/>
        <v>-538.95998911326024</v>
      </c>
      <c r="L202" s="385">
        <f t="shared" si="73"/>
        <v>-538.95998911326024</v>
      </c>
      <c r="M202" s="385">
        <f t="shared" si="73"/>
        <v>-538.95998911326024</v>
      </c>
      <c r="N202" s="385">
        <f t="shared" si="73"/>
        <v>-5389.5998911325878</v>
      </c>
      <c r="O202" s="385">
        <f t="shared" si="73"/>
        <v>-5389.5998911325878</v>
      </c>
      <c r="DF202" s="47"/>
    </row>
    <row r="203" spans="1:110" x14ac:dyDescent="0.2">
      <c r="A203" s="172" t="s">
        <v>122</v>
      </c>
      <c r="B203" s="41"/>
      <c r="C203" s="41"/>
      <c r="D203" s="385">
        <f>+D200*D198/1000</f>
        <v>-254.38911486145884</v>
      </c>
      <c r="E203" s="385">
        <f t="shared" ref="E203:O203" si="74">+E200*E198/1000</f>
        <v>-254.38911486145884</v>
      </c>
      <c r="F203" s="385">
        <f t="shared" si="74"/>
        <v>-254.38911486145884</v>
      </c>
      <c r="G203" s="385">
        <f t="shared" si="74"/>
        <v>-254.38911486145884</v>
      </c>
      <c r="H203" s="385">
        <f t="shared" si="74"/>
        <v>-254.38911486145884</v>
      </c>
      <c r="I203" s="385">
        <f t="shared" si="74"/>
        <v>-254.38911486145884</v>
      </c>
      <c r="J203" s="385">
        <f t="shared" si="74"/>
        <v>-254.38911486145884</v>
      </c>
      <c r="K203" s="385">
        <f t="shared" si="74"/>
        <v>-254.38911486145884</v>
      </c>
      <c r="L203" s="385">
        <f t="shared" si="74"/>
        <v>-254.38911486145884</v>
      </c>
      <c r="M203" s="385">
        <f t="shared" si="74"/>
        <v>-254.38911486145884</v>
      </c>
      <c r="N203" s="385">
        <f t="shared" si="74"/>
        <v>-2543.8911486145817</v>
      </c>
      <c r="O203" s="385">
        <f t="shared" si="74"/>
        <v>-2543.8911486145817</v>
      </c>
      <c r="R203" s="489">
        <f>SUM(D203:Q203)</f>
        <v>-7631.6734458437522</v>
      </c>
      <c r="DF203" s="47"/>
    </row>
    <row r="204" spans="1:110" x14ac:dyDescent="0.2">
      <c r="A204" s="2"/>
      <c r="B204" s="7"/>
      <c r="C204" s="7"/>
      <c r="D204" s="7"/>
      <c r="E204" s="7"/>
      <c r="F204" s="7"/>
      <c r="G204" s="7"/>
      <c r="H204" s="7"/>
      <c r="I204" s="7"/>
      <c r="J204" s="7"/>
      <c r="K204" s="7"/>
      <c r="L204" s="7"/>
      <c r="M204" s="7"/>
      <c r="N204" s="7"/>
      <c r="O204" s="7"/>
      <c r="DF204" s="47"/>
    </row>
    <row r="205" spans="1:110" x14ac:dyDescent="0.2">
      <c r="A205" s="167" t="s">
        <v>1208</v>
      </c>
      <c r="B205" s="166"/>
      <c r="C205" s="166"/>
      <c r="D205" s="351"/>
      <c r="E205" s="351"/>
      <c r="F205" s="351"/>
      <c r="G205" s="351"/>
      <c r="H205" s="351"/>
      <c r="I205" s="351"/>
      <c r="J205" s="351"/>
      <c r="K205" s="351"/>
      <c r="L205" s="351"/>
      <c r="M205" s="351"/>
      <c r="N205" s="351"/>
      <c r="O205" s="351"/>
      <c r="DF205" s="47"/>
    </row>
    <row r="206" spans="1:110" x14ac:dyDescent="0.2">
      <c r="A206" s="170" t="s">
        <v>1213</v>
      </c>
      <c r="B206" s="7"/>
      <c r="C206" s="7"/>
      <c r="D206" s="9">
        <f>+'Statistics of Interest'!D118-Assumptions!$Q$12</f>
        <v>0.8570173150412761</v>
      </c>
      <c r="E206" s="10">
        <f>+D206</f>
        <v>0.8570173150412761</v>
      </c>
      <c r="F206" s="10">
        <f t="shared" ref="F206:O206" si="75">+E206</f>
        <v>0.8570173150412761</v>
      </c>
      <c r="G206" s="10">
        <f t="shared" si="75"/>
        <v>0.8570173150412761</v>
      </c>
      <c r="H206" s="10">
        <f t="shared" si="75"/>
        <v>0.8570173150412761</v>
      </c>
      <c r="I206" s="10">
        <f t="shared" si="75"/>
        <v>0.8570173150412761</v>
      </c>
      <c r="J206" s="10">
        <f t="shared" si="75"/>
        <v>0.8570173150412761</v>
      </c>
      <c r="K206" s="10">
        <f t="shared" si="75"/>
        <v>0.8570173150412761</v>
      </c>
      <c r="L206" s="10">
        <f t="shared" si="75"/>
        <v>0.8570173150412761</v>
      </c>
      <c r="M206" s="10">
        <f t="shared" si="75"/>
        <v>0.8570173150412761</v>
      </c>
      <c r="N206" s="10">
        <f t="shared" si="75"/>
        <v>0.8570173150412761</v>
      </c>
      <c r="O206" s="10">
        <f t="shared" si="75"/>
        <v>0.8570173150412761</v>
      </c>
      <c r="DF206" s="47"/>
    </row>
    <row r="207" spans="1:110" x14ac:dyDescent="0.2">
      <c r="A207" s="61" t="s">
        <v>1215</v>
      </c>
      <c r="B207" s="7"/>
      <c r="C207" s="7"/>
      <c r="D207" s="30">
        <f>+D203*D206</f>
        <v>-218.01587619429424</v>
      </c>
      <c r="E207" s="30">
        <f t="shared" ref="E207:O207" si="76">+E203*E206</f>
        <v>-218.01587619429424</v>
      </c>
      <c r="F207" s="30">
        <f t="shared" si="76"/>
        <v>-218.01587619429424</v>
      </c>
      <c r="G207" s="30">
        <f t="shared" si="76"/>
        <v>-218.01587619429424</v>
      </c>
      <c r="H207" s="30">
        <f t="shared" si="76"/>
        <v>-218.01587619429424</v>
      </c>
      <c r="I207" s="30">
        <f t="shared" si="76"/>
        <v>-218.01587619429424</v>
      </c>
      <c r="J207" s="30">
        <f t="shared" si="76"/>
        <v>-218.01587619429424</v>
      </c>
      <c r="K207" s="30">
        <f t="shared" si="76"/>
        <v>-218.01587619429424</v>
      </c>
      <c r="L207" s="30">
        <f t="shared" si="76"/>
        <v>-218.01587619429424</v>
      </c>
      <c r="M207" s="30">
        <f t="shared" si="76"/>
        <v>-218.01587619429424</v>
      </c>
      <c r="N207" s="30">
        <f t="shared" si="76"/>
        <v>-2180.1587619429365</v>
      </c>
      <c r="O207" s="30">
        <f t="shared" si="76"/>
        <v>-2180.1587619429365</v>
      </c>
      <c r="DF207" s="47"/>
    </row>
    <row r="208" spans="1:110" x14ac:dyDescent="0.2">
      <c r="A208" s="170" t="s">
        <v>1216</v>
      </c>
      <c r="B208" s="7"/>
      <c r="C208" s="7"/>
      <c r="D208" s="430">
        <f>+D187</f>
        <v>0.75691051025637157</v>
      </c>
      <c r="E208" s="10">
        <f>+D208</f>
        <v>0.75691051025637157</v>
      </c>
      <c r="F208" s="10">
        <f t="shared" ref="F208:O208" si="77">+E208</f>
        <v>0.75691051025637157</v>
      </c>
      <c r="G208" s="10">
        <f t="shared" si="77"/>
        <v>0.75691051025637157</v>
      </c>
      <c r="H208" s="10">
        <f t="shared" si="77"/>
        <v>0.75691051025637157</v>
      </c>
      <c r="I208" s="10">
        <f t="shared" si="77"/>
        <v>0.75691051025637157</v>
      </c>
      <c r="J208" s="10">
        <f t="shared" si="77"/>
        <v>0.75691051025637157</v>
      </c>
      <c r="K208" s="10">
        <f t="shared" si="77"/>
        <v>0.75691051025637157</v>
      </c>
      <c r="L208" s="10">
        <f t="shared" si="77"/>
        <v>0.75691051025637157</v>
      </c>
      <c r="M208" s="10">
        <f t="shared" si="77"/>
        <v>0.75691051025637157</v>
      </c>
      <c r="N208" s="10">
        <f t="shared" si="77"/>
        <v>0.75691051025637157</v>
      </c>
      <c r="O208" s="10">
        <f t="shared" si="77"/>
        <v>0.75691051025637157</v>
      </c>
      <c r="DF208" s="47"/>
    </row>
    <row r="209" spans="1:110" x14ac:dyDescent="0.2">
      <c r="A209" s="48" t="s">
        <v>1217</v>
      </c>
      <c r="B209" s="40"/>
      <c r="C209" s="40"/>
      <c r="D209" s="33">
        <f t="shared" ref="D209:O209" si="78">+D207*D208</f>
        <v>-165.01850809421319</v>
      </c>
      <c r="E209" s="33">
        <f t="shared" si="78"/>
        <v>-165.01850809421319</v>
      </c>
      <c r="F209" s="33">
        <f t="shared" si="78"/>
        <v>-165.01850809421319</v>
      </c>
      <c r="G209" s="33">
        <f t="shared" si="78"/>
        <v>-165.01850809421319</v>
      </c>
      <c r="H209" s="33">
        <f t="shared" si="78"/>
        <v>-165.01850809421319</v>
      </c>
      <c r="I209" s="33">
        <f t="shared" si="78"/>
        <v>-165.01850809421319</v>
      </c>
      <c r="J209" s="33">
        <f t="shared" si="78"/>
        <v>-165.01850809421319</v>
      </c>
      <c r="K209" s="33">
        <f t="shared" si="78"/>
        <v>-165.01850809421319</v>
      </c>
      <c r="L209" s="33">
        <f t="shared" si="78"/>
        <v>-165.01850809421319</v>
      </c>
      <c r="M209" s="33">
        <f t="shared" si="78"/>
        <v>-165.01850809421319</v>
      </c>
      <c r="N209" s="33">
        <f t="shared" si="78"/>
        <v>-1650.1850809421273</v>
      </c>
      <c r="O209" s="33">
        <f t="shared" si="78"/>
        <v>-1650.1850809421273</v>
      </c>
      <c r="P209" s="420"/>
      <c r="R209" s="489">
        <f>SUM(D209:Q209)</f>
        <v>-4950.5552428263873</v>
      </c>
      <c r="DF209" s="47"/>
    </row>
    <row r="210" spans="1:110" x14ac:dyDescent="0.2">
      <c r="A210" s="61" t="s">
        <v>1218</v>
      </c>
      <c r="B210" s="47"/>
      <c r="C210" s="47"/>
      <c r="D210" s="427">
        <v>0.03</v>
      </c>
      <c r="E210" s="10">
        <v>0.03</v>
      </c>
      <c r="F210" s="10">
        <v>0.03</v>
      </c>
      <c r="G210" s="10">
        <v>0.03</v>
      </c>
      <c r="H210" s="10">
        <v>0.03</v>
      </c>
      <c r="I210" s="10">
        <v>0.03</v>
      </c>
      <c r="J210" s="10">
        <v>0.03</v>
      </c>
      <c r="K210" s="10">
        <v>0.03</v>
      </c>
      <c r="L210" s="10">
        <v>0.03</v>
      </c>
      <c r="M210" s="10">
        <v>0.03</v>
      </c>
      <c r="N210" s="10">
        <v>0.03</v>
      </c>
      <c r="O210" s="10">
        <v>0.03</v>
      </c>
      <c r="DF210" s="47"/>
    </row>
    <row r="211" spans="1:110" x14ac:dyDescent="0.2">
      <c r="A211" s="170" t="s">
        <v>1219</v>
      </c>
      <c r="B211" s="7"/>
      <c r="C211" s="40"/>
      <c r="D211" s="33">
        <f>+(D209+D203)*D210</f>
        <v>-12.58222868867016</v>
      </c>
      <c r="E211" s="33">
        <f t="shared" ref="E211:O211" si="79">+(E209+E203)*E210</f>
        <v>-12.58222868867016</v>
      </c>
      <c r="F211" s="33">
        <f t="shared" si="79"/>
        <v>-12.58222868867016</v>
      </c>
      <c r="G211" s="33">
        <f t="shared" si="79"/>
        <v>-12.58222868867016</v>
      </c>
      <c r="H211" s="33">
        <f t="shared" si="79"/>
        <v>-12.58222868867016</v>
      </c>
      <c r="I211" s="33">
        <f t="shared" si="79"/>
        <v>-12.58222868867016</v>
      </c>
      <c r="J211" s="33">
        <f t="shared" si="79"/>
        <v>-12.58222868867016</v>
      </c>
      <c r="K211" s="33">
        <f t="shared" si="79"/>
        <v>-12.58222868867016</v>
      </c>
      <c r="L211" s="33">
        <f t="shared" si="79"/>
        <v>-12.58222868867016</v>
      </c>
      <c r="M211" s="33">
        <f t="shared" si="79"/>
        <v>-12.58222868867016</v>
      </c>
      <c r="N211" s="33">
        <f t="shared" si="79"/>
        <v>-125.82228688670128</v>
      </c>
      <c r="O211" s="33">
        <f t="shared" si="79"/>
        <v>-125.82228688670128</v>
      </c>
      <c r="DF211" s="47"/>
    </row>
    <row r="212" spans="1:110" x14ac:dyDescent="0.2">
      <c r="A212" s="47"/>
      <c r="B212" s="7"/>
      <c r="C212" s="7"/>
      <c r="D212" s="46"/>
      <c r="E212" s="46"/>
      <c r="F212" s="46"/>
      <c r="G212" s="46"/>
      <c r="H212" s="46"/>
      <c r="I212" s="46"/>
      <c r="J212" s="46"/>
      <c r="K212" s="46"/>
      <c r="L212" s="46"/>
      <c r="M212" s="46"/>
      <c r="N212" s="46"/>
      <c r="O212" s="46"/>
      <c r="DF212" s="47"/>
    </row>
    <row r="213" spans="1:110" x14ac:dyDescent="0.2">
      <c r="A213" s="431" t="s">
        <v>1214</v>
      </c>
      <c r="B213" s="432"/>
      <c r="C213" s="432"/>
      <c r="D213" s="433">
        <f>+(D211*Assumptions!$E$41)+(D209*Assumptions!$E$40)+(D203*Assumptions!$E$39)</f>
        <v>-431.9898516443422</v>
      </c>
      <c r="E213" s="433">
        <f>+(E211*Assumptions!$E$41)+(E209*Assumptions!$E$40)+(E203*Assumptions!$E$39)</f>
        <v>-431.9898516443422</v>
      </c>
      <c r="F213" s="433">
        <f>+(F211*Assumptions!$E$41)+(F209*Assumptions!$E$40)+(F203*Assumptions!$E$39)</f>
        <v>-431.9898516443422</v>
      </c>
      <c r="G213" s="433">
        <f>+(G211*Assumptions!$E$41)+(G209*Assumptions!$E$40)+(G203*Assumptions!$E$39)</f>
        <v>-431.9898516443422</v>
      </c>
      <c r="H213" s="433">
        <f>+(H211*Assumptions!$E$41)+(H209*Assumptions!$E$40)+(H203*Assumptions!$E$39)</f>
        <v>-431.9898516443422</v>
      </c>
      <c r="I213" s="433">
        <f>+(I211*Assumptions!$E$41)+(I209*Assumptions!$E$40)+(I203*Assumptions!$E$39)</f>
        <v>-431.9898516443422</v>
      </c>
      <c r="J213" s="433">
        <f>+(J211*Assumptions!$E$41)+(J209*Assumptions!$E$40)+(J203*Assumptions!$E$39)</f>
        <v>-431.9898516443422</v>
      </c>
      <c r="K213" s="433">
        <f>+(K211*Assumptions!$E$41)+(K209*Assumptions!$E$40)+(K203*Assumptions!$E$39)</f>
        <v>-431.9898516443422</v>
      </c>
      <c r="L213" s="433">
        <f>+(L211*Assumptions!$E$41)+(L209*Assumptions!$E$40)+(L203*Assumptions!$E$39)</f>
        <v>-431.9898516443422</v>
      </c>
      <c r="M213" s="433">
        <f>+(M211*Assumptions!$E$41)+(M209*Assumptions!$E$40)+(M203*Assumptions!$E$39)</f>
        <v>-431.9898516443422</v>
      </c>
      <c r="N213" s="433">
        <f>+(N211*Assumptions!$E$41)+(N209*Assumptions!$E$40)+(N203*Assumptions!$E$39)</f>
        <v>-4319.8985164434107</v>
      </c>
      <c r="O213" s="433">
        <f>+(O211*Assumptions!$E$41)+(O209*Assumptions!$E$40)+(O203*Assumptions!$E$39)</f>
        <v>-4319.8985164434107</v>
      </c>
      <c r="Q213" s="488"/>
      <c r="R213" s="489">
        <f>SUM(D213:Q213)</f>
        <v>-12959.695549330243</v>
      </c>
      <c r="DF213" s="47"/>
    </row>
    <row r="214" spans="1:110" x14ac:dyDescent="0.2">
      <c r="DF214" s="47"/>
    </row>
    <row r="216" spans="1:110" x14ac:dyDescent="0.2">
      <c r="A216" s="174" t="s">
        <v>49</v>
      </c>
      <c r="B216" s="175"/>
      <c r="C216" s="175"/>
    </row>
    <row r="217" spans="1:110" x14ac:dyDescent="0.2">
      <c r="A217" s="440" t="s">
        <v>164</v>
      </c>
      <c r="B217" s="7"/>
      <c r="C217" s="7"/>
    </row>
    <row r="218" spans="1:110" x14ac:dyDescent="0.2">
      <c r="A218" s="167" t="s">
        <v>118</v>
      </c>
      <c r="B218" s="111"/>
      <c r="C218" s="168"/>
    </row>
    <row r="219" spans="1:110" x14ac:dyDescent="0.2">
      <c r="A219" s="170" t="s">
        <v>1220</v>
      </c>
      <c r="B219" s="7"/>
      <c r="C219" s="7"/>
      <c r="D219" s="30">
        <f>+'Statistics of Interest'!D15</f>
        <v>126</v>
      </c>
      <c r="E219" s="46">
        <f>+D219*(1+Assumptions!$Q$11)</f>
        <v>126</v>
      </c>
      <c r="F219" s="46">
        <f>+E219*(1+Assumptions!$Q$11)</f>
        <v>126</v>
      </c>
      <c r="G219" s="46">
        <f>+F219*(1+Assumptions!$Q$11)</f>
        <v>126</v>
      </c>
      <c r="H219" s="46">
        <f>+G219*(1+Assumptions!$Q$11)</f>
        <v>126</v>
      </c>
      <c r="I219" s="46">
        <f>+H219*(1+Assumptions!$Q$11)</f>
        <v>126</v>
      </c>
      <c r="J219" s="46">
        <f>+I219*(1+Assumptions!$Q$11)</f>
        <v>126</v>
      </c>
      <c r="K219" s="46">
        <f>+J219*(1+Assumptions!$Q$11)</f>
        <v>126</v>
      </c>
      <c r="L219" s="46">
        <f>+K219*(1+Assumptions!$Q$11)</f>
        <v>126</v>
      </c>
      <c r="M219" s="46">
        <f>+L219*(1+Assumptions!$Q$11)</f>
        <v>126</v>
      </c>
      <c r="N219" s="46">
        <f>+M219*(1+Assumptions!$Q$11)</f>
        <v>126</v>
      </c>
      <c r="O219" s="46">
        <f>+N219*(1+Assumptions!$Q$11)</f>
        <v>126</v>
      </c>
    </row>
    <row r="220" spans="1:110" x14ac:dyDescent="0.2">
      <c r="A220" s="2"/>
      <c r="B220" s="7"/>
      <c r="C220" s="7"/>
    </row>
    <row r="221" spans="1:110" x14ac:dyDescent="0.2">
      <c r="A221" s="172" t="s">
        <v>210</v>
      </c>
      <c r="B221" s="20"/>
      <c r="C221" s="20"/>
      <c r="D221" s="21">
        <f>+'Boat Revenues'!C365</f>
        <v>10421.968139342149</v>
      </c>
      <c r="E221" s="21">
        <f>+'Boat Revenues'!D365</f>
        <v>10421.968139342149</v>
      </c>
      <c r="F221" s="21">
        <f>+'Boat Revenues'!E365</f>
        <v>10421.968139342149</v>
      </c>
      <c r="G221" s="21">
        <f>+'Boat Revenues'!F365</f>
        <v>10421.968139342149</v>
      </c>
      <c r="H221" s="21">
        <f>+'Boat Revenues'!G365</f>
        <v>10421.968139342149</v>
      </c>
      <c r="I221" s="21">
        <f>+'Boat Revenues'!H365</f>
        <v>10421.968139342149</v>
      </c>
      <c r="J221" s="21">
        <f>+'Boat Revenues'!I365</f>
        <v>10421.968139342149</v>
      </c>
      <c r="K221" s="21">
        <f>+'Boat Revenues'!J365</f>
        <v>10421.968139342149</v>
      </c>
      <c r="L221" s="21">
        <f>+'Boat Revenues'!K365</f>
        <v>10421.968139342149</v>
      </c>
      <c r="M221" s="21">
        <f>+'Boat Revenues'!L365</f>
        <v>10421.968139342149</v>
      </c>
      <c r="N221" s="21">
        <f>+'Boat Revenues'!M365</f>
        <v>104219.68139342079</v>
      </c>
      <c r="O221" s="21">
        <f>+'Boat Revenues'!N365</f>
        <v>104219.68139342079</v>
      </c>
      <c r="R221" s="488"/>
    </row>
    <row r="222" spans="1:110" x14ac:dyDescent="0.2">
      <c r="A222" s="23" t="s">
        <v>211</v>
      </c>
      <c r="B222" s="22"/>
      <c r="C222" s="22"/>
      <c r="D222" s="385">
        <f>(0.5*D221)</f>
        <v>5210.9840696710744</v>
      </c>
      <c r="E222" s="385">
        <f t="shared" ref="E222:O222" si="80">(0.5*E221)</f>
        <v>5210.9840696710744</v>
      </c>
      <c r="F222" s="385">
        <f t="shared" si="80"/>
        <v>5210.9840696710744</v>
      </c>
      <c r="G222" s="385">
        <f t="shared" si="80"/>
        <v>5210.9840696710744</v>
      </c>
      <c r="H222" s="385">
        <f t="shared" si="80"/>
        <v>5210.9840696710744</v>
      </c>
      <c r="I222" s="385">
        <f t="shared" si="80"/>
        <v>5210.9840696710744</v>
      </c>
      <c r="J222" s="385">
        <f t="shared" si="80"/>
        <v>5210.9840696710744</v>
      </c>
      <c r="K222" s="385">
        <f t="shared" si="80"/>
        <v>5210.9840696710744</v>
      </c>
      <c r="L222" s="385">
        <f t="shared" si="80"/>
        <v>5210.9840696710744</v>
      </c>
      <c r="M222" s="385">
        <f t="shared" si="80"/>
        <v>5210.9840696710744</v>
      </c>
      <c r="N222" s="385">
        <f t="shared" si="80"/>
        <v>52109.840696710395</v>
      </c>
      <c r="O222" s="385">
        <f t="shared" si="80"/>
        <v>52109.840696710395</v>
      </c>
    </row>
    <row r="223" spans="1:110" x14ac:dyDescent="0.2">
      <c r="A223" s="23" t="s">
        <v>212</v>
      </c>
      <c r="B223" s="22"/>
      <c r="C223" s="22"/>
      <c r="D223" s="21">
        <f>D221*0.5/4</f>
        <v>1302.7460174177686</v>
      </c>
      <c r="E223" s="21">
        <f t="shared" ref="E223:O223" si="81">E221*0.5/4</f>
        <v>1302.7460174177686</v>
      </c>
      <c r="F223" s="21">
        <f t="shared" si="81"/>
        <v>1302.7460174177686</v>
      </c>
      <c r="G223" s="21">
        <f t="shared" si="81"/>
        <v>1302.7460174177686</v>
      </c>
      <c r="H223" s="21">
        <f t="shared" si="81"/>
        <v>1302.7460174177686</v>
      </c>
      <c r="I223" s="21">
        <f t="shared" si="81"/>
        <v>1302.7460174177686</v>
      </c>
      <c r="J223" s="21">
        <f t="shared" si="81"/>
        <v>1302.7460174177686</v>
      </c>
      <c r="K223" s="21">
        <f t="shared" si="81"/>
        <v>1302.7460174177686</v>
      </c>
      <c r="L223" s="21">
        <f t="shared" si="81"/>
        <v>1302.7460174177686</v>
      </c>
      <c r="M223" s="21">
        <f t="shared" si="81"/>
        <v>1302.7460174177686</v>
      </c>
      <c r="N223" s="21">
        <f t="shared" si="81"/>
        <v>13027.460174177599</v>
      </c>
      <c r="O223" s="21">
        <f t="shared" si="81"/>
        <v>13027.460174177599</v>
      </c>
    </row>
    <row r="224" spans="1:110" x14ac:dyDescent="0.2">
      <c r="A224" s="172" t="s">
        <v>122</v>
      </c>
      <c r="B224" s="41"/>
      <c r="C224" s="41"/>
      <c r="D224" s="385">
        <f t="shared" ref="D224:O224" si="82">+D221*D219/1000</f>
        <v>1313.1679855571108</v>
      </c>
      <c r="E224" s="385">
        <f t="shared" si="82"/>
        <v>1313.1679855571108</v>
      </c>
      <c r="F224" s="385">
        <f t="shared" si="82"/>
        <v>1313.1679855571108</v>
      </c>
      <c r="G224" s="385">
        <f t="shared" si="82"/>
        <v>1313.1679855571108</v>
      </c>
      <c r="H224" s="385">
        <f t="shared" si="82"/>
        <v>1313.1679855571108</v>
      </c>
      <c r="I224" s="385">
        <f t="shared" si="82"/>
        <v>1313.1679855571108</v>
      </c>
      <c r="J224" s="385">
        <f>+J221*J219/1000</f>
        <v>1313.1679855571108</v>
      </c>
      <c r="K224" s="385">
        <f t="shared" si="82"/>
        <v>1313.1679855571108</v>
      </c>
      <c r="L224" s="385">
        <f t="shared" si="82"/>
        <v>1313.1679855571108</v>
      </c>
      <c r="M224" s="385">
        <f t="shared" si="82"/>
        <v>1313.1679855571108</v>
      </c>
      <c r="N224" s="385">
        <f t="shared" si="82"/>
        <v>13131.679855571021</v>
      </c>
      <c r="O224" s="385">
        <f t="shared" si="82"/>
        <v>13131.679855571021</v>
      </c>
      <c r="R224" s="489">
        <f>SUM(D224:Q224)</f>
        <v>39395.039566713152</v>
      </c>
      <c r="S224" s="489"/>
    </row>
    <row r="225" spans="1:18" x14ac:dyDescent="0.2">
      <c r="A225" s="2"/>
      <c r="B225" s="7"/>
      <c r="C225" s="7"/>
      <c r="D225" s="7"/>
      <c r="E225" s="7"/>
      <c r="F225" s="7"/>
      <c r="G225" s="7"/>
      <c r="H225" s="7"/>
      <c r="I225" s="7"/>
      <c r="J225" s="7"/>
      <c r="K225" s="7"/>
      <c r="L225" s="7"/>
      <c r="M225" s="7"/>
      <c r="N225" s="7"/>
      <c r="O225" s="7"/>
    </row>
    <row r="226" spans="1:18" x14ac:dyDescent="0.2">
      <c r="A226" s="167" t="s">
        <v>1208</v>
      </c>
      <c r="B226" s="166"/>
      <c r="C226" s="166"/>
      <c r="D226" s="351"/>
      <c r="E226" s="351"/>
      <c r="F226" s="351"/>
      <c r="G226" s="351"/>
      <c r="H226" s="351"/>
      <c r="I226" s="351"/>
      <c r="J226" s="351"/>
      <c r="K226" s="351"/>
      <c r="L226" s="351"/>
      <c r="M226" s="351"/>
      <c r="N226" s="351"/>
      <c r="O226" s="351"/>
    </row>
    <row r="227" spans="1:18" x14ac:dyDescent="0.2">
      <c r="A227" s="170" t="s">
        <v>1213</v>
      </c>
      <c r="B227" s="7"/>
      <c r="C227" s="7"/>
      <c r="D227" s="9">
        <f>+'Statistics of Interest'!D119-Assumptions!$Q$12</f>
        <v>0.67851588864789569</v>
      </c>
      <c r="E227" s="9">
        <f>+D227</f>
        <v>0.67851588864789569</v>
      </c>
      <c r="F227" s="9">
        <f t="shared" ref="F227:O227" si="83">+E227</f>
        <v>0.67851588864789569</v>
      </c>
      <c r="G227" s="9">
        <f t="shared" si="83"/>
        <v>0.67851588864789569</v>
      </c>
      <c r="H227" s="9">
        <f t="shared" si="83"/>
        <v>0.67851588864789569</v>
      </c>
      <c r="I227" s="9">
        <f t="shared" si="83"/>
        <v>0.67851588864789569</v>
      </c>
      <c r="J227" s="9">
        <f t="shared" si="83"/>
        <v>0.67851588864789569</v>
      </c>
      <c r="K227" s="9">
        <f t="shared" si="83"/>
        <v>0.67851588864789569</v>
      </c>
      <c r="L227" s="9">
        <f t="shared" si="83"/>
        <v>0.67851588864789569</v>
      </c>
      <c r="M227" s="9">
        <f t="shared" si="83"/>
        <v>0.67851588864789569</v>
      </c>
      <c r="N227" s="9">
        <f t="shared" si="83"/>
        <v>0.67851588864789569</v>
      </c>
      <c r="O227" s="9">
        <f t="shared" si="83"/>
        <v>0.67851588864789569</v>
      </c>
    </row>
    <row r="228" spans="1:18" x14ac:dyDescent="0.2">
      <c r="A228" s="61" t="s">
        <v>1215</v>
      </c>
      <c r="B228" s="7"/>
      <c r="C228" s="7"/>
      <c r="D228" s="30">
        <f>+D224*D227</f>
        <v>891.00534266425007</v>
      </c>
      <c r="E228" s="30">
        <f t="shared" ref="E228:O228" si="84">+E224*E227</f>
        <v>891.00534266425007</v>
      </c>
      <c r="F228" s="30">
        <f t="shared" si="84"/>
        <v>891.00534266425007</v>
      </c>
      <c r="G228" s="30">
        <f t="shared" si="84"/>
        <v>891.00534266425007</v>
      </c>
      <c r="H228" s="30">
        <f t="shared" si="84"/>
        <v>891.00534266425007</v>
      </c>
      <c r="I228" s="30">
        <f t="shared" si="84"/>
        <v>891.00534266425007</v>
      </c>
      <c r="J228" s="30">
        <f t="shared" si="84"/>
        <v>891.00534266425007</v>
      </c>
      <c r="K228" s="30">
        <f t="shared" si="84"/>
        <v>891.00534266425007</v>
      </c>
      <c r="L228" s="30">
        <f t="shared" si="84"/>
        <v>891.00534266425007</v>
      </c>
      <c r="M228" s="30">
        <f t="shared" si="84"/>
        <v>891.00534266425007</v>
      </c>
      <c r="N228" s="30">
        <f t="shared" si="84"/>
        <v>8910.053426642442</v>
      </c>
      <c r="O228" s="30">
        <f t="shared" si="84"/>
        <v>8910.053426642442</v>
      </c>
    </row>
    <row r="229" spans="1:18" x14ac:dyDescent="0.2">
      <c r="A229" s="170" t="s">
        <v>1216</v>
      </c>
      <c r="B229" s="7"/>
      <c r="C229" s="7"/>
      <c r="D229" s="430">
        <f>+D208</f>
        <v>0.75691051025637157</v>
      </c>
      <c r="E229" s="430">
        <f>+D229</f>
        <v>0.75691051025637157</v>
      </c>
      <c r="F229" s="430">
        <f t="shared" ref="F229:O229" si="85">+E229</f>
        <v>0.75691051025637157</v>
      </c>
      <c r="G229" s="430">
        <f t="shared" si="85"/>
        <v>0.75691051025637157</v>
      </c>
      <c r="H229" s="430">
        <f t="shared" si="85"/>
        <v>0.75691051025637157</v>
      </c>
      <c r="I229" s="430">
        <f t="shared" si="85"/>
        <v>0.75691051025637157</v>
      </c>
      <c r="J229" s="430">
        <f t="shared" si="85"/>
        <v>0.75691051025637157</v>
      </c>
      <c r="K229" s="430">
        <f t="shared" si="85"/>
        <v>0.75691051025637157</v>
      </c>
      <c r="L229" s="430">
        <f t="shared" si="85"/>
        <v>0.75691051025637157</v>
      </c>
      <c r="M229" s="430">
        <f t="shared" si="85"/>
        <v>0.75691051025637157</v>
      </c>
      <c r="N229" s="430">
        <f t="shared" si="85"/>
        <v>0.75691051025637157</v>
      </c>
      <c r="O229" s="430">
        <f t="shared" si="85"/>
        <v>0.75691051025637157</v>
      </c>
    </row>
    <row r="230" spans="1:18" x14ac:dyDescent="0.2">
      <c r="A230" s="48" t="s">
        <v>1217</v>
      </c>
      <c r="B230" s="40"/>
      <c r="C230" s="40"/>
      <c r="D230" s="33">
        <f>+D228*D229</f>
        <v>674.41130855715073</v>
      </c>
      <c r="E230" s="33">
        <f t="shared" ref="E230:O230" si="86">+E228*E229</f>
        <v>674.41130855715073</v>
      </c>
      <c r="F230" s="33">
        <f t="shared" si="86"/>
        <v>674.41130855715073</v>
      </c>
      <c r="G230" s="33">
        <f t="shared" si="86"/>
        <v>674.41130855715073</v>
      </c>
      <c r="H230" s="33">
        <f t="shared" si="86"/>
        <v>674.41130855715073</v>
      </c>
      <c r="I230" s="33">
        <f t="shared" si="86"/>
        <v>674.41130855715073</v>
      </c>
      <c r="J230" s="33">
        <f t="shared" si="86"/>
        <v>674.41130855715073</v>
      </c>
      <c r="K230" s="33">
        <f t="shared" si="86"/>
        <v>674.41130855715073</v>
      </c>
      <c r="L230" s="33">
        <f t="shared" si="86"/>
        <v>674.41130855715073</v>
      </c>
      <c r="M230" s="33">
        <f t="shared" si="86"/>
        <v>674.41130855715073</v>
      </c>
      <c r="N230" s="33">
        <f t="shared" si="86"/>
        <v>6744.1130855714628</v>
      </c>
      <c r="O230" s="33">
        <f t="shared" si="86"/>
        <v>6744.1130855714628</v>
      </c>
      <c r="P230" s="420"/>
      <c r="R230" s="489">
        <f>SUM(D230:Q230)</f>
        <v>20232.339256714433</v>
      </c>
    </row>
    <row r="231" spans="1:18" x14ac:dyDescent="0.2">
      <c r="A231" s="61" t="s">
        <v>1218</v>
      </c>
      <c r="B231" s="47"/>
      <c r="C231" s="47"/>
      <c r="D231" s="427">
        <v>0.03</v>
      </c>
      <c r="E231" s="427">
        <v>0.03</v>
      </c>
      <c r="F231" s="427">
        <v>0.03</v>
      </c>
      <c r="G231" s="427">
        <v>0.03</v>
      </c>
      <c r="H231" s="427">
        <v>0.03</v>
      </c>
      <c r="I231" s="427">
        <v>0.03</v>
      </c>
      <c r="J231" s="427">
        <v>0.03</v>
      </c>
      <c r="K231" s="427">
        <v>0.03</v>
      </c>
      <c r="L231" s="427">
        <v>0.03</v>
      </c>
      <c r="M231" s="427">
        <v>0.03</v>
      </c>
      <c r="N231" s="427">
        <v>0.03</v>
      </c>
      <c r="O231" s="427">
        <v>0.03</v>
      </c>
    </row>
    <row r="232" spans="1:18" x14ac:dyDescent="0.2">
      <c r="A232" s="170" t="s">
        <v>1219</v>
      </c>
      <c r="B232" s="7"/>
      <c r="C232" s="40"/>
      <c r="D232" s="33">
        <f>+(D230+D224)*D231</f>
        <v>59.627378823427847</v>
      </c>
      <c r="E232" s="33">
        <f t="shared" ref="E232:O232" si="87">+(E230+E224)*E231</f>
        <v>59.627378823427847</v>
      </c>
      <c r="F232" s="33">
        <f t="shared" si="87"/>
        <v>59.627378823427847</v>
      </c>
      <c r="G232" s="33">
        <f t="shared" si="87"/>
        <v>59.627378823427847</v>
      </c>
      <c r="H232" s="33">
        <f t="shared" si="87"/>
        <v>59.627378823427847</v>
      </c>
      <c r="I232" s="33">
        <f t="shared" si="87"/>
        <v>59.627378823427847</v>
      </c>
      <c r="J232" s="33">
        <f t="shared" si="87"/>
        <v>59.627378823427847</v>
      </c>
      <c r="K232" s="33">
        <f t="shared" si="87"/>
        <v>59.627378823427847</v>
      </c>
      <c r="L232" s="33">
        <f t="shared" si="87"/>
        <v>59.627378823427847</v>
      </c>
      <c r="M232" s="33">
        <f t="shared" si="87"/>
        <v>59.627378823427847</v>
      </c>
      <c r="N232" s="33">
        <f t="shared" si="87"/>
        <v>596.27378823427455</v>
      </c>
      <c r="O232" s="33">
        <f t="shared" si="87"/>
        <v>596.27378823427455</v>
      </c>
    </row>
    <row r="233" spans="1:18" x14ac:dyDescent="0.2">
      <c r="A233" s="47"/>
      <c r="B233" s="7"/>
      <c r="C233" s="7"/>
      <c r="D233" s="46"/>
      <c r="E233" s="46"/>
      <c r="F233" s="46"/>
      <c r="G233" s="46"/>
      <c r="H233" s="46"/>
      <c r="I233" s="46"/>
      <c r="J233" s="46"/>
      <c r="K233" s="46"/>
      <c r="L233" s="46"/>
      <c r="M233" s="46"/>
      <c r="N233" s="46"/>
      <c r="O233" s="46"/>
    </row>
    <row r="234" spans="1:18" x14ac:dyDescent="0.2">
      <c r="A234" s="431" t="s">
        <v>1214</v>
      </c>
      <c r="B234" s="432"/>
      <c r="C234" s="432"/>
      <c r="D234" s="433">
        <f>+(D232*Assumptions!$E$41)+(D230*Assumptions!$E$40)+(D224*Assumptions!$E$39)</f>
        <v>2047.2066729376893</v>
      </c>
      <c r="E234" s="433">
        <f>+(E232*Assumptions!$E$41)+(E230*Assumptions!$E$40)+(E224*Assumptions!$E$39)</f>
        <v>2047.2066729376893</v>
      </c>
      <c r="F234" s="433">
        <f>+(F232*Assumptions!$E$41)+(F230*Assumptions!$E$40)+(F224*Assumptions!$E$39)</f>
        <v>2047.2066729376893</v>
      </c>
      <c r="G234" s="433">
        <f>+(G232*Assumptions!$E$41)+(G230*Assumptions!$E$40)+(G224*Assumptions!$E$39)</f>
        <v>2047.2066729376893</v>
      </c>
      <c r="H234" s="433">
        <f>+(H232*Assumptions!$E$41)+(H230*Assumptions!$E$40)+(H224*Assumptions!$E$39)</f>
        <v>2047.2066729376893</v>
      </c>
      <c r="I234" s="433">
        <f>+(I232*Assumptions!$E$41)+(I230*Assumptions!$E$40)+(I224*Assumptions!$E$39)</f>
        <v>2047.2066729376893</v>
      </c>
      <c r="J234" s="433">
        <f>+(J232*Assumptions!$E$41)+(J230*Assumptions!$E$40)+(J224*Assumptions!$E$39)</f>
        <v>2047.2066729376893</v>
      </c>
      <c r="K234" s="433">
        <f>+(K232*Assumptions!$E$41)+(K230*Assumptions!$E$40)+(K224*Assumptions!$E$39)</f>
        <v>2047.2066729376893</v>
      </c>
      <c r="L234" s="433">
        <f>+(L232*Assumptions!$E$41)+(L230*Assumptions!$E$40)+(L224*Assumptions!$E$39)</f>
        <v>2047.2066729376893</v>
      </c>
      <c r="M234" s="433">
        <f>+(M232*Assumptions!$E$41)+(M230*Assumptions!$E$40)+(M224*Assumptions!$E$39)</f>
        <v>2047.2066729376893</v>
      </c>
      <c r="N234" s="433">
        <f>+(N232*Assumptions!$E$41)+(N230*Assumptions!$E$40)+(N224*Assumptions!$E$39)</f>
        <v>20472.066729376758</v>
      </c>
      <c r="O234" s="433">
        <f>+(O232*Assumptions!$E$41)+(O230*Assumptions!$E$40)+(O224*Assumptions!$E$39)</f>
        <v>20472.066729376758</v>
      </c>
      <c r="Q234" s="488"/>
      <c r="R234" s="489">
        <f>SUM(D234:Q234)</f>
        <v>61416.200188130417</v>
      </c>
    </row>
    <row r="239" spans="1:18" x14ac:dyDescent="0.2">
      <c r="A239" s="172" t="s">
        <v>122</v>
      </c>
      <c r="D239" s="444">
        <f>+R224+R161+R140+R119+R98+R77+R56+R35+R14+R203+R182</f>
        <v>2038361.4341252788</v>
      </c>
      <c r="E239" s="424">
        <f>+D239/D241</f>
        <v>0.62059937032701251</v>
      </c>
      <c r="R239" s="489"/>
    </row>
    <row r="240" spans="1:18" x14ac:dyDescent="0.2">
      <c r="A240" s="48" t="s">
        <v>1217</v>
      </c>
      <c r="D240" s="444">
        <f>+R230+R167+R146+R125+R104+R83+R62+R41+R20+R209+R188</f>
        <v>1142880.547276065</v>
      </c>
      <c r="E240" s="424">
        <f>+D240/D241</f>
        <v>0.34796132625168436</v>
      </c>
    </row>
    <row r="241" spans="1:18" x14ac:dyDescent="0.2">
      <c r="A241" s="431" t="s">
        <v>1214</v>
      </c>
      <c r="D241" s="444">
        <f>+R234+R213+R192+R171+R150+R129+R108+R87+R66+R45+R24</f>
        <v>3284504.5154512562</v>
      </c>
      <c r="E241" s="10">
        <f>SUM(E239:E240)</f>
        <v>0.96856069657869681</v>
      </c>
    </row>
    <row r="243" spans="1:18" x14ac:dyDescent="0.2">
      <c r="A243" s="803" t="s">
        <v>1142</v>
      </c>
      <c r="D243" s="30">
        <f>SUM(D219,D198,D177,D156,D135,D114,D93,D72,D51,D30,D9)</f>
        <v>2338</v>
      </c>
      <c r="E243" s="30">
        <f t="shared" ref="E243:O243" si="88">SUM(E219,E198,E177,E156,E135,E114,E93,E72,E51,E30,E9)</f>
        <v>2338</v>
      </c>
      <c r="F243" s="30">
        <f t="shared" si="88"/>
        <v>2338</v>
      </c>
      <c r="G243" s="30">
        <f t="shared" si="88"/>
        <v>2338</v>
      </c>
      <c r="H243" s="30">
        <f t="shared" si="88"/>
        <v>2338</v>
      </c>
      <c r="I243" s="30">
        <f t="shared" si="88"/>
        <v>2338</v>
      </c>
      <c r="J243" s="30">
        <f t="shared" si="88"/>
        <v>2338</v>
      </c>
      <c r="K243" s="30">
        <f t="shared" si="88"/>
        <v>2338</v>
      </c>
      <c r="L243" s="30">
        <f t="shared" si="88"/>
        <v>2338</v>
      </c>
      <c r="M243" s="30">
        <f t="shared" si="88"/>
        <v>2338</v>
      </c>
      <c r="N243" s="30">
        <f t="shared" si="88"/>
        <v>2338</v>
      </c>
      <c r="O243" s="30">
        <f t="shared" si="88"/>
        <v>2338</v>
      </c>
    </row>
    <row r="244" spans="1:18" x14ac:dyDescent="0.2">
      <c r="R244" s="489"/>
    </row>
    <row r="248" spans="1:18" x14ac:dyDescent="0.2">
      <c r="D248" s="444"/>
    </row>
  </sheetData>
  <mergeCells count="3">
    <mergeCell ref="A1:G1"/>
    <mergeCell ref="A2:G2"/>
    <mergeCell ref="R11:W13"/>
  </mergeCells>
  <phoneticPr fontId="4" type="noConversion"/>
  <conditionalFormatting sqref="A2">
    <cfRule type="cellIs" dxfId="11" priority="1" stopIfTrue="1" operator="equal">
      <formula>0</formula>
    </cfRule>
    <cfRule type="cellIs" dxfId="10" priority="2" stopIfTrue="1" operator="notEqual">
      <formula>0</formula>
    </cfRule>
  </conditionalFormatting>
  <pageMargins left="0.78740157499999996" right="0.78740157499999996" top="0.984251969" bottom="0.984251969"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398"/>
  <sheetViews>
    <sheetView showGridLines="0" topLeftCell="A361" zoomScale="84" zoomScaleNormal="84" workbookViewId="0">
      <selection activeCell="A59" sqref="A59"/>
    </sheetView>
  </sheetViews>
  <sheetFormatPr defaultColWidth="11.42578125" defaultRowHeight="12.75" x14ac:dyDescent="0.2"/>
  <cols>
    <col min="1" max="1" width="29.28515625" style="17" customWidth="1"/>
    <col min="2" max="2" width="4" style="17" bestFit="1" customWidth="1"/>
    <col min="3" max="3" width="14.42578125" style="17" customWidth="1"/>
    <col min="4" max="13" width="12.140625" style="17" customWidth="1"/>
    <col min="14" max="14" width="14" style="17" customWidth="1"/>
    <col min="15" max="15" width="2.42578125" style="17" customWidth="1"/>
    <col min="16" max="17" width="12.140625" style="17" customWidth="1"/>
    <col min="18" max="18" width="13.85546875" style="17" customWidth="1"/>
    <col min="19" max="20" width="12.140625" style="17" customWidth="1"/>
    <col min="21" max="23" width="11.42578125" style="17"/>
    <col min="24" max="24" width="8.140625" style="17" customWidth="1"/>
    <col min="25" max="25" width="6.85546875" style="17" customWidth="1"/>
    <col min="26" max="26" width="11.42578125" style="17"/>
    <col min="27" max="27" width="7.5703125" style="17" customWidth="1"/>
    <col min="28" max="16384" width="11.42578125" style="17"/>
  </cols>
  <sheetData>
    <row r="1" spans="1:29" s="214" customFormat="1" ht="15.75" x14ac:dyDescent="0.25">
      <c r="A1" s="1063" t="s">
        <v>159</v>
      </c>
      <c r="B1" s="1064"/>
      <c r="C1" s="1064"/>
      <c r="D1" s="1064"/>
      <c r="E1" s="1064"/>
      <c r="F1" s="1064"/>
      <c r="G1" s="1064"/>
      <c r="H1" s="1064"/>
      <c r="I1" s="1064"/>
      <c r="J1" s="1064"/>
      <c r="K1" s="1064"/>
      <c r="L1" s="445"/>
      <c r="M1" s="445"/>
      <c r="N1" s="446"/>
      <c r="P1" s="280"/>
      <c r="Q1" s="281"/>
      <c r="R1" s="390" t="s">
        <v>33</v>
      </c>
      <c r="S1" s="390"/>
      <c r="T1" s="390" t="s">
        <v>183</v>
      </c>
      <c r="U1" s="390"/>
      <c r="V1" s="391" t="s">
        <v>34</v>
      </c>
    </row>
    <row r="2" spans="1:29" s="231" customFormat="1" ht="16.5" thickBot="1" x14ac:dyDescent="0.3">
      <c r="A2" s="1065" t="s">
        <v>14</v>
      </c>
      <c r="B2" s="1066"/>
      <c r="C2" s="1066"/>
      <c r="D2" s="1066"/>
      <c r="E2" s="1066"/>
      <c r="F2" s="1066"/>
      <c r="G2" s="1066"/>
      <c r="H2" s="1066"/>
      <c r="I2" s="1066"/>
      <c r="J2" s="447"/>
      <c r="K2" s="447"/>
      <c r="L2" s="448"/>
      <c r="M2" s="448"/>
      <c r="N2" s="449"/>
      <c r="P2" s="393"/>
      <c r="Q2" s="282"/>
      <c r="R2" s="394" t="s">
        <v>1358</v>
      </c>
      <c r="S2" s="394" t="s">
        <v>1359</v>
      </c>
      <c r="T2" s="394" t="s">
        <v>1224</v>
      </c>
      <c r="U2" s="394" t="s">
        <v>1226</v>
      </c>
      <c r="V2" s="392"/>
      <c r="W2"/>
    </row>
    <row r="3" spans="1:29" ht="13.5" thickBot="1" x14ac:dyDescent="0.25">
      <c r="A3" s="450" t="s">
        <v>160</v>
      </c>
      <c r="B3" s="12"/>
      <c r="C3" s="12">
        <f>(C35-C36)-(C19-C20)</f>
        <v>9610.782577122678</v>
      </c>
      <c r="D3" s="12">
        <f t="shared" ref="D3:N3" si="0">(D35-D36)-(D19-D20)</f>
        <v>9610.782577122678</v>
      </c>
      <c r="E3" s="12">
        <f t="shared" si="0"/>
        <v>9610.782577122678</v>
      </c>
      <c r="F3" s="12">
        <f t="shared" si="0"/>
        <v>9610.782577122678</v>
      </c>
      <c r="G3" s="12">
        <f t="shared" si="0"/>
        <v>9610.782577122678</v>
      </c>
      <c r="H3" s="12">
        <f t="shared" si="0"/>
        <v>9610.782577122678</v>
      </c>
      <c r="I3" s="12">
        <f t="shared" si="0"/>
        <v>9610.782577122678</v>
      </c>
      <c r="J3" s="12">
        <f t="shared" si="0"/>
        <v>9610.782577122678</v>
      </c>
      <c r="K3" s="12">
        <f t="shared" si="0"/>
        <v>9610.782577122678</v>
      </c>
      <c r="L3" s="12">
        <f t="shared" si="0"/>
        <v>9610.782577122678</v>
      </c>
      <c r="M3" s="12">
        <f t="shared" si="0"/>
        <v>96107.825771226548</v>
      </c>
      <c r="N3" s="12">
        <f t="shared" si="0"/>
        <v>96107.825771226548</v>
      </c>
      <c r="P3" s="393" t="s">
        <v>1362</v>
      </c>
      <c r="Q3" s="282"/>
      <c r="R3" s="285">
        <v>2420</v>
      </c>
      <c r="S3" s="285">
        <v>4340</v>
      </c>
      <c r="T3" s="285">
        <v>13637</v>
      </c>
      <c r="U3" s="285">
        <v>50503</v>
      </c>
      <c r="V3" s="286">
        <f>SUM(R3:U3)</f>
        <v>70900</v>
      </c>
      <c r="W3"/>
    </row>
    <row r="4" spans="1:29" ht="13.5" thickBot="1" x14ac:dyDescent="0.25">
      <c r="A4" s="16"/>
      <c r="B4" s="57"/>
      <c r="C4" s="57"/>
      <c r="D4" s="57"/>
      <c r="E4" s="57"/>
      <c r="F4" s="57"/>
      <c r="G4" s="57"/>
      <c r="H4" s="57"/>
      <c r="I4" s="57"/>
      <c r="J4" s="57"/>
      <c r="K4" s="57"/>
      <c r="L4" s="57"/>
      <c r="M4" s="57"/>
      <c r="N4" s="207"/>
      <c r="P4" s="393" t="s">
        <v>1336</v>
      </c>
      <c r="Q4" s="282"/>
      <c r="R4" s="285">
        <v>126136</v>
      </c>
      <c r="S4" s="285">
        <v>337309</v>
      </c>
      <c r="T4" s="285">
        <v>305639</v>
      </c>
      <c r="U4" s="285">
        <v>162966</v>
      </c>
      <c r="V4" s="286">
        <f>SUM(R4:U4)</f>
        <v>932050</v>
      </c>
      <c r="W4"/>
    </row>
    <row r="5" spans="1:29" ht="16.5" thickBot="1" x14ac:dyDescent="0.3">
      <c r="A5" s="1056" t="s">
        <v>123</v>
      </c>
      <c r="B5" s="1057"/>
      <c r="C5" s="1057"/>
      <c r="D5" s="1057"/>
      <c r="E5" s="1057"/>
      <c r="F5" s="1057"/>
      <c r="G5" s="1057"/>
      <c r="H5" s="1057"/>
      <c r="I5" s="1057"/>
      <c r="J5" s="1057"/>
      <c r="K5" s="1057"/>
      <c r="L5" s="215"/>
      <c r="M5" s="215"/>
      <c r="N5" s="216"/>
      <c r="P5" s="284" t="s">
        <v>1337</v>
      </c>
      <c r="Q5" s="282"/>
      <c r="R5" s="285">
        <v>244253</v>
      </c>
      <c r="S5" s="285">
        <v>569533</v>
      </c>
      <c r="T5" s="285">
        <v>470965</v>
      </c>
      <c r="U5" s="285">
        <v>517232</v>
      </c>
      <c r="V5" s="286">
        <f>SUM(R5:U5)</f>
        <v>1801983</v>
      </c>
      <c r="W5"/>
    </row>
    <row r="6" spans="1:29" ht="13.5" thickBot="1" x14ac:dyDescent="0.25">
      <c r="A6" s="217"/>
      <c r="B6" s="218" t="s">
        <v>125</v>
      </c>
      <c r="C6" s="219" t="s">
        <v>126</v>
      </c>
      <c r="D6" s="219" t="s">
        <v>127</v>
      </c>
      <c r="E6" s="219" t="s">
        <v>128</v>
      </c>
      <c r="F6" s="219" t="s">
        <v>129</v>
      </c>
      <c r="G6" s="219" t="s">
        <v>130</v>
      </c>
      <c r="H6" s="219" t="s">
        <v>131</v>
      </c>
      <c r="I6" s="219" t="s">
        <v>132</v>
      </c>
      <c r="J6" s="219" t="s">
        <v>133</v>
      </c>
      <c r="K6" s="219" t="s">
        <v>134</v>
      </c>
      <c r="L6" s="219" t="s">
        <v>135</v>
      </c>
      <c r="M6" s="219" t="s">
        <v>136</v>
      </c>
      <c r="N6" s="220" t="s">
        <v>137</v>
      </c>
      <c r="P6" s="284" t="s">
        <v>1345</v>
      </c>
      <c r="Q6" s="282"/>
      <c r="R6" s="287"/>
      <c r="S6" s="287"/>
      <c r="T6" s="287"/>
      <c r="U6" s="287"/>
      <c r="V6" s="288"/>
      <c r="W6"/>
    </row>
    <row r="7" spans="1:29" x14ac:dyDescent="0.2">
      <c r="A7" s="255" t="s">
        <v>1228</v>
      </c>
      <c r="B7" s="229"/>
      <c r="C7" s="233"/>
      <c r="D7" s="233"/>
      <c r="E7" s="233"/>
      <c r="F7" s="233"/>
      <c r="G7" s="233"/>
      <c r="H7" s="233"/>
      <c r="I7" s="233"/>
      <c r="J7" s="233"/>
      <c r="K7" s="233"/>
      <c r="L7" s="233"/>
      <c r="M7" s="233"/>
      <c r="N7" s="256"/>
      <c r="P7" s="289" t="s">
        <v>1302</v>
      </c>
      <c r="Q7" s="290"/>
      <c r="R7" s="291">
        <f>+R4/R3</f>
        <v>52.122314049586777</v>
      </c>
      <c r="S7" s="291">
        <f>+S4/S3</f>
        <v>77.720967741935482</v>
      </c>
      <c r="T7" s="291">
        <f>+T4/T3</f>
        <v>22.41248075089829</v>
      </c>
      <c r="U7" s="291">
        <f>+U4/U3</f>
        <v>3.2268578104271035</v>
      </c>
      <c r="V7" s="292">
        <f>+V4/V3</f>
        <v>13.145980253878703</v>
      </c>
      <c r="W7"/>
      <c r="X7"/>
    </row>
    <row r="8" spans="1:29" x14ac:dyDescent="0.2">
      <c r="A8" s="257" t="s">
        <v>139</v>
      </c>
      <c r="B8" s="234"/>
      <c r="C8" s="225">
        <f>+R35</f>
        <v>139</v>
      </c>
      <c r="D8" s="225">
        <f t="shared" ref="D8:L8" si="1">C8</f>
        <v>139</v>
      </c>
      <c r="E8" s="225">
        <f t="shared" si="1"/>
        <v>139</v>
      </c>
      <c r="F8" s="225">
        <f t="shared" si="1"/>
        <v>139</v>
      </c>
      <c r="G8" s="225">
        <f t="shared" si="1"/>
        <v>139</v>
      </c>
      <c r="H8" s="225">
        <f t="shared" si="1"/>
        <v>139</v>
      </c>
      <c r="I8" s="225">
        <f t="shared" si="1"/>
        <v>139</v>
      </c>
      <c r="J8" s="225">
        <f t="shared" si="1"/>
        <v>139</v>
      </c>
      <c r="K8" s="225">
        <f t="shared" si="1"/>
        <v>139</v>
      </c>
      <c r="L8" s="225">
        <f t="shared" si="1"/>
        <v>139</v>
      </c>
      <c r="M8" s="225">
        <f>L8*10</f>
        <v>1390</v>
      </c>
      <c r="N8" s="226">
        <f>M8</f>
        <v>1390</v>
      </c>
      <c r="P8" s="289" t="s">
        <v>1282</v>
      </c>
      <c r="Q8" s="290"/>
      <c r="R8" s="291">
        <f>+R5/R3</f>
        <v>100.93099173553719</v>
      </c>
      <c r="S8" s="291">
        <f>+S5/S3</f>
        <v>131.22880184331797</v>
      </c>
      <c r="T8" s="291">
        <f>+T5/T3</f>
        <v>34.535821661655788</v>
      </c>
      <c r="U8" s="291">
        <f>+U5/U3</f>
        <v>10.241609409342018</v>
      </c>
      <c r="V8" s="292">
        <f>+V5/V3</f>
        <v>25.415839210155148</v>
      </c>
      <c r="W8"/>
      <c r="X8"/>
    </row>
    <row r="9" spans="1:29" ht="13.5" thickBot="1" x14ac:dyDescent="0.25">
      <c r="A9" s="257" t="s">
        <v>138</v>
      </c>
      <c r="B9" s="234"/>
      <c r="C9" s="225">
        <f>SUM(C10:C13)</f>
        <v>106.12491626204758</v>
      </c>
      <c r="D9" s="225">
        <f t="shared" ref="D9:N9" si="2">SUM(D10:D13)</f>
        <v>106.12491626204758</v>
      </c>
      <c r="E9" s="225">
        <f t="shared" si="2"/>
        <v>106.12491626204758</v>
      </c>
      <c r="F9" s="225">
        <f t="shared" si="2"/>
        <v>106.12491626204758</v>
      </c>
      <c r="G9" s="225">
        <f t="shared" si="2"/>
        <v>106.12491626204758</v>
      </c>
      <c r="H9" s="225">
        <f t="shared" si="2"/>
        <v>106.12491626204758</v>
      </c>
      <c r="I9" s="225">
        <f t="shared" si="2"/>
        <v>106.12491626204758</v>
      </c>
      <c r="J9" s="225">
        <f t="shared" si="2"/>
        <v>106.12491626204758</v>
      </c>
      <c r="K9" s="225">
        <f t="shared" si="2"/>
        <v>106.12491626204758</v>
      </c>
      <c r="L9" s="225">
        <f t="shared" si="2"/>
        <v>106.12491626204758</v>
      </c>
      <c r="M9" s="225">
        <f t="shared" si="2"/>
        <v>106.12491626204758</v>
      </c>
      <c r="N9" s="226">
        <f t="shared" si="2"/>
        <v>106.12491626204758</v>
      </c>
      <c r="P9" s="293" t="s">
        <v>60</v>
      </c>
      <c r="Q9" s="294"/>
      <c r="R9" s="295">
        <f>+(R8/R10)-1</f>
        <v>0.93642576266886546</v>
      </c>
      <c r="S9" s="295">
        <f>+(S8/S10)-1</f>
        <v>0.68846072888656984</v>
      </c>
      <c r="T9" s="295">
        <f>+(T8/T10)-1</f>
        <v>0.54091918897784641</v>
      </c>
      <c r="U9" s="295">
        <f>+(U8/U10)-1</f>
        <v>2.1738644870709223</v>
      </c>
      <c r="V9" s="296">
        <f>+(V8/V10)-1</f>
        <v>0.93335443377501215</v>
      </c>
      <c r="W9"/>
      <c r="X9"/>
    </row>
    <row r="10" spans="1:29" x14ac:dyDescent="0.2">
      <c r="A10" s="451" t="s">
        <v>1221</v>
      </c>
      <c r="B10" s="225"/>
      <c r="C10" s="225">
        <f>+Y19</f>
        <v>0</v>
      </c>
      <c r="D10" s="225">
        <f>+C10*Assumptions!F22</f>
        <v>0</v>
      </c>
      <c r="E10" s="225">
        <f>+D10*Assumptions!G22</f>
        <v>0</v>
      </c>
      <c r="F10" s="225">
        <f>+E10*Assumptions!H22</f>
        <v>0</v>
      </c>
      <c r="G10" s="225">
        <f>+F10*Assumptions!I22</f>
        <v>0</v>
      </c>
      <c r="H10" s="225">
        <f>+G10*Assumptions!J22</f>
        <v>0</v>
      </c>
      <c r="I10" s="225">
        <f>+H10*Assumptions!K22</f>
        <v>0</v>
      </c>
      <c r="J10" s="225">
        <f>+I10*Assumptions!L22</f>
        <v>0</v>
      </c>
      <c r="K10" s="225">
        <f>+J10*Assumptions!M22</f>
        <v>0</v>
      </c>
      <c r="L10" s="225">
        <f>+K10*Assumptions!N22</f>
        <v>0</v>
      </c>
      <c r="M10" s="225">
        <f>+L10*Assumptions!O22</f>
        <v>0</v>
      </c>
      <c r="N10" s="226">
        <f>+M10*Assumptions!P22</f>
        <v>0</v>
      </c>
      <c r="P10" s="289" t="s">
        <v>1352</v>
      </c>
      <c r="Q10" s="290"/>
      <c r="R10" s="291">
        <f>+R4/R3</f>
        <v>52.122314049586777</v>
      </c>
      <c r="S10" s="291">
        <f>+S4/S3</f>
        <v>77.720967741935482</v>
      </c>
      <c r="T10" s="291">
        <f>+T4/T3</f>
        <v>22.41248075089829</v>
      </c>
      <c r="U10" s="291">
        <f>+U4/U3</f>
        <v>3.2268578104271035</v>
      </c>
      <c r="V10" s="292">
        <f>+V4/V3</f>
        <v>13.145980253878703</v>
      </c>
      <c r="W10"/>
      <c r="X10"/>
    </row>
    <row r="11" spans="1:29" s="11" customFormat="1" x14ac:dyDescent="0.2">
      <c r="A11" s="451" t="s">
        <v>1222</v>
      </c>
      <c r="B11" s="235" t="s">
        <v>1360</v>
      </c>
      <c r="C11" s="235">
        <f>+Z19</f>
        <v>3.688424007344024</v>
      </c>
      <c r="D11" s="225">
        <f>+C11*Assumptions!F23</f>
        <v>3.688424007344024</v>
      </c>
      <c r="E11" s="225">
        <f>+D11*Assumptions!G23</f>
        <v>3.688424007344024</v>
      </c>
      <c r="F11" s="225">
        <f>+E11*Assumptions!H23</f>
        <v>3.688424007344024</v>
      </c>
      <c r="G11" s="225">
        <f>+F11*Assumptions!I23</f>
        <v>3.688424007344024</v>
      </c>
      <c r="H11" s="225">
        <f>+G11*Assumptions!J23</f>
        <v>3.688424007344024</v>
      </c>
      <c r="I11" s="225">
        <f>+H11*Assumptions!K23</f>
        <v>3.688424007344024</v>
      </c>
      <c r="J11" s="225">
        <f>+I11*Assumptions!L23</f>
        <v>3.688424007344024</v>
      </c>
      <c r="K11" s="225">
        <f>+J11*Assumptions!M23</f>
        <v>3.688424007344024</v>
      </c>
      <c r="L11" s="225">
        <f>+K11*Assumptions!N23</f>
        <v>3.688424007344024</v>
      </c>
      <c r="M11" s="225">
        <f>+L11*Assumptions!O23</f>
        <v>3.688424007344024</v>
      </c>
      <c r="N11" s="226">
        <f>+M11*Assumptions!P23</f>
        <v>3.688424007344024</v>
      </c>
      <c r="W11"/>
      <c r="X11"/>
    </row>
    <row r="12" spans="1:29" s="11" customFormat="1" x14ac:dyDescent="0.2">
      <c r="A12" s="451" t="s">
        <v>1225</v>
      </c>
      <c r="B12" s="235"/>
      <c r="C12" s="235">
        <f>+AA19</f>
        <v>38.980713968063455</v>
      </c>
      <c r="D12" s="225">
        <f>+C12*Assumptions!F24</f>
        <v>38.980713968063455</v>
      </c>
      <c r="E12" s="225">
        <f>+D12*Assumptions!G24</f>
        <v>38.980713968063455</v>
      </c>
      <c r="F12" s="225">
        <f>+E12*Assumptions!H24</f>
        <v>38.980713968063455</v>
      </c>
      <c r="G12" s="225">
        <f>+F12*Assumptions!I24</f>
        <v>38.980713968063455</v>
      </c>
      <c r="H12" s="225">
        <f>+G12*Assumptions!J24</f>
        <v>38.980713968063455</v>
      </c>
      <c r="I12" s="225">
        <f>+H12*Assumptions!K24</f>
        <v>38.980713968063455</v>
      </c>
      <c r="J12" s="225">
        <f>+I12*Assumptions!L24</f>
        <v>38.980713968063455</v>
      </c>
      <c r="K12" s="225">
        <f>+J12*Assumptions!M24</f>
        <v>38.980713968063455</v>
      </c>
      <c r="L12" s="225">
        <f>+K12*Assumptions!N24</f>
        <v>38.980713968063455</v>
      </c>
      <c r="M12" s="225">
        <f>+L12*Assumptions!O24</f>
        <v>38.980713968063455</v>
      </c>
      <c r="N12" s="226">
        <f>+M12*Assumptions!P24</f>
        <v>38.980713968063455</v>
      </c>
      <c r="W12"/>
      <c r="X12"/>
    </row>
    <row r="13" spans="1:29" s="11" customFormat="1" ht="13.5" thickBot="1" x14ac:dyDescent="0.25">
      <c r="A13" s="451" t="s">
        <v>1199</v>
      </c>
      <c r="B13" s="235"/>
      <c r="C13" s="235">
        <f>+AB19</f>
        <v>63.455778286640097</v>
      </c>
      <c r="D13" s="225">
        <f>+C13*Assumptions!F25</f>
        <v>63.455778286640097</v>
      </c>
      <c r="E13" s="225">
        <f>+D13*Assumptions!G25</f>
        <v>63.455778286640097</v>
      </c>
      <c r="F13" s="225">
        <f>+E13*Assumptions!H25</f>
        <v>63.455778286640097</v>
      </c>
      <c r="G13" s="225">
        <f>+F13*Assumptions!I25</f>
        <v>63.455778286640097</v>
      </c>
      <c r="H13" s="225">
        <f>+G13*Assumptions!J25</f>
        <v>63.455778286640097</v>
      </c>
      <c r="I13" s="225">
        <f>+H13*Assumptions!K25</f>
        <v>63.455778286640097</v>
      </c>
      <c r="J13" s="225">
        <f>+I13*Assumptions!L25</f>
        <v>63.455778286640097</v>
      </c>
      <c r="K13" s="225">
        <f>+J13*Assumptions!M25</f>
        <v>63.455778286640097</v>
      </c>
      <c r="L13" s="225">
        <f>+K13*Assumptions!N25</f>
        <v>63.455778286640097</v>
      </c>
      <c r="M13" s="225">
        <f>+L13*Assumptions!O25</f>
        <v>63.455778286640097</v>
      </c>
      <c r="N13" s="226">
        <f>+M13*Assumptions!P25</f>
        <v>63.455778286640097</v>
      </c>
      <c r="P13"/>
      <c r="Q13"/>
      <c r="R13"/>
      <c r="S13"/>
      <c r="T13"/>
      <c r="U13"/>
      <c r="V13"/>
      <c r="W13"/>
      <c r="X13"/>
    </row>
    <row r="14" spans="1:29" ht="13.5" thickBot="1" x14ac:dyDescent="0.25">
      <c r="A14" s="362" t="s">
        <v>140</v>
      </c>
      <c r="B14" s="236"/>
      <c r="C14" s="239">
        <f>((C15*C10)+(C16*C11)+(C12*C17)+(C13*C18))/SUM(C10:C13)</f>
        <v>17.316024432771023</v>
      </c>
      <c r="D14" s="224">
        <f t="shared" ref="D14:N18" si="3">C14</f>
        <v>17.316024432771023</v>
      </c>
      <c r="E14" s="224">
        <f t="shared" si="3"/>
        <v>17.316024432771023</v>
      </c>
      <c r="F14" s="224">
        <f t="shared" si="3"/>
        <v>17.316024432771023</v>
      </c>
      <c r="G14" s="224">
        <f t="shared" si="3"/>
        <v>17.316024432771023</v>
      </c>
      <c r="H14" s="224">
        <f t="shared" si="3"/>
        <v>17.316024432771023</v>
      </c>
      <c r="I14" s="224">
        <f t="shared" si="3"/>
        <v>17.316024432771023</v>
      </c>
      <c r="J14" s="224">
        <f t="shared" si="3"/>
        <v>17.316024432771023</v>
      </c>
      <c r="K14" s="224">
        <f t="shared" si="3"/>
        <v>17.316024432771023</v>
      </c>
      <c r="L14" s="224">
        <f t="shared" si="3"/>
        <v>17.316024432771023</v>
      </c>
      <c r="M14" s="224">
        <f t="shared" si="3"/>
        <v>17.316024432771023</v>
      </c>
      <c r="N14" s="366">
        <f t="shared" si="3"/>
        <v>17.316024432771023</v>
      </c>
      <c r="P14" s="297"/>
      <c r="Q14" s="298"/>
      <c r="R14" s="298"/>
      <c r="S14" s="298"/>
      <c r="T14" s="298"/>
      <c r="U14" s="298"/>
      <c r="V14" s="298"/>
      <c r="W14" s="298"/>
      <c r="X14" s="299"/>
    </row>
    <row r="15" spans="1:29" ht="13.5" thickBot="1" x14ac:dyDescent="0.25">
      <c r="A15" s="451" t="s">
        <v>1221</v>
      </c>
      <c r="B15" s="236"/>
      <c r="C15" s="371">
        <f>+$R$10</f>
        <v>52.122314049586777</v>
      </c>
      <c r="D15" s="367">
        <f>C15</f>
        <v>52.122314049586777</v>
      </c>
      <c r="E15" s="367">
        <f t="shared" si="3"/>
        <v>52.122314049586777</v>
      </c>
      <c r="F15" s="367">
        <f t="shared" si="3"/>
        <v>52.122314049586777</v>
      </c>
      <c r="G15" s="367">
        <f t="shared" si="3"/>
        <v>52.122314049586777</v>
      </c>
      <c r="H15" s="367">
        <f t="shared" si="3"/>
        <v>52.122314049586777</v>
      </c>
      <c r="I15" s="367">
        <f t="shared" si="3"/>
        <v>52.122314049586777</v>
      </c>
      <c r="J15" s="367">
        <f t="shared" si="3"/>
        <v>52.122314049586777</v>
      </c>
      <c r="K15" s="367">
        <f t="shared" si="3"/>
        <v>52.122314049586777</v>
      </c>
      <c r="L15" s="367">
        <f t="shared" si="3"/>
        <v>52.122314049586777</v>
      </c>
      <c r="M15" s="367">
        <f t="shared" si="3"/>
        <v>52.122314049586777</v>
      </c>
      <c r="N15" s="452">
        <f t="shared" si="3"/>
        <v>52.122314049586777</v>
      </c>
      <c r="P15" s="297"/>
      <c r="Q15" s="298"/>
      <c r="R15" s="298"/>
      <c r="S15" s="298"/>
      <c r="T15" s="298"/>
      <c r="U15" s="298"/>
      <c r="V15" s="298"/>
      <c r="W15" s="298"/>
      <c r="X15" s="299"/>
    </row>
    <row r="16" spans="1:29" s="11" customFormat="1" thickBot="1" x14ac:dyDescent="0.25">
      <c r="A16" s="451" t="s">
        <v>1222</v>
      </c>
      <c r="B16" s="236"/>
      <c r="C16" s="371">
        <f>+$S$10</f>
        <v>77.720967741935482</v>
      </c>
      <c r="D16" s="367">
        <f>C16</f>
        <v>77.720967741935482</v>
      </c>
      <c r="E16" s="367">
        <f t="shared" si="3"/>
        <v>77.720967741935482</v>
      </c>
      <c r="F16" s="367">
        <f t="shared" si="3"/>
        <v>77.720967741935482</v>
      </c>
      <c r="G16" s="367">
        <f t="shared" si="3"/>
        <v>77.720967741935482</v>
      </c>
      <c r="H16" s="367">
        <f t="shared" si="3"/>
        <v>77.720967741935482</v>
      </c>
      <c r="I16" s="367">
        <f t="shared" si="3"/>
        <v>77.720967741935482</v>
      </c>
      <c r="J16" s="367">
        <f t="shared" si="3"/>
        <v>77.720967741935482</v>
      </c>
      <c r="K16" s="367">
        <f t="shared" si="3"/>
        <v>77.720967741935482</v>
      </c>
      <c r="L16" s="367">
        <f t="shared" si="3"/>
        <v>77.720967741935482</v>
      </c>
      <c r="M16" s="367">
        <f t="shared" si="3"/>
        <v>77.720967741935482</v>
      </c>
      <c r="N16" s="452">
        <f t="shared" si="3"/>
        <v>77.720967741935482</v>
      </c>
      <c r="P16" s="303"/>
      <c r="Q16" s="1058" t="s">
        <v>1220</v>
      </c>
      <c r="R16" s="301" t="s">
        <v>1366</v>
      </c>
      <c r="S16" s="301" t="s">
        <v>1338</v>
      </c>
      <c r="T16" s="1047" t="s">
        <v>1339</v>
      </c>
      <c r="U16" s="1048"/>
      <c r="V16" s="1047" t="s">
        <v>1340</v>
      </c>
      <c r="W16" s="1048"/>
      <c r="X16" s="1049" t="s">
        <v>34</v>
      </c>
      <c r="Y16" s="1047" t="s">
        <v>1367</v>
      </c>
      <c r="Z16" s="1048"/>
      <c r="AA16" s="1047" t="s">
        <v>1368</v>
      </c>
      <c r="AB16" s="1048"/>
      <c r="AC16" s="1049" t="s">
        <v>34</v>
      </c>
    </row>
    <row r="17" spans="1:29" s="11" customFormat="1" ht="12" x14ac:dyDescent="0.2">
      <c r="A17" s="451" t="s">
        <v>1225</v>
      </c>
      <c r="B17" s="236"/>
      <c r="C17" s="371">
        <f>+$T$8</f>
        <v>34.535821661655788</v>
      </c>
      <c r="D17" s="367">
        <f>C17</f>
        <v>34.535821661655788</v>
      </c>
      <c r="E17" s="367">
        <f t="shared" si="3"/>
        <v>34.535821661655788</v>
      </c>
      <c r="F17" s="367">
        <f t="shared" si="3"/>
        <v>34.535821661655788</v>
      </c>
      <c r="G17" s="367">
        <f t="shared" si="3"/>
        <v>34.535821661655788</v>
      </c>
      <c r="H17" s="367">
        <f t="shared" si="3"/>
        <v>34.535821661655788</v>
      </c>
      <c r="I17" s="367">
        <f t="shared" si="3"/>
        <v>34.535821661655788</v>
      </c>
      <c r="J17" s="367">
        <f t="shared" si="3"/>
        <v>34.535821661655788</v>
      </c>
      <c r="K17" s="367">
        <f t="shared" si="3"/>
        <v>34.535821661655788</v>
      </c>
      <c r="L17" s="367">
        <f t="shared" si="3"/>
        <v>34.535821661655788</v>
      </c>
      <c r="M17" s="367">
        <f t="shared" si="3"/>
        <v>34.535821661655788</v>
      </c>
      <c r="N17" s="452">
        <f t="shared" si="3"/>
        <v>34.535821661655788</v>
      </c>
      <c r="P17" s="1061" t="s">
        <v>166</v>
      </c>
      <c r="Q17" s="1059"/>
      <c r="R17" s="302" t="s">
        <v>1363</v>
      </c>
      <c r="S17" s="302" t="s">
        <v>184</v>
      </c>
      <c r="T17" s="1052" t="s">
        <v>1358</v>
      </c>
      <c r="U17" s="304" t="s">
        <v>1223</v>
      </c>
      <c r="V17" s="1052" t="s">
        <v>1224</v>
      </c>
      <c r="W17" s="1052" t="s">
        <v>1226</v>
      </c>
      <c r="X17" s="1050"/>
      <c r="Y17" s="1052" t="s">
        <v>1358</v>
      </c>
      <c r="Z17" s="304" t="s">
        <v>1223</v>
      </c>
      <c r="AA17" s="1052" t="s">
        <v>1224</v>
      </c>
      <c r="AB17" s="1052" t="s">
        <v>1226</v>
      </c>
      <c r="AC17" s="1050"/>
    </row>
    <row r="18" spans="1:29" s="11" customFormat="1" thickBot="1" x14ac:dyDescent="0.25">
      <c r="A18" s="451" t="s">
        <v>1199</v>
      </c>
      <c r="B18" s="236"/>
      <c r="C18" s="371">
        <f>+$U$10</f>
        <v>3.2268578104271035</v>
      </c>
      <c r="D18" s="367">
        <f>C18</f>
        <v>3.2268578104271035</v>
      </c>
      <c r="E18" s="367">
        <f t="shared" si="3"/>
        <v>3.2268578104271035</v>
      </c>
      <c r="F18" s="367">
        <f t="shared" si="3"/>
        <v>3.2268578104271035</v>
      </c>
      <c r="G18" s="367">
        <f t="shared" si="3"/>
        <v>3.2268578104271035</v>
      </c>
      <c r="H18" s="367">
        <f t="shared" si="3"/>
        <v>3.2268578104271035</v>
      </c>
      <c r="I18" s="367">
        <f t="shared" si="3"/>
        <v>3.2268578104271035</v>
      </c>
      <c r="J18" s="367">
        <f t="shared" si="3"/>
        <v>3.2268578104271035</v>
      </c>
      <c r="K18" s="367">
        <f t="shared" si="3"/>
        <v>3.2268578104271035</v>
      </c>
      <c r="L18" s="367">
        <f t="shared" si="3"/>
        <v>3.2268578104271035</v>
      </c>
      <c r="M18" s="367">
        <f t="shared" si="3"/>
        <v>3.2268578104271035</v>
      </c>
      <c r="N18" s="452">
        <f t="shared" si="3"/>
        <v>3.2268578104271035</v>
      </c>
      <c r="P18" s="1062"/>
      <c r="Q18" s="1060"/>
      <c r="R18" s="305" t="s">
        <v>1294</v>
      </c>
      <c r="S18" s="305" t="s">
        <v>1294</v>
      </c>
      <c r="T18" s="1053"/>
      <c r="U18" s="306" t="s">
        <v>1360</v>
      </c>
      <c r="V18" s="1053"/>
      <c r="W18" s="1053"/>
      <c r="X18" s="1051"/>
      <c r="Y18" s="1053"/>
      <c r="Z18" s="306" t="s">
        <v>1360</v>
      </c>
      <c r="AA18" s="1053"/>
      <c r="AB18" s="1053"/>
      <c r="AC18" s="1051"/>
    </row>
    <row r="19" spans="1:29" ht="13.5" thickBot="1" x14ac:dyDescent="0.25">
      <c r="A19" s="221" t="s">
        <v>141</v>
      </c>
      <c r="B19" s="15"/>
      <c r="C19" s="15">
        <f t="shared" ref="C19:L19" si="4">((C18*C13)+(C17*C12)+(C16*C11))*C8</f>
        <v>255434.96836579588</v>
      </c>
      <c r="D19" s="15">
        <f t="shared" si="4"/>
        <v>255434.96836579588</v>
      </c>
      <c r="E19" s="15">
        <f t="shared" si="4"/>
        <v>255434.96836579588</v>
      </c>
      <c r="F19" s="15">
        <f t="shared" si="4"/>
        <v>255434.96836579588</v>
      </c>
      <c r="G19" s="15">
        <f t="shared" si="4"/>
        <v>255434.96836579588</v>
      </c>
      <c r="H19" s="15">
        <f t="shared" si="4"/>
        <v>255434.96836579588</v>
      </c>
      <c r="I19" s="15">
        <f t="shared" si="4"/>
        <v>255434.96836579588</v>
      </c>
      <c r="J19" s="15">
        <f t="shared" si="4"/>
        <v>255434.96836579588</v>
      </c>
      <c r="K19" s="15">
        <f t="shared" si="4"/>
        <v>255434.96836579588</v>
      </c>
      <c r="L19" s="15">
        <f t="shared" si="4"/>
        <v>255434.96836579588</v>
      </c>
      <c r="M19" s="409">
        <f>+L19*10</f>
        <v>2554349.6836579586</v>
      </c>
      <c r="N19" s="414">
        <f>+M19</f>
        <v>2554349.6836579586</v>
      </c>
      <c r="O19" s="17">
        <v>1</v>
      </c>
      <c r="P19" s="307" t="str">
        <f>+'Statistics of Interest'!B47</f>
        <v>Mohammedia</v>
      </c>
      <c r="Q19" s="419">
        <f>+'Statistics of Interest'!C47</f>
        <v>135</v>
      </c>
      <c r="R19" s="413">
        <f>+'Statistics of Interest'!D47</f>
        <v>1069.605</v>
      </c>
      <c r="S19" s="413">
        <f>+'Statistics of Interest'!E47</f>
        <v>25.615822999999999</v>
      </c>
      <c r="T19" s="352">
        <f>+'Statistics of Interest'!F47</f>
        <v>0</v>
      </c>
      <c r="U19" s="353">
        <f>+'Statistics of Interest'!G47</f>
        <v>21</v>
      </c>
      <c r="V19" s="360">
        <f>+'Statistics of Interest'!H47</f>
        <v>64</v>
      </c>
      <c r="W19" s="353">
        <f>+'Statistics of Interest'!I47</f>
        <v>15</v>
      </c>
      <c r="X19" s="361">
        <f>+'Statistics of Interest'!J47</f>
        <v>100</v>
      </c>
      <c r="Y19" s="417">
        <f>+'Statistics of Interest'!K47</f>
        <v>0</v>
      </c>
      <c r="Z19" s="417">
        <f>+'Statistics of Interest'!L47</f>
        <v>3.688424007344024</v>
      </c>
      <c r="AA19" s="418">
        <f>+'Statistics of Interest'!M47</f>
        <v>38.980713968063455</v>
      </c>
      <c r="AB19" s="417">
        <f>+'Statistics of Interest'!N47</f>
        <v>63.455778286640097</v>
      </c>
      <c r="AC19" s="361">
        <f>SUM(Y19:AB19)</f>
        <v>106.12491626204758</v>
      </c>
    </row>
    <row r="20" spans="1:29" ht="13.5" thickBot="1" x14ac:dyDescent="0.25">
      <c r="A20" s="453" t="s">
        <v>1227</v>
      </c>
      <c r="B20" s="454"/>
      <c r="C20" s="455">
        <f>+'Boat Costs'!$D$13</f>
        <v>211783.32749196139</v>
      </c>
      <c r="D20" s="456">
        <f>+C20</f>
        <v>211783.32749196139</v>
      </c>
      <c r="E20" s="456">
        <f t="shared" ref="E20:L20" si="5">+D20</f>
        <v>211783.32749196139</v>
      </c>
      <c r="F20" s="456">
        <f t="shared" si="5"/>
        <v>211783.32749196139</v>
      </c>
      <c r="G20" s="456">
        <f t="shared" si="5"/>
        <v>211783.32749196139</v>
      </c>
      <c r="H20" s="456">
        <f t="shared" si="5"/>
        <v>211783.32749196139</v>
      </c>
      <c r="I20" s="456">
        <f t="shared" si="5"/>
        <v>211783.32749196139</v>
      </c>
      <c r="J20" s="456">
        <f t="shared" si="5"/>
        <v>211783.32749196139</v>
      </c>
      <c r="K20" s="456">
        <f t="shared" si="5"/>
        <v>211783.32749196139</v>
      </c>
      <c r="L20" s="456">
        <f t="shared" si="5"/>
        <v>211783.32749196139</v>
      </c>
      <c r="M20" s="456">
        <f>+L20*10</f>
        <v>2117833.2749196137</v>
      </c>
      <c r="N20" s="457">
        <f>+M20</f>
        <v>2117833.2749196137</v>
      </c>
      <c r="O20" s="17">
        <v>2</v>
      </c>
      <c r="P20" s="307" t="str">
        <f>+'Statistics of Interest'!B48</f>
        <v>Safi</v>
      </c>
      <c r="Q20" s="419">
        <f>+'Statistics of Interest'!C48</f>
        <v>500</v>
      </c>
      <c r="R20" s="413">
        <f>+'Statistics of Interest'!D48</f>
        <v>2679</v>
      </c>
      <c r="S20" s="413">
        <f>+'Statistics of Interest'!E48</f>
        <v>91.807193999999996</v>
      </c>
      <c r="T20" s="353">
        <f>+'Statistics of Interest'!F48</f>
        <v>45</v>
      </c>
      <c r="U20" s="353">
        <f>+'Statistics of Interest'!G48</f>
        <v>12</v>
      </c>
      <c r="V20" s="360">
        <f>+'Statistics of Interest'!H48</f>
        <v>38</v>
      </c>
      <c r="W20" s="353">
        <f>+'Statistics of Interest'!I48</f>
        <v>5</v>
      </c>
      <c r="X20" s="361">
        <f>+'Statistics of Interest'!J48</f>
        <v>100</v>
      </c>
      <c r="Y20" s="417">
        <f>+'Statistics of Interest'!K48</f>
        <v>13.905630439826021</v>
      </c>
      <c r="Z20" s="417">
        <f>+'Statistics of Interest'!L48</f>
        <v>2.4868231672005878</v>
      </c>
      <c r="AA20" s="418">
        <f>+'Statistics of Interest'!M48</f>
        <v>27.308354073007699</v>
      </c>
      <c r="AB20" s="417">
        <f>+'Statistics of Interest'!N48</f>
        <v>24.956980148167812</v>
      </c>
      <c r="AC20" s="361">
        <f t="shared" ref="AC20:AC28" si="6">SUM(Y20:AB20)</f>
        <v>68.657787828202117</v>
      </c>
    </row>
    <row r="21" spans="1:29" ht="16.5" thickBot="1" x14ac:dyDescent="0.3">
      <c r="A21" s="1054" t="s">
        <v>124</v>
      </c>
      <c r="B21" s="1055"/>
      <c r="C21" s="1055"/>
      <c r="D21" s="1055"/>
      <c r="E21" s="1055"/>
      <c r="F21" s="1055"/>
      <c r="G21" s="1055"/>
      <c r="H21" s="1055"/>
      <c r="I21" s="1055"/>
      <c r="J21" s="1055"/>
      <c r="K21" s="1055"/>
      <c r="L21" s="458"/>
      <c r="M21" s="458"/>
      <c r="N21" s="459"/>
      <c r="O21" s="17">
        <v>3</v>
      </c>
      <c r="P21" s="307" t="str">
        <f>+'Statistics of Interest'!B49</f>
        <v>Agadir</v>
      </c>
      <c r="Q21" s="419">
        <f>+'Statistics of Interest'!C49</f>
        <v>459</v>
      </c>
      <c r="R21" s="413">
        <f>+'Statistics of Interest'!D49</f>
        <v>11502.54</v>
      </c>
      <c r="S21" s="413">
        <f>+'Statistics of Interest'!E49</f>
        <v>130.08054899999999</v>
      </c>
      <c r="T21" s="353">
        <f>+'Statistics of Interest'!F49</f>
        <v>15</v>
      </c>
      <c r="U21" s="353">
        <f>+'Statistics of Interest'!G49</f>
        <v>11</v>
      </c>
      <c r="V21" s="360">
        <f>+'Statistics of Interest'!H49</f>
        <v>34</v>
      </c>
      <c r="W21" s="353">
        <f>+'Statistics of Interest'!I49</f>
        <v>40</v>
      </c>
      <c r="X21" s="361">
        <f>+'Statistics of Interest'!J49</f>
        <v>100</v>
      </c>
      <c r="Y21" s="417">
        <f>+'Statistics of Interest'!K49</f>
        <v>4.5563199704401107</v>
      </c>
      <c r="Z21" s="417">
        <f>+'Statistics of Interest'!L49</f>
        <v>2.2407898583906323</v>
      </c>
      <c r="AA21" s="418">
        <f>+'Statistics of Interest'!M49</f>
        <v>24.017933173552894</v>
      </c>
      <c r="AB21" s="417">
        <f>+'Statistics of Interest'!N49</f>
        <v>196.25774617217073</v>
      </c>
      <c r="AC21" s="361">
        <f t="shared" si="6"/>
        <v>227.07278917455437</v>
      </c>
    </row>
    <row r="22" spans="1:29" ht="13.5" thickBot="1" x14ac:dyDescent="0.25">
      <c r="A22" s="217"/>
      <c r="B22" s="218" t="s">
        <v>125</v>
      </c>
      <c r="C22" s="219" t="s">
        <v>126</v>
      </c>
      <c r="D22" s="219" t="s">
        <v>127</v>
      </c>
      <c r="E22" s="219" t="s">
        <v>128</v>
      </c>
      <c r="F22" s="219" t="s">
        <v>129</v>
      </c>
      <c r="G22" s="219" t="s">
        <v>130</v>
      </c>
      <c r="H22" s="219" t="s">
        <v>131</v>
      </c>
      <c r="I22" s="219" t="s">
        <v>132</v>
      </c>
      <c r="J22" s="219" t="s">
        <v>133</v>
      </c>
      <c r="K22" s="219" t="s">
        <v>134</v>
      </c>
      <c r="L22" s="219" t="s">
        <v>135</v>
      </c>
      <c r="M22" s="219" t="s">
        <v>136</v>
      </c>
      <c r="N22" s="220" t="s">
        <v>137</v>
      </c>
      <c r="O22" s="11">
        <v>4</v>
      </c>
      <c r="P22" s="307" t="str">
        <f>+'Statistics of Interest'!B52</f>
        <v>Tan-Tan</v>
      </c>
      <c r="Q22" s="419">
        <f>+'Statistics of Interest'!C52</f>
        <v>190</v>
      </c>
      <c r="R22" s="413">
        <f>+'Statistics of Interest'!D52</f>
        <v>2152</v>
      </c>
      <c r="S22" s="413">
        <f>+'Statistics of Interest'!E52</f>
        <v>61</v>
      </c>
      <c r="T22" s="353">
        <f>+'Statistics of Interest'!F52</f>
        <v>15</v>
      </c>
      <c r="U22" s="353">
        <f>+'Statistics of Interest'!G52</f>
        <v>20</v>
      </c>
      <c r="V22" s="353">
        <f>+'Statistics of Interest'!H52</f>
        <v>62.5</v>
      </c>
      <c r="W22" s="353">
        <f>+'Statistics of Interest'!I52</f>
        <v>3</v>
      </c>
      <c r="X22" s="361">
        <f>+'Statistics of Interest'!J52</f>
        <v>100</v>
      </c>
      <c r="Y22" s="417">
        <f>+'Statistics of Interest'!K52</f>
        <v>11.131808128991953</v>
      </c>
      <c r="Z22" s="417">
        <f>+'Statistics of Interest'!L52</f>
        <v>9.9538235493173985</v>
      </c>
      <c r="AA22" s="417">
        <f>+'Statistics of Interest'!M52</f>
        <v>107.86690789383175</v>
      </c>
      <c r="AB22" s="417">
        <f>+'Statistics of Interest'!N52</f>
        <v>35.961646488679015</v>
      </c>
      <c r="AC22" s="361">
        <f t="shared" si="6"/>
        <v>164.9141860608201</v>
      </c>
    </row>
    <row r="23" spans="1:29" ht="13.5" thickBot="1" x14ac:dyDescent="0.25">
      <c r="A23" s="255" t="s">
        <v>1228</v>
      </c>
      <c r="B23" s="229"/>
      <c r="C23" s="233"/>
      <c r="D23" s="233"/>
      <c r="E23" s="233"/>
      <c r="F23" s="233"/>
      <c r="G23" s="233"/>
      <c r="H23" s="233"/>
      <c r="I23" s="233"/>
      <c r="J23" s="233"/>
      <c r="K23" s="233"/>
      <c r="L23" s="233"/>
      <c r="M23" s="233"/>
      <c r="N23" s="256"/>
      <c r="O23" s="11">
        <v>5</v>
      </c>
      <c r="P23" s="307" t="str">
        <f>+'Statistics of Interest'!B50</f>
        <v>Sidi Ifni</v>
      </c>
      <c r="Q23" s="419">
        <f>+'Statistics of Interest'!C50</f>
        <v>214</v>
      </c>
      <c r="R23" s="413">
        <f>+'Statistics of Interest'!D50</f>
        <v>4519.68</v>
      </c>
      <c r="S23" s="413">
        <f>+'Statistics of Interest'!E50</f>
        <v>55.261930999999997</v>
      </c>
      <c r="T23" s="353">
        <f>+'Statistics of Interest'!F50</f>
        <v>36</v>
      </c>
      <c r="U23" s="353">
        <f>+'Statistics of Interest'!G50</f>
        <v>21</v>
      </c>
      <c r="V23" s="360">
        <f>+'Statistics of Interest'!H50</f>
        <v>23</v>
      </c>
      <c r="W23" s="353">
        <f>+'Statistics of Interest'!I50</f>
        <v>20</v>
      </c>
      <c r="X23" s="361">
        <f>+'Statistics of Interest'!J50</f>
        <v>100</v>
      </c>
      <c r="Y23" s="417">
        <f>+'Statistics of Interest'!K50</f>
        <v>13.934170663320158</v>
      </c>
      <c r="Z23" s="417">
        <f>+'Statistics of Interest'!L50</f>
        <v>5.451090702039358</v>
      </c>
      <c r="AA23" s="418">
        <f>+'Statistics of Interest'!M50</f>
        <v>20.703330719989165</v>
      </c>
      <c r="AB23" s="417">
        <f>+'Statistics of Interest'!N50</f>
        <v>125.04101203124398</v>
      </c>
      <c r="AC23" s="361">
        <f t="shared" si="6"/>
        <v>165.12960411659265</v>
      </c>
    </row>
    <row r="24" spans="1:29" ht="13.5" thickBot="1" x14ac:dyDescent="0.25">
      <c r="A24" s="257" t="str">
        <f>A8</f>
        <v xml:space="preserve">  - Days</v>
      </c>
      <c r="B24" s="234"/>
      <c r="C24" s="225">
        <f>C8*(1+Assumptions!$Q$6)</f>
        <v>145.95000000000002</v>
      </c>
      <c r="D24" s="225">
        <f>D8*(1+Assumptions!$Q$6)</f>
        <v>145.95000000000002</v>
      </c>
      <c r="E24" s="225">
        <f>E8*(1+Assumptions!$Q$6)</f>
        <v>145.95000000000002</v>
      </c>
      <c r="F24" s="225">
        <f>F8*(1+Assumptions!$Q$6)</f>
        <v>145.95000000000002</v>
      </c>
      <c r="G24" s="225">
        <f>G8*(1+Assumptions!$Q$6)</f>
        <v>145.95000000000002</v>
      </c>
      <c r="H24" s="225">
        <f>H8*(1+Assumptions!$Q$6)</f>
        <v>145.95000000000002</v>
      </c>
      <c r="I24" s="225">
        <f>I8*(1+Assumptions!$Q$6)</f>
        <v>145.95000000000002</v>
      </c>
      <c r="J24" s="225">
        <f>J8*(1+Assumptions!$Q$6)</f>
        <v>145.95000000000002</v>
      </c>
      <c r="K24" s="225">
        <f>K8*(1+Assumptions!$Q$6)</f>
        <v>145.95000000000002</v>
      </c>
      <c r="L24" s="225">
        <f>L8*(1+Assumptions!$Q$6)</f>
        <v>145.95000000000002</v>
      </c>
      <c r="M24" s="225">
        <f>M8*(1+Assumptions!$Q$6)</f>
        <v>1459.5</v>
      </c>
      <c r="N24" s="226">
        <f>N8*(1+Assumptions!$Q$6)</f>
        <v>1459.5</v>
      </c>
      <c r="O24" s="11">
        <v>6</v>
      </c>
      <c r="P24" s="307" t="str">
        <f>+'Statistics of Interest'!B51</f>
        <v>Tarfaya</v>
      </c>
      <c r="Q24" s="419">
        <f>+'Statistics of Interest'!C51</f>
        <v>300</v>
      </c>
      <c r="R24" s="413">
        <f>+'Statistics of Interest'!D51</f>
        <v>1294.8</v>
      </c>
      <c r="S24" s="413">
        <f>+'Statistics of Interest'!E51</f>
        <v>60.493918999999998</v>
      </c>
      <c r="T24" s="353">
        <f>+'Statistics of Interest'!F51</f>
        <v>30</v>
      </c>
      <c r="U24" s="353">
        <f>+'Statistics of Interest'!G51</f>
        <v>12</v>
      </c>
      <c r="V24" s="353">
        <f>+'Statistics of Interest'!H51</f>
        <v>58</v>
      </c>
      <c r="W24" s="352">
        <f>+'Statistics of Interest'!I51</f>
        <v>0</v>
      </c>
      <c r="X24" s="361">
        <f>+'Statistics of Interest'!J51</f>
        <v>100</v>
      </c>
      <c r="Y24" s="417">
        <f>+'Statistics of Interest'!K51</f>
        <v>13.983308509614023</v>
      </c>
      <c r="Z24" s="417">
        <f>+'Statistics of Interest'!L51</f>
        <v>3.7510721688922248</v>
      </c>
      <c r="AA24" s="417">
        <f>+'Statistics of Interest'!M51</f>
        <v>62.871010026480697</v>
      </c>
      <c r="AB24" s="417">
        <f>+'Statistics of Interest'!N51</f>
        <v>0</v>
      </c>
      <c r="AC24" s="361">
        <f t="shared" si="6"/>
        <v>80.605390704986945</v>
      </c>
    </row>
    <row r="25" spans="1:29" ht="13.5" thickBot="1" x14ac:dyDescent="0.25">
      <c r="A25" s="257" t="str">
        <f>A9</f>
        <v xml:space="preserve">  - Catch per boat trip in kg </v>
      </c>
      <c r="B25" s="234"/>
      <c r="C25" s="477">
        <f>+C9*(1+(Assumptions!$Q$8+Assumptions!B$30))</f>
        <v>106.12491626204758</v>
      </c>
      <c r="D25" s="477">
        <f>+D9*(1+(Assumptions!$Q$8+Assumptions!C$30))</f>
        <v>106.12491626204758</v>
      </c>
      <c r="E25" s="477">
        <f>+E9*(1+(Assumptions!$Q$8+Assumptions!D$30))</f>
        <v>106.12491626204758</v>
      </c>
      <c r="F25" s="477">
        <f>+F9*(1+(Assumptions!$Q$8+Assumptions!E$30))</f>
        <v>106.12491626204758</v>
      </c>
      <c r="G25" s="477">
        <f>+G9*(1+(Assumptions!$Q$8+Assumptions!F$30))</f>
        <v>106.12491626204758</v>
      </c>
      <c r="H25" s="477">
        <f>+H9*(1+(Assumptions!$Q$8+Assumptions!G$30))</f>
        <v>106.12491626204758</v>
      </c>
      <c r="I25" s="477">
        <f>+I9*(1+(Assumptions!$Q$8+Assumptions!H$30))</f>
        <v>106.12491626204758</v>
      </c>
      <c r="J25" s="477">
        <f>+J9*(1+(Assumptions!$Q$8+Assumptions!I$30))</f>
        <v>106.12491626204758</v>
      </c>
      <c r="K25" s="477">
        <f>+K9*(1+(Assumptions!$Q$8+Assumptions!J$30))</f>
        <v>106.12491626204758</v>
      </c>
      <c r="L25" s="477">
        <f>+L9*(1+(Assumptions!$Q$8+Assumptions!K$30))</f>
        <v>106.12491626204758</v>
      </c>
      <c r="M25" s="477">
        <f>+M9*(1+(Assumptions!$Q$8+Assumptions!L$30))</f>
        <v>106.12491626204758</v>
      </c>
      <c r="N25" s="477">
        <f>+N9*(1+(Assumptions!$Q$8+Assumptions!M$30))</f>
        <v>106.12491626204758</v>
      </c>
      <c r="O25" s="17">
        <v>7</v>
      </c>
      <c r="P25" s="307" t="str">
        <f>+'Statistics of Interest'!B42</f>
        <v>Ras Kebdana</v>
      </c>
      <c r="Q25" s="419">
        <f>+'Statistics of Interest'!C42</f>
        <v>56</v>
      </c>
      <c r="R25" s="413">
        <f>+'Statistics of Interest'!D42</f>
        <v>150.416</v>
      </c>
      <c r="S25" s="413">
        <f>+'Statistics of Interest'!E42</f>
        <v>5.56372</v>
      </c>
      <c r="T25" s="353">
        <f>+'Statistics of Interest'!F42</f>
        <v>60</v>
      </c>
      <c r="U25" s="352">
        <f>+'Statistics of Interest'!G42</f>
        <v>0</v>
      </c>
      <c r="V25" s="353">
        <f>+'Statistics of Interest'!H42</f>
        <v>40</v>
      </c>
      <c r="W25" s="352">
        <f>+'Statistics of Interest'!I42</f>
        <v>0</v>
      </c>
      <c r="X25" s="361">
        <f>+'Statistics of Interest'!J42</f>
        <v>100</v>
      </c>
      <c r="Y25" s="417">
        <f>+'Statistics of Interest'!K42</f>
        <v>7.238485576175937</v>
      </c>
      <c r="Z25" s="416">
        <f>+'Statistics of Interest'!L42</f>
        <v>0</v>
      </c>
      <c r="AA25" s="417">
        <f>+'Statistics of Interest'!M42</f>
        <v>11.222515485550751</v>
      </c>
      <c r="AB25" s="417">
        <f>+'Statistics of Interest'!N42</f>
        <v>0</v>
      </c>
      <c r="AC25" s="361">
        <f t="shared" si="6"/>
        <v>18.461001061726687</v>
      </c>
    </row>
    <row r="26" spans="1:29" ht="13.5" thickBot="1" x14ac:dyDescent="0.25">
      <c r="A26" s="451" t="s">
        <v>1221</v>
      </c>
      <c r="B26" s="234"/>
      <c r="C26" s="238"/>
      <c r="D26" s="225"/>
      <c r="E26" s="225"/>
      <c r="F26" s="225"/>
      <c r="G26" s="225"/>
      <c r="H26" s="225"/>
      <c r="I26" s="225"/>
      <c r="J26" s="225"/>
      <c r="K26" s="225"/>
      <c r="L26" s="225"/>
      <c r="M26" s="225"/>
      <c r="N26" s="226"/>
      <c r="O26" s="17">
        <v>8</v>
      </c>
      <c r="P26" s="307" t="str">
        <f>+'Statistics of Interest'!B45</f>
        <v>Larache</v>
      </c>
      <c r="Q26" s="419">
        <f>+'Statistics of Interest'!C45</f>
        <v>109</v>
      </c>
      <c r="R26" s="413">
        <f>+'Statistics of Interest'!D45</f>
        <v>965.19500000000005</v>
      </c>
      <c r="S26" s="413">
        <f>+'Statistics of Interest'!E45</f>
        <v>21.566168000000001</v>
      </c>
      <c r="T26" s="353">
        <f>+'Statistics of Interest'!F45</f>
        <v>5</v>
      </c>
      <c r="U26" s="353">
        <f>+'Statistics of Interest'!G45</f>
        <v>21</v>
      </c>
      <c r="V26" s="360">
        <f>+'Statistics of Interest'!H45</f>
        <v>64</v>
      </c>
      <c r="W26" s="353">
        <f>+'Statistics of Interest'!I45</f>
        <v>10</v>
      </c>
      <c r="X26" s="361">
        <f>+'Statistics of Interest'!J45</f>
        <v>100</v>
      </c>
      <c r="Y26" s="417">
        <f>+'Statistics of Interest'!K45</f>
        <v>1.1788727412984061</v>
      </c>
      <c r="Z26" s="417">
        <f>+'Statistics of Interest'!L45</f>
        <v>3.3204863955374493</v>
      </c>
      <c r="AA26" s="418">
        <f>+'Statistics of Interest'!M45</f>
        <v>35.092204736107703</v>
      </c>
      <c r="AB26" s="417">
        <f>+'Statistics of Interest'!N45</f>
        <v>38.083844319325571</v>
      </c>
      <c r="AC26" s="361">
        <f t="shared" si="6"/>
        <v>77.675408192269131</v>
      </c>
    </row>
    <row r="27" spans="1:29" s="11" customFormat="1" ht="13.5" thickBot="1" x14ac:dyDescent="0.25">
      <c r="A27" s="451" t="s">
        <v>1222</v>
      </c>
      <c r="B27" s="234"/>
      <c r="C27" s="238"/>
      <c r="D27" s="238"/>
      <c r="E27" s="238"/>
      <c r="F27" s="238"/>
      <c r="G27" s="238"/>
      <c r="H27" s="238"/>
      <c r="I27" s="238"/>
      <c r="J27" s="238"/>
      <c r="K27" s="238"/>
      <c r="L27" s="238"/>
      <c r="M27" s="238"/>
      <c r="N27" s="259"/>
      <c r="O27" s="17">
        <v>9</v>
      </c>
      <c r="P27" s="307" t="str">
        <f>+'Statistics of Interest'!B43</f>
        <v>El Hoceima</v>
      </c>
      <c r="Q27" s="419">
        <f>+'Statistics of Interest'!C43</f>
        <v>124</v>
      </c>
      <c r="R27" s="413">
        <f>+'Statistics of Interest'!D43</f>
        <v>830.428</v>
      </c>
      <c r="S27" s="413">
        <f>+'Statistics of Interest'!E43</f>
        <v>15.69956</v>
      </c>
      <c r="T27" s="353">
        <f>+'Statistics of Interest'!F43</f>
        <v>27</v>
      </c>
      <c r="U27" s="352">
        <f>+'Statistics of Interest'!G43</f>
        <v>0</v>
      </c>
      <c r="V27" s="353">
        <f>+'Statistics of Interest'!H43</f>
        <v>51</v>
      </c>
      <c r="W27" s="353">
        <f>+'Statistics of Interest'!I43</f>
        <v>22</v>
      </c>
      <c r="X27" s="361">
        <f>+'Statistics of Interest'!J43</f>
        <v>100</v>
      </c>
      <c r="Y27" s="417">
        <f>+'Statistics of Interest'!K43</f>
        <v>3.623491913298043</v>
      </c>
      <c r="Z27" s="416">
        <f>+'Statistics of Interest'!L43</f>
        <v>0</v>
      </c>
      <c r="AA27" s="417">
        <f>+'Statistics of Interest'!M43</f>
        <v>15.917229107612346</v>
      </c>
      <c r="AB27" s="417">
        <f>+'Statistics of Interest'!N43</f>
        <v>47.69030202185882</v>
      </c>
      <c r="AC27" s="361">
        <f t="shared" si="6"/>
        <v>67.231023042769209</v>
      </c>
    </row>
    <row r="28" spans="1:29" s="11" customFormat="1" ht="13.5" thickBot="1" x14ac:dyDescent="0.25">
      <c r="A28" s="451" t="s">
        <v>1225</v>
      </c>
      <c r="B28" s="234"/>
      <c r="C28" s="238"/>
      <c r="D28" s="238"/>
      <c r="E28" s="238"/>
      <c r="F28" s="238"/>
      <c r="G28" s="238"/>
      <c r="H28" s="238"/>
      <c r="I28" s="238"/>
      <c r="J28" s="238"/>
      <c r="K28" s="238"/>
      <c r="L28" s="238"/>
      <c r="M28" s="238"/>
      <c r="N28" s="259"/>
      <c r="O28" s="17">
        <v>10</v>
      </c>
      <c r="P28" s="307" t="str">
        <f>+'Statistics of Interest'!B44</f>
        <v>Jebha</v>
      </c>
      <c r="Q28" s="419">
        <f>+'Statistics of Interest'!C44</f>
        <v>59</v>
      </c>
      <c r="R28" s="413">
        <f>+'Statistics of Interest'!D44</f>
        <v>215.232</v>
      </c>
      <c r="S28" s="413">
        <f>+'Statistics of Interest'!E44</f>
        <v>5.5969749999999996</v>
      </c>
      <c r="T28" s="353">
        <f>+'Statistics of Interest'!F44</f>
        <v>70</v>
      </c>
      <c r="U28" s="352">
        <f>+'Statistics of Interest'!G44</f>
        <v>0</v>
      </c>
      <c r="V28" s="353">
        <f>+'Statistics of Interest'!H44</f>
        <v>20</v>
      </c>
      <c r="W28" s="353">
        <f>+'Statistics of Interest'!I44</f>
        <v>10</v>
      </c>
      <c r="X28" s="361">
        <f>+'Statistics of Interest'!J44</f>
        <v>100</v>
      </c>
      <c r="Y28" s="417">
        <f>+'Statistics of Interest'!K44</f>
        <v>6.6355125985103873</v>
      </c>
      <c r="Z28" s="416">
        <f>+'Statistics of Interest'!L44</f>
        <v>0</v>
      </c>
      <c r="AA28" s="417">
        <f>+'Statistics of Interest'!M44</f>
        <v>4.4090009539590511</v>
      </c>
      <c r="AB28" s="417">
        <f>+'Statistics of Interest'!N44</f>
        <v>15.311590224395442</v>
      </c>
      <c r="AC28" s="361">
        <f t="shared" si="6"/>
        <v>26.356103776864881</v>
      </c>
    </row>
    <row r="29" spans="1:29" s="11" customFormat="1" ht="13.5" thickBot="1" x14ac:dyDescent="0.25">
      <c r="A29" s="451" t="s">
        <v>1199</v>
      </c>
      <c r="B29" s="234"/>
      <c r="C29" s="238"/>
      <c r="D29" s="238"/>
      <c r="E29" s="238"/>
      <c r="F29" s="238"/>
      <c r="G29" s="238"/>
      <c r="H29" s="238"/>
      <c r="I29" s="238"/>
      <c r="J29" s="238"/>
      <c r="K29" s="238"/>
      <c r="L29" s="238"/>
      <c r="M29" s="238"/>
      <c r="N29" s="259"/>
      <c r="O29" s="17">
        <v>11</v>
      </c>
      <c r="P29" s="307" t="str">
        <f>+'Statistics of Interest'!B46</f>
        <v>Mehdia</v>
      </c>
      <c r="Q29" s="419">
        <f>+'Statistics of Interest'!C46</f>
        <v>126</v>
      </c>
      <c r="R29" s="413">
        <f>+'Statistics of Interest'!D46</f>
        <v>1398.222</v>
      </c>
      <c r="S29" s="413">
        <f>+'Statistics of Interest'!E46</f>
        <v>26.294965000000001</v>
      </c>
      <c r="T29" s="353">
        <f>+'Statistics of Interest'!F46</f>
        <v>5</v>
      </c>
      <c r="U29" s="353">
        <f>+'Statistics of Interest'!G46</f>
        <v>24</v>
      </c>
      <c r="V29" s="353">
        <f>+'Statistics of Interest'!H46</f>
        <v>50</v>
      </c>
      <c r="W29" s="353">
        <f>+'Statistics of Interest'!I46</f>
        <v>21</v>
      </c>
      <c r="X29" s="361">
        <f>+'Statistics of Interest'!J46</f>
        <v>100</v>
      </c>
      <c r="Y29" s="417">
        <f>+'Statistics of Interest'!K46</f>
        <v>1.4612610237829557</v>
      </c>
      <c r="Z29" s="417">
        <f>+'Statistics of Interest'!L46</f>
        <v>4.7038615109126294</v>
      </c>
      <c r="AA29" s="417">
        <f>+'Statistics of Interest'!M46</f>
        <v>33.982987798877758</v>
      </c>
      <c r="AB29" s="417">
        <f>+'Statistics of Interest'!N46</f>
        <v>99.133616648516195</v>
      </c>
      <c r="AC29" s="311">
        <v>100</v>
      </c>
    </row>
    <row r="30" spans="1:29" x14ac:dyDescent="0.2">
      <c r="A30" s="257" t="str">
        <f>A14</f>
        <v xml:space="preserve">  - Average price of sales in dh/kg</v>
      </c>
      <c r="B30" s="234"/>
      <c r="C30" s="239">
        <f>+C14*(1+(Assumptions!$Q$7))</f>
        <v>17.662344921426445</v>
      </c>
      <c r="D30" s="239">
        <f>+D14*(1+(Assumptions!$Q$7))</f>
        <v>17.662344921426445</v>
      </c>
      <c r="E30" s="239">
        <f>+E14*(1+(Assumptions!$Q$7))</f>
        <v>17.662344921426445</v>
      </c>
      <c r="F30" s="239">
        <f>+F14*(1+(Assumptions!$Q$7))</f>
        <v>17.662344921426445</v>
      </c>
      <c r="G30" s="239">
        <f>+G14*(1+(Assumptions!$Q$7))</f>
        <v>17.662344921426445</v>
      </c>
      <c r="H30" s="239">
        <f>+H14*(1+(Assumptions!$Q$7))</f>
        <v>17.662344921426445</v>
      </c>
      <c r="I30" s="239">
        <f>+I14*(1+(Assumptions!$Q$7))</f>
        <v>17.662344921426445</v>
      </c>
      <c r="J30" s="239">
        <f>+J14*(1+(Assumptions!$Q$7))</f>
        <v>17.662344921426445</v>
      </c>
      <c r="K30" s="239">
        <f>+K14*(1+(Assumptions!$Q$7))</f>
        <v>17.662344921426445</v>
      </c>
      <c r="L30" s="239">
        <f>+L14*(1+(Assumptions!$Q$7))</f>
        <v>17.662344921426445</v>
      </c>
      <c r="M30" s="239">
        <f>+M14*(1+(Assumptions!$Q$7))</f>
        <v>17.662344921426445</v>
      </c>
      <c r="N30" s="239">
        <f>+N14*(1+(Assumptions!$Q$7))</f>
        <v>17.662344921426445</v>
      </c>
    </row>
    <row r="31" spans="1:29" x14ac:dyDescent="0.2">
      <c r="A31" s="451" t="s">
        <v>1221</v>
      </c>
      <c r="B31" s="236"/>
      <c r="C31" s="237"/>
      <c r="D31" s="237"/>
      <c r="E31" s="237"/>
      <c r="F31" s="237"/>
      <c r="G31" s="237"/>
      <c r="H31" s="237"/>
      <c r="I31" s="237"/>
      <c r="J31" s="237"/>
      <c r="K31" s="237"/>
      <c r="L31" s="237"/>
      <c r="M31" s="237"/>
      <c r="N31" s="258"/>
    </row>
    <row r="32" spans="1:29" ht="13.5" thickBot="1" x14ac:dyDescent="0.25">
      <c r="A32" s="451" t="s">
        <v>1222</v>
      </c>
      <c r="B32" s="236"/>
      <c r="C32" s="237"/>
      <c r="D32" s="237"/>
      <c r="E32" s="237"/>
      <c r="F32" s="237"/>
      <c r="G32" s="237"/>
      <c r="H32" s="237"/>
      <c r="I32" s="237"/>
      <c r="J32" s="237"/>
      <c r="K32" s="237"/>
      <c r="L32" s="237"/>
      <c r="M32" s="237"/>
      <c r="N32" s="258"/>
      <c r="P32" s="327" t="s">
        <v>1314</v>
      </c>
      <c r="Q32"/>
      <c r="R32"/>
    </row>
    <row r="33" spans="1:19" ht="13.5" thickTop="1" x14ac:dyDescent="0.2">
      <c r="A33" s="451" t="s">
        <v>1225</v>
      </c>
      <c r="B33" s="236"/>
      <c r="C33" s="237"/>
      <c r="D33" s="237"/>
      <c r="E33" s="237"/>
      <c r="F33" s="237"/>
      <c r="G33" s="237"/>
      <c r="H33" s="237"/>
      <c r="I33" s="237"/>
      <c r="J33" s="237"/>
      <c r="K33" s="237"/>
      <c r="L33" s="237"/>
      <c r="M33" s="237"/>
      <c r="N33" s="258"/>
      <c r="P33" s="338" t="s">
        <v>187</v>
      </c>
      <c r="Q33" s="340" t="s">
        <v>1248</v>
      </c>
      <c r="R33" s="1045" t="s">
        <v>1331</v>
      </c>
      <c r="S33" s="17" t="s">
        <v>1305</v>
      </c>
    </row>
    <row r="34" spans="1:19" ht="13.5" thickBot="1" x14ac:dyDescent="0.25">
      <c r="A34" s="451" t="s">
        <v>1199</v>
      </c>
      <c r="B34" s="236"/>
      <c r="C34" s="237"/>
      <c r="D34" s="237"/>
      <c r="E34" s="237"/>
      <c r="F34" s="237"/>
      <c r="G34" s="237"/>
      <c r="H34" s="237"/>
      <c r="I34" s="237"/>
      <c r="J34" s="237"/>
      <c r="K34" s="237"/>
      <c r="L34" s="237"/>
      <c r="M34" s="237"/>
      <c r="N34" s="258"/>
      <c r="P34" s="339"/>
      <c r="Q34" s="341"/>
      <c r="R34" s="1046"/>
      <c r="S34" s="17" t="s">
        <v>1319</v>
      </c>
    </row>
    <row r="35" spans="1:19" ht="13.5" thickBot="1" x14ac:dyDescent="0.25">
      <c r="A35" s="230" t="s">
        <v>141</v>
      </c>
      <c r="B35" s="178"/>
      <c r="C35" s="178">
        <f>+C24*C25*C30</f>
        <v>273570.85111976747</v>
      </c>
      <c r="D35" s="178">
        <f t="shared" ref="D35:L35" si="7">+D24*D25*D30</f>
        <v>273570.85111976747</v>
      </c>
      <c r="E35" s="178">
        <f t="shared" si="7"/>
        <v>273570.85111976747</v>
      </c>
      <c r="F35" s="178">
        <f t="shared" si="7"/>
        <v>273570.85111976747</v>
      </c>
      <c r="G35" s="178">
        <f t="shared" si="7"/>
        <v>273570.85111976747</v>
      </c>
      <c r="H35" s="178">
        <f t="shared" si="7"/>
        <v>273570.85111976747</v>
      </c>
      <c r="I35" s="178">
        <f t="shared" si="7"/>
        <v>273570.85111976747</v>
      </c>
      <c r="J35" s="178">
        <f t="shared" si="7"/>
        <v>273570.85111976747</v>
      </c>
      <c r="K35" s="178">
        <f t="shared" si="7"/>
        <v>273570.85111976747</v>
      </c>
      <c r="L35" s="178">
        <f t="shared" si="7"/>
        <v>273570.85111976747</v>
      </c>
      <c r="M35" s="178">
        <f>+L35*10</f>
        <v>2735708.5111976746</v>
      </c>
      <c r="N35" s="179">
        <f>+M35</f>
        <v>2735708.5111976746</v>
      </c>
      <c r="O35" s="61">
        <v>1</v>
      </c>
      <c r="P35" s="339" t="s">
        <v>14</v>
      </c>
      <c r="Q35" s="331">
        <v>135</v>
      </c>
      <c r="R35" s="331">
        <v>139</v>
      </c>
      <c r="S35" s="405">
        <f>+(R19*1000)/(R35*Q35)</f>
        <v>57</v>
      </c>
    </row>
    <row r="36" spans="1:19" ht="13.5" thickBot="1" x14ac:dyDescent="0.25">
      <c r="A36" s="453" t="s">
        <v>1227</v>
      </c>
      <c r="B36" s="212"/>
      <c r="C36" s="460">
        <f>+'Boat Costs'!D14</f>
        <v>220308.4276688103</v>
      </c>
      <c r="D36" s="456">
        <f>+C36</f>
        <v>220308.4276688103</v>
      </c>
      <c r="E36" s="456">
        <f t="shared" ref="E36:L36" si="8">+D36</f>
        <v>220308.4276688103</v>
      </c>
      <c r="F36" s="456">
        <f t="shared" si="8"/>
        <v>220308.4276688103</v>
      </c>
      <c r="G36" s="456">
        <f t="shared" si="8"/>
        <v>220308.4276688103</v>
      </c>
      <c r="H36" s="456">
        <f t="shared" si="8"/>
        <v>220308.4276688103</v>
      </c>
      <c r="I36" s="456">
        <f t="shared" si="8"/>
        <v>220308.4276688103</v>
      </c>
      <c r="J36" s="456">
        <f t="shared" si="8"/>
        <v>220308.4276688103</v>
      </c>
      <c r="K36" s="456">
        <f t="shared" si="8"/>
        <v>220308.4276688103</v>
      </c>
      <c r="L36" s="456">
        <f t="shared" si="8"/>
        <v>220308.4276688103</v>
      </c>
      <c r="M36" s="456">
        <f>+L36*10</f>
        <v>2203084.2766881031</v>
      </c>
      <c r="N36" s="457">
        <f>+M36</f>
        <v>2203084.2766881031</v>
      </c>
      <c r="O36" s="61">
        <v>2</v>
      </c>
      <c r="P36" s="339" t="s">
        <v>15</v>
      </c>
      <c r="Q36" s="331">
        <v>500</v>
      </c>
      <c r="R36" s="331">
        <v>114</v>
      </c>
      <c r="S36" s="405">
        <f t="shared" ref="S36:S45" si="9">+(R20*1000)/(R36*Q36)</f>
        <v>47</v>
      </c>
    </row>
    <row r="37" spans="1:19" ht="13.5" thickBot="1" x14ac:dyDescent="0.25">
      <c r="B37" s="57"/>
      <c r="C37" s="57"/>
      <c r="O37" s="61">
        <v>3</v>
      </c>
      <c r="P37" s="339" t="s">
        <v>16</v>
      </c>
      <c r="Q37" s="331">
        <v>459</v>
      </c>
      <c r="R37" s="331">
        <v>179</v>
      </c>
      <c r="S37" s="405">
        <f t="shared" si="9"/>
        <v>140</v>
      </c>
    </row>
    <row r="38" spans="1:19" ht="16.5" thickBot="1" x14ac:dyDescent="0.3">
      <c r="A38" s="373" t="s">
        <v>189</v>
      </c>
      <c r="B38" s="57"/>
      <c r="C38" s="57"/>
      <c r="O38" s="61">
        <v>4</v>
      </c>
      <c r="P38" s="355" t="s">
        <v>186</v>
      </c>
      <c r="Q38" s="357">
        <v>190</v>
      </c>
      <c r="R38" s="359">
        <v>83</v>
      </c>
      <c r="S38" s="405">
        <f t="shared" si="9"/>
        <v>136.46163601775524</v>
      </c>
    </row>
    <row r="39" spans="1:19" ht="13.5" thickBot="1" x14ac:dyDescent="0.25">
      <c r="A39" s="232" t="s">
        <v>160</v>
      </c>
      <c r="B39" s="12"/>
      <c r="C39" s="12">
        <f>(C71-C72)-(C55-C56)</f>
        <v>91350.955696671968</v>
      </c>
      <c r="D39" s="12">
        <f t="shared" ref="D39:N39" si="10">(D71-D72)-(D55-D56)</f>
        <v>91350.955696671968</v>
      </c>
      <c r="E39" s="12">
        <f t="shared" si="10"/>
        <v>91350.955696671968</v>
      </c>
      <c r="F39" s="12">
        <f t="shared" si="10"/>
        <v>91350.955696671968</v>
      </c>
      <c r="G39" s="12">
        <f t="shared" si="10"/>
        <v>91350.955696671968</v>
      </c>
      <c r="H39" s="12">
        <f t="shared" si="10"/>
        <v>91350.955696671968</v>
      </c>
      <c r="I39" s="12">
        <f t="shared" si="10"/>
        <v>91350.955696671968</v>
      </c>
      <c r="J39" s="12">
        <f t="shared" si="10"/>
        <v>91350.955696671968</v>
      </c>
      <c r="K39" s="12">
        <f t="shared" si="10"/>
        <v>91350.955696671968</v>
      </c>
      <c r="L39" s="12">
        <f t="shared" si="10"/>
        <v>91350.955696671968</v>
      </c>
      <c r="M39" s="12">
        <f t="shared" si="10"/>
        <v>913509.55696671968</v>
      </c>
      <c r="N39" s="12">
        <f t="shared" si="10"/>
        <v>913509.55696671968</v>
      </c>
      <c r="O39" s="61">
        <v>5</v>
      </c>
      <c r="P39" s="339" t="s">
        <v>178</v>
      </c>
      <c r="Q39" s="331">
        <v>214</v>
      </c>
      <c r="R39" s="331">
        <v>128</v>
      </c>
      <c r="S39" s="405">
        <f t="shared" si="9"/>
        <v>165</v>
      </c>
    </row>
    <row r="40" spans="1:19" ht="13.5" thickBot="1" x14ac:dyDescent="0.25">
      <c r="A40" s="16"/>
      <c r="B40" s="57"/>
      <c r="C40" s="57"/>
      <c r="D40" s="57"/>
      <c r="E40" s="57"/>
      <c r="F40" s="57"/>
      <c r="G40" s="57"/>
      <c r="H40" s="57"/>
      <c r="I40" s="57"/>
      <c r="J40" s="57"/>
      <c r="K40" s="57"/>
      <c r="L40" s="57"/>
      <c r="M40" s="57"/>
      <c r="N40" s="207"/>
      <c r="O40" s="61">
        <v>6</v>
      </c>
      <c r="P40" s="339" t="s">
        <v>165</v>
      </c>
      <c r="Q40" s="331">
        <v>300</v>
      </c>
      <c r="R40" s="331">
        <v>83</v>
      </c>
      <c r="S40" s="405">
        <f t="shared" si="9"/>
        <v>52</v>
      </c>
    </row>
    <row r="41" spans="1:19" ht="16.5" thickBot="1" x14ac:dyDescent="0.3">
      <c r="A41" s="1054" t="s">
        <v>123</v>
      </c>
      <c r="B41" s="1055"/>
      <c r="C41" s="1055"/>
      <c r="D41" s="1055"/>
      <c r="E41" s="1055"/>
      <c r="F41" s="1055"/>
      <c r="G41" s="1055"/>
      <c r="H41" s="1055"/>
      <c r="I41" s="1055"/>
      <c r="J41" s="1055"/>
      <c r="K41" s="1055"/>
      <c r="L41" s="458"/>
      <c r="M41" s="458"/>
      <c r="N41" s="459"/>
      <c r="O41" s="17">
        <v>7</v>
      </c>
      <c r="P41" s="339" t="s">
        <v>161</v>
      </c>
      <c r="Q41" s="331">
        <v>56</v>
      </c>
      <c r="R41" s="331">
        <v>158</v>
      </c>
      <c r="S41" s="405">
        <f t="shared" si="9"/>
        <v>17</v>
      </c>
    </row>
    <row r="42" spans="1:19" ht="13.5" thickBot="1" x14ac:dyDescent="0.25">
      <c r="A42" s="217"/>
      <c r="B42" s="218" t="s">
        <v>125</v>
      </c>
      <c r="C42" s="219" t="s">
        <v>126</v>
      </c>
      <c r="D42" s="219" t="s">
        <v>127</v>
      </c>
      <c r="E42" s="219" t="s">
        <v>128</v>
      </c>
      <c r="F42" s="219" t="s">
        <v>129</v>
      </c>
      <c r="G42" s="219" t="s">
        <v>130</v>
      </c>
      <c r="H42" s="219" t="s">
        <v>131</v>
      </c>
      <c r="I42" s="219" t="s">
        <v>132</v>
      </c>
      <c r="J42" s="219" t="s">
        <v>133</v>
      </c>
      <c r="K42" s="219" t="s">
        <v>134</v>
      </c>
      <c r="L42" s="219" t="s">
        <v>135</v>
      </c>
      <c r="M42" s="219" t="s">
        <v>136</v>
      </c>
      <c r="N42" s="220" t="s">
        <v>137</v>
      </c>
      <c r="O42" s="61">
        <v>8</v>
      </c>
      <c r="P42" s="339" t="s">
        <v>163</v>
      </c>
      <c r="Q42" s="331">
        <v>109</v>
      </c>
      <c r="R42" s="331">
        <v>161</v>
      </c>
      <c r="S42" s="405">
        <f t="shared" si="9"/>
        <v>55</v>
      </c>
    </row>
    <row r="43" spans="1:19" ht="13.5" thickBot="1" x14ac:dyDescent="0.25">
      <c r="A43" s="255" t="s">
        <v>1228</v>
      </c>
      <c r="B43" s="229"/>
      <c r="C43" s="233"/>
      <c r="D43" s="233"/>
      <c r="E43" s="233"/>
      <c r="F43" s="233"/>
      <c r="G43" s="233"/>
      <c r="H43" s="233"/>
      <c r="I43" s="233"/>
      <c r="J43" s="233"/>
      <c r="K43" s="233"/>
      <c r="L43" s="233"/>
      <c r="M43" s="233"/>
      <c r="N43" s="256"/>
      <c r="O43" s="17">
        <v>9</v>
      </c>
      <c r="P43" s="339" t="s">
        <v>185</v>
      </c>
      <c r="Q43" s="331">
        <v>124</v>
      </c>
      <c r="R43" s="331">
        <v>181</v>
      </c>
      <c r="S43" s="405">
        <f t="shared" si="9"/>
        <v>37</v>
      </c>
    </row>
    <row r="44" spans="1:19" ht="13.5" thickBot="1" x14ac:dyDescent="0.25">
      <c r="A44" s="257" t="s">
        <v>139</v>
      </c>
      <c r="B44" s="234"/>
      <c r="C44" s="225">
        <f>+R36</f>
        <v>114</v>
      </c>
      <c r="D44" s="225">
        <f t="shared" ref="D44:L44" si="11">C44</f>
        <v>114</v>
      </c>
      <c r="E44" s="225">
        <f t="shared" si="11"/>
        <v>114</v>
      </c>
      <c r="F44" s="225">
        <f t="shared" si="11"/>
        <v>114</v>
      </c>
      <c r="G44" s="225">
        <f t="shared" si="11"/>
        <v>114</v>
      </c>
      <c r="H44" s="225">
        <f t="shared" si="11"/>
        <v>114</v>
      </c>
      <c r="I44" s="225">
        <f t="shared" si="11"/>
        <v>114</v>
      </c>
      <c r="J44" s="225">
        <f t="shared" si="11"/>
        <v>114</v>
      </c>
      <c r="K44" s="225">
        <f t="shared" si="11"/>
        <v>114</v>
      </c>
      <c r="L44" s="225">
        <f t="shared" si="11"/>
        <v>114</v>
      </c>
      <c r="M44" s="225">
        <f>L44*10</f>
        <v>1140</v>
      </c>
      <c r="N44" s="226">
        <f>M44</f>
        <v>1140</v>
      </c>
      <c r="O44" s="17">
        <v>10</v>
      </c>
      <c r="P44" s="334" t="s">
        <v>162</v>
      </c>
      <c r="Q44" s="335">
        <v>59</v>
      </c>
      <c r="R44" s="335">
        <v>192</v>
      </c>
      <c r="S44" s="405">
        <f t="shared" si="9"/>
        <v>19</v>
      </c>
    </row>
    <row r="45" spans="1:19" ht="13.5" thickTop="1" x14ac:dyDescent="0.2">
      <c r="A45" s="257" t="s">
        <v>138</v>
      </c>
      <c r="B45" s="234"/>
      <c r="C45" s="225">
        <f>SUM(C46:C49)</f>
        <v>68.657787828202117</v>
      </c>
      <c r="D45" s="225">
        <f t="shared" ref="D45:N45" si="12">SUM(D46:D49)</f>
        <v>68.657787828202117</v>
      </c>
      <c r="E45" s="225">
        <f t="shared" si="12"/>
        <v>68.657787828202117</v>
      </c>
      <c r="F45" s="225">
        <f t="shared" si="12"/>
        <v>68.657787828202117</v>
      </c>
      <c r="G45" s="225">
        <f t="shared" si="12"/>
        <v>68.657787828202117</v>
      </c>
      <c r="H45" s="225">
        <f t="shared" si="12"/>
        <v>68.657787828202117</v>
      </c>
      <c r="I45" s="225">
        <f t="shared" si="12"/>
        <v>68.657787828202117</v>
      </c>
      <c r="J45" s="225">
        <f t="shared" si="12"/>
        <v>68.657787828202117</v>
      </c>
      <c r="K45" s="225">
        <f t="shared" si="12"/>
        <v>68.657787828202117</v>
      </c>
      <c r="L45" s="225">
        <f t="shared" si="12"/>
        <v>68.657787828202117</v>
      </c>
      <c r="M45" s="225">
        <f t="shared" si="12"/>
        <v>68.657787828202117</v>
      </c>
      <c r="N45" s="226">
        <f t="shared" si="12"/>
        <v>68.657787828202117</v>
      </c>
      <c r="O45" s="61">
        <v>11</v>
      </c>
      <c r="P45" s="354" t="s">
        <v>164</v>
      </c>
      <c r="Q45" s="356">
        <v>126</v>
      </c>
      <c r="R45" s="358">
        <v>137</v>
      </c>
      <c r="S45" s="405">
        <f t="shared" si="9"/>
        <v>81</v>
      </c>
    </row>
    <row r="46" spans="1:19" x14ac:dyDescent="0.2">
      <c r="A46" s="451" t="s">
        <v>1221</v>
      </c>
      <c r="B46" s="234"/>
      <c r="C46" s="369">
        <f>+Y20</f>
        <v>13.905630439826021</v>
      </c>
      <c r="D46" s="225">
        <f>+C46*Assumptions!F22</f>
        <v>13.905630439826021</v>
      </c>
      <c r="E46" s="225">
        <f>+D46*Assumptions!G22</f>
        <v>13.905630439826021</v>
      </c>
      <c r="F46" s="225">
        <f>+E46*Assumptions!H22</f>
        <v>13.905630439826021</v>
      </c>
      <c r="G46" s="225">
        <f>+F46*Assumptions!I22</f>
        <v>13.905630439826021</v>
      </c>
      <c r="H46" s="225">
        <f>+G46*Assumptions!J22</f>
        <v>13.905630439826021</v>
      </c>
      <c r="I46" s="225">
        <f>+H46*Assumptions!K22</f>
        <v>13.905630439826021</v>
      </c>
      <c r="J46" s="225">
        <f>+I46*Assumptions!L22</f>
        <v>13.905630439826021</v>
      </c>
      <c r="K46" s="225">
        <f>+J46*Assumptions!M22</f>
        <v>13.905630439826021</v>
      </c>
      <c r="L46" s="225">
        <f>+K46*Assumptions!N22</f>
        <v>13.905630439826021</v>
      </c>
      <c r="M46" s="225">
        <f>+L46*Assumptions!O22</f>
        <v>13.905630439826021</v>
      </c>
      <c r="N46" s="226">
        <f>+M46*Assumptions!P22</f>
        <v>13.905630439826021</v>
      </c>
    </row>
    <row r="47" spans="1:19" x14ac:dyDescent="0.2">
      <c r="A47" s="451" t="s">
        <v>1222</v>
      </c>
      <c r="B47" s="234"/>
      <c r="C47" s="370">
        <f>+Z20</f>
        <v>2.4868231672005878</v>
      </c>
      <c r="D47" s="225">
        <f>+C47*Assumptions!F23</f>
        <v>2.4868231672005878</v>
      </c>
      <c r="E47" s="225">
        <f>+D47*Assumptions!G23</f>
        <v>2.4868231672005878</v>
      </c>
      <c r="F47" s="225">
        <f>+E47*Assumptions!H23</f>
        <v>2.4868231672005878</v>
      </c>
      <c r="G47" s="225">
        <f>+F47*Assumptions!I23</f>
        <v>2.4868231672005878</v>
      </c>
      <c r="H47" s="225">
        <f>+G47*Assumptions!J23</f>
        <v>2.4868231672005878</v>
      </c>
      <c r="I47" s="225">
        <f>+H47*Assumptions!K23</f>
        <v>2.4868231672005878</v>
      </c>
      <c r="J47" s="225">
        <f>+I47*Assumptions!L23</f>
        <v>2.4868231672005878</v>
      </c>
      <c r="K47" s="225">
        <f>+J47*Assumptions!M23</f>
        <v>2.4868231672005878</v>
      </c>
      <c r="L47" s="225">
        <f>+K47*Assumptions!N23</f>
        <v>2.4868231672005878</v>
      </c>
      <c r="M47" s="225">
        <f>+L47*Assumptions!O23</f>
        <v>2.4868231672005878</v>
      </c>
      <c r="N47" s="226">
        <f>+M47*Assumptions!P23</f>
        <v>2.4868231672005878</v>
      </c>
    </row>
    <row r="48" spans="1:19" x14ac:dyDescent="0.2">
      <c r="A48" s="451" t="s">
        <v>1225</v>
      </c>
      <c r="B48" s="234"/>
      <c r="C48" s="370">
        <f>+AA20</f>
        <v>27.308354073007699</v>
      </c>
      <c r="D48" s="225">
        <f>+C48*Assumptions!F24</f>
        <v>27.308354073007699</v>
      </c>
      <c r="E48" s="225">
        <f>+D48*Assumptions!G24</f>
        <v>27.308354073007699</v>
      </c>
      <c r="F48" s="225">
        <f>+E48*Assumptions!H24</f>
        <v>27.308354073007699</v>
      </c>
      <c r="G48" s="225">
        <f>+F48*Assumptions!I24</f>
        <v>27.308354073007699</v>
      </c>
      <c r="H48" s="225">
        <f>+G48*Assumptions!J24</f>
        <v>27.308354073007699</v>
      </c>
      <c r="I48" s="225">
        <f>+H48*Assumptions!K24</f>
        <v>27.308354073007699</v>
      </c>
      <c r="J48" s="225">
        <f>+I48*Assumptions!L24</f>
        <v>27.308354073007699</v>
      </c>
      <c r="K48" s="225">
        <f>+J48*Assumptions!M24</f>
        <v>27.308354073007699</v>
      </c>
      <c r="L48" s="225">
        <f>+K48*Assumptions!N24</f>
        <v>27.308354073007699</v>
      </c>
      <c r="M48" s="225">
        <f>+L48*Assumptions!O24</f>
        <v>27.308354073007699</v>
      </c>
      <c r="N48" s="226">
        <f>+M48*Assumptions!P24</f>
        <v>27.308354073007699</v>
      </c>
    </row>
    <row r="49" spans="1:14" x14ac:dyDescent="0.2">
      <c r="A49" s="451" t="s">
        <v>1199</v>
      </c>
      <c r="B49" s="234"/>
      <c r="C49" s="370">
        <f>+AB20</f>
        <v>24.956980148167812</v>
      </c>
      <c r="D49" s="225">
        <f>+C49*Assumptions!F25</f>
        <v>24.956980148167812</v>
      </c>
      <c r="E49" s="225">
        <f>+D49*Assumptions!G25</f>
        <v>24.956980148167812</v>
      </c>
      <c r="F49" s="225">
        <f>+E49*Assumptions!H25</f>
        <v>24.956980148167812</v>
      </c>
      <c r="G49" s="225">
        <f>+F49*Assumptions!I25</f>
        <v>24.956980148167812</v>
      </c>
      <c r="H49" s="225">
        <f>+G49*Assumptions!J25</f>
        <v>24.956980148167812</v>
      </c>
      <c r="I49" s="225">
        <f>+H49*Assumptions!K25</f>
        <v>24.956980148167812</v>
      </c>
      <c r="J49" s="225">
        <f>+I49*Assumptions!L25</f>
        <v>24.956980148167812</v>
      </c>
      <c r="K49" s="225">
        <f>+J49*Assumptions!M25</f>
        <v>24.956980148167812</v>
      </c>
      <c r="L49" s="225">
        <f>+K49*Assumptions!N25</f>
        <v>24.956980148167812</v>
      </c>
      <c r="M49" s="225">
        <f>+L49*Assumptions!O25</f>
        <v>24.956980148167812</v>
      </c>
      <c r="N49" s="226">
        <f>+M49*Assumptions!P25</f>
        <v>24.956980148167812</v>
      </c>
    </row>
    <row r="50" spans="1:14" x14ac:dyDescent="0.2">
      <c r="A50" s="257" t="s">
        <v>140</v>
      </c>
      <c r="B50" s="234"/>
      <c r="C50" s="239">
        <f>((C51*C46)+(C52*C47)+(C48*C53)+(C49*C54))/SUM(C46:C49)</f>
        <v>28.281147323202084</v>
      </c>
      <c r="D50" s="239">
        <f t="shared" ref="D50:N50" si="13">C50</f>
        <v>28.281147323202084</v>
      </c>
      <c r="E50" s="239">
        <f t="shared" si="13"/>
        <v>28.281147323202084</v>
      </c>
      <c r="F50" s="239">
        <f t="shared" si="13"/>
        <v>28.281147323202084</v>
      </c>
      <c r="G50" s="239">
        <f t="shared" si="13"/>
        <v>28.281147323202084</v>
      </c>
      <c r="H50" s="239">
        <f t="shared" si="13"/>
        <v>28.281147323202084</v>
      </c>
      <c r="I50" s="239">
        <f t="shared" si="13"/>
        <v>28.281147323202084</v>
      </c>
      <c r="J50" s="239">
        <f t="shared" si="13"/>
        <v>28.281147323202084</v>
      </c>
      <c r="K50" s="239">
        <f t="shared" si="13"/>
        <v>28.281147323202084</v>
      </c>
      <c r="L50" s="239">
        <f t="shared" si="13"/>
        <v>28.281147323202084</v>
      </c>
      <c r="M50" s="239">
        <f t="shared" si="13"/>
        <v>28.281147323202084</v>
      </c>
      <c r="N50" s="260">
        <f t="shared" si="13"/>
        <v>28.281147323202084</v>
      </c>
    </row>
    <row r="51" spans="1:14" x14ac:dyDescent="0.2">
      <c r="A51" s="451" t="s">
        <v>1221</v>
      </c>
      <c r="B51" s="236"/>
      <c r="C51" s="371">
        <f>+$R$10</f>
        <v>52.122314049586777</v>
      </c>
      <c r="D51" s="237">
        <f t="shared" ref="D51:N51" si="14">C51</f>
        <v>52.122314049586777</v>
      </c>
      <c r="E51" s="237">
        <f t="shared" si="14"/>
        <v>52.122314049586777</v>
      </c>
      <c r="F51" s="237">
        <f t="shared" si="14"/>
        <v>52.122314049586777</v>
      </c>
      <c r="G51" s="237">
        <f t="shared" si="14"/>
        <v>52.122314049586777</v>
      </c>
      <c r="H51" s="237">
        <f t="shared" si="14"/>
        <v>52.122314049586777</v>
      </c>
      <c r="I51" s="237">
        <f t="shared" si="14"/>
        <v>52.122314049586777</v>
      </c>
      <c r="J51" s="237">
        <f t="shared" si="14"/>
        <v>52.122314049586777</v>
      </c>
      <c r="K51" s="237">
        <f t="shared" si="14"/>
        <v>52.122314049586777</v>
      </c>
      <c r="L51" s="237">
        <f t="shared" si="14"/>
        <v>52.122314049586777</v>
      </c>
      <c r="M51" s="237">
        <f t="shared" si="14"/>
        <v>52.122314049586777</v>
      </c>
      <c r="N51" s="258">
        <f t="shared" si="14"/>
        <v>52.122314049586777</v>
      </c>
    </row>
    <row r="52" spans="1:14" x14ac:dyDescent="0.2">
      <c r="A52" s="451" t="s">
        <v>1222</v>
      </c>
      <c r="B52" s="236"/>
      <c r="C52" s="371">
        <f>+$S$10</f>
        <v>77.720967741935482</v>
      </c>
      <c r="D52" s="237">
        <f t="shared" ref="D52:N52" si="15">C52</f>
        <v>77.720967741935482</v>
      </c>
      <c r="E52" s="237">
        <f t="shared" si="15"/>
        <v>77.720967741935482</v>
      </c>
      <c r="F52" s="237">
        <f t="shared" si="15"/>
        <v>77.720967741935482</v>
      </c>
      <c r="G52" s="237">
        <f t="shared" si="15"/>
        <v>77.720967741935482</v>
      </c>
      <c r="H52" s="237">
        <f t="shared" si="15"/>
        <v>77.720967741935482</v>
      </c>
      <c r="I52" s="237">
        <f t="shared" si="15"/>
        <v>77.720967741935482</v>
      </c>
      <c r="J52" s="237">
        <f t="shared" si="15"/>
        <v>77.720967741935482</v>
      </c>
      <c r="K52" s="237">
        <f t="shared" si="15"/>
        <v>77.720967741935482</v>
      </c>
      <c r="L52" s="237">
        <f t="shared" si="15"/>
        <v>77.720967741935482</v>
      </c>
      <c r="M52" s="237">
        <f t="shared" si="15"/>
        <v>77.720967741935482</v>
      </c>
      <c r="N52" s="258">
        <f t="shared" si="15"/>
        <v>77.720967741935482</v>
      </c>
    </row>
    <row r="53" spans="1:14" x14ac:dyDescent="0.2">
      <c r="A53" s="451" t="s">
        <v>1225</v>
      </c>
      <c r="B53" s="236"/>
      <c r="C53" s="371">
        <f>+$T$8</f>
        <v>34.535821661655788</v>
      </c>
      <c r="D53" s="237">
        <f t="shared" ref="D53:N53" si="16">C53</f>
        <v>34.535821661655788</v>
      </c>
      <c r="E53" s="237">
        <f t="shared" si="16"/>
        <v>34.535821661655788</v>
      </c>
      <c r="F53" s="237">
        <f t="shared" si="16"/>
        <v>34.535821661655788</v>
      </c>
      <c r="G53" s="237">
        <f t="shared" si="16"/>
        <v>34.535821661655788</v>
      </c>
      <c r="H53" s="237">
        <f t="shared" si="16"/>
        <v>34.535821661655788</v>
      </c>
      <c r="I53" s="237">
        <f t="shared" si="16"/>
        <v>34.535821661655788</v>
      </c>
      <c r="J53" s="237">
        <f t="shared" si="16"/>
        <v>34.535821661655788</v>
      </c>
      <c r="K53" s="237">
        <f t="shared" si="16"/>
        <v>34.535821661655788</v>
      </c>
      <c r="L53" s="237">
        <f t="shared" si="16"/>
        <v>34.535821661655788</v>
      </c>
      <c r="M53" s="237">
        <f t="shared" si="16"/>
        <v>34.535821661655788</v>
      </c>
      <c r="N53" s="258">
        <f t="shared" si="16"/>
        <v>34.535821661655788</v>
      </c>
    </row>
    <row r="54" spans="1:14" ht="13.5" thickBot="1" x14ac:dyDescent="0.25">
      <c r="A54" s="451" t="s">
        <v>1199</v>
      </c>
      <c r="B54" s="236"/>
      <c r="C54" s="371">
        <f>+$U$10</f>
        <v>3.2268578104271035</v>
      </c>
      <c r="D54" s="237">
        <f t="shared" ref="D54:N54" si="17">C54</f>
        <v>3.2268578104271035</v>
      </c>
      <c r="E54" s="237">
        <f t="shared" si="17"/>
        <v>3.2268578104271035</v>
      </c>
      <c r="F54" s="237">
        <f t="shared" si="17"/>
        <v>3.2268578104271035</v>
      </c>
      <c r="G54" s="237">
        <f t="shared" si="17"/>
        <v>3.2268578104271035</v>
      </c>
      <c r="H54" s="237">
        <f t="shared" si="17"/>
        <v>3.2268578104271035</v>
      </c>
      <c r="I54" s="237">
        <f t="shared" si="17"/>
        <v>3.2268578104271035</v>
      </c>
      <c r="J54" s="237">
        <f t="shared" si="17"/>
        <v>3.2268578104271035</v>
      </c>
      <c r="K54" s="237">
        <f t="shared" si="17"/>
        <v>3.2268578104271035</v>
      </c>
      <c r="L54" s="237">
        <f t="shared" si="17"/>
        <v>3.2268578104271035</v>
      </c>
      <c r="M54" s="237">
        <f t="shared" si="17"/>
        <v>3.2268578104271035</v>
      </c>
      <c r="N54" s="258">
        <f t="shared" si="17"/>
        <v>3.2268578104271035</v>
      </c>
    </row>
    <row r="55" spans="1:14" ht="13.5" thickBot="1" x14ac:dyDescent="0.25">
      <c r="A55" s="221" t="s">
        <v>141</v>
      </c>
      <c r="B55" s="15"/>
      <c r="C55" s="15">
        <f t="shared" ref="C55:L55" si="18">((C54*C49)+(C53*C48)+(C52*C47))*C44</f>
        <v>138729.72081981698</v>
      </c>
      <c r="D55" s="15">
        <f t="shared" si="18"/>
        <v>138729.72081981698</v>
      </c>
      <c r="E55" s="15">
        <f t="shared" si="18"/>
        <v>138729.72081981698</v>
      </c>
      <c r="F55" s="15">
        <f t="shared" si="18"/>
        <v>138729.72081981698</v>
      </c>
      <c r="G55" s="15">
        <f t="shared" si="18"/>
        <v>138729.72081981698</v>
      </c>
      <c r="H55" s="15">
        <f t="shared" si="18"/>
        <v>138729.72081981698</v>
      </c>
      <c r="I55" s="15">
        <f t="shared" si="18"/>
        <v>138729.72081981698</v>
      </c>
      <c r="J55" s="15">
        <f t="shared" si="18"/>
        <v>138729.72081981698</v>
      </c>
      <c r="K55" s="15">
        <f t="shared" si="18"/>
        <v>138729.72081981698</v>
      </c>
      <c r="L55" s="15">
        <f t="shared" si="18"/>
        <v>138729.72081981698</v>
      </c>
      <c r="M55" s="409">
        <f>+L55*10</f>
        <v>1387297.2081981697</v>
      </c>
      <c r="N55" s="414">
        <f>+M55</f>
        <v>1387297.2081981697</v>
      </c>
    </row>
    <row r="56" spans="1:14" ht="13.5" thickBot="1" x14ac:dyDescent="0.25">
      <c r="A56" s="16" t="s">
        <v>1227</v>
      </c>
      <c r="B56" s="40"/>
      <c r="C56" s="442">
        <f>+'Boat Costs'!E13</f>
        <v>173692.80096463021</v>
      </c>
      <c r="D56" s="443">
        <f>+C56</f>
        <v>173692.80096463021</v>
      </c>
      <c r="E56" s="443">
        <f t="shared" ref="E56:L56" si="19">+D56</f>
        <v>173692.80096463021</v>
      </c>
      <c r="F56" s="443">
        <f t="shared" si="19"/>
        <v>173692.80096463021</v>
      </c>
      <c r="G56" s="443">
        <f t="shared" si="19"/>
        <v>173692.80096463021</v>
      </c>
      <c r="H56" s="443">
        <f t="shared" si="19"/>
        <v>173692.80096463021</v>
      </c>
      <c r="I56" s="443">
        <f t="shared" si="19"/>
        <v>173692.80096463021</v>
      </c>
      <c r="J56" s="443">
        <f t="shared" si="19"/>
        <v>173692.80096463021</v>
      </c>
      <c r="K56" s="443">
        <f t="shared" si="19"/>
        <v>173692.80096463021</v>
      </c>
      <c r="L56" s="443">
        <f t="shared" si="19"/>
        <v>173692.80096463021</v>
      </c>
      <c r="M56" s="443">
        <f>+L56*10</f>
        <v>1736928.0096463021</v>
      </c>
      <c r="N56" s="461">
        <f>+M56</f>
        <v>1736928.0096463021</v>
      </c>
    </row>
    <row r="57" spans="1:14" ht="16.5" thickBot="1" x14ac:dyDescent="0.3">
      <c r="A57" s="1056" t="s">
        <v>124</v>
      </c>
      <c r="B57" s="1057"/>
      <c r="C57" s="1057"/>
      <c r="D57" s="1057"/>
      <c r="E57" s="1057"/>
      <c r="F57" s="1057"/>
      <c r="G57" s="1057"/>
      <c r="H57" s="1057"/>
      <c r="I57" s="1057"/>
      <c r="J57" s="1057"/>
      <c r="K57" s="1057"/>
      <c r="L57" s="215"/>
      <c r="M57" s="215"/>
      <c r="N57" s="216"/>
    </row>
    <row r="58" spans="1:14" ht="13.5" thickBot="1" x14ac:dyDescent="0.25">
      <c r="A58" s="217"/>
      <c r="B58" s="218" t="s">
        <v>125</v>
      </c>
      <c r="C58" s="219" t="s">
        <v>126</v>
      </c>
      <c r="D58" s="219" t="s">
        <v>127</v>
      </c>
      <c r="E58" s="219" t="s">
        <v>128</v>
      </c>
      <c r="F58" s="219" t="s">
        <v>129</v>
      </c>
      <c r="G58" s="219" t="s">
        <v>130</v>
      </c>
      <c r="H58" s="219" t="s">
        <v>131</v>
      </c>
      <c r="I58" s="219" t="s">
        <v>132</v>
      </c>
      <c r="J58" s="219" t="s">
        <v>133</v>
      </c>
      <c r="K58" s="219" t="s">
        <v>134</v>
      </c>
      <c r="L58" s="219" t="s">
        <v>135</v>
      </c>
      <c r="M58" s="219" t="s">
        <v>136</v>
      </c>
      <c r="N58" s="220" t="s">
        <v>137</v>
      </c>
    </row>
    <row r="59" spans="1:14" x14ac:dyDescent="0.2">
      <c r="A59" s="255" t="s">
        <v>1228</v>
      </c>
      <c r="B59" s="229"/>
      <c r="C59" s="233"/>
      <c r="D59" s="233"/>
      <c r="E59" s="233"/>
      <c r="F59" s="233"/>
      <c r="G59" s="233"/>
      <c r="H59" s="233"/>
      <c r="I59" s="233"/>
      <c r="J59" s="233"/>
      <c r="K59" s="233"/>
      <c r="L59" s="233"/>
      <c r="M59" s="233"/>
      <c r="N59" s="256"/>
    </row>
    <row r="60" spans="1:14" x14ac:dyDescent="0.2">
      <c r="A60" s="257" t="str">
        <f>A44</f>
        <v xml:space="preserve">  - Days</v>
      </c>
      <c r="B60" s="234"/>
      <c r="C60" s="225">
        <f>C44*(1+Assumptions!Q$6)</f>
        <v>119.7</v>
      </c>
      <c r="D60" s="225">
        <f t="shared" ref="D60:L60" si="20">C60</f>
        <v>119.7</v>
      </c>
      <c r="E60" s="225">
        <f t="shared" si="20"/>
        <v>119.7</v>
      </c>
      <c r="F60" s="225">
        <f t="shared" si="20"/>
        <v>119.7</v>
      </c>
      <c r="G60" s="225">
        <f t="shared" si="20"/>
        <v>119.7</v>
      </c>
      <c r="H60" s="225">
        <f t="shared" si="20"/>
        <v>119.7</v>
      </c>
      <c r="I60" s="225">
        <f t="shared" si="20"/>
        <v>119.7</v>
      </c>
      <c r="J60" s="225">
        <f t="shared" si="20"/>
        <v>119.7</v>
      </c>
      <c r="K60" s="225">
        <f t="shared" si="20"/>
        <v>119.7</v>
      </c>
      <c r="L60" s="225">
        <f t="shared" si="20"/>
        <v>119.7</v>
      </c>
      <c r="M60" s="225">
        <f>L60*10</f>
        <v>1197</v>
      </c>
      <c r="N60" s="226">
        <f>M60</f>
        <v>1197</v>
      </c>
    </row>
    <row r="61" spans="1:14" x14ac:dyDescent="0.2">
      <c r="A61" s="257" t="str">
        <f>A45</f>
        <v xml:space="preserve">  - Catch per boat trip in kg </v>
      </c>
      <c r="B61" s="234"/>
      <c r="C61" s="477">
        <f>+C45*(1+(Assumptions!$Q$8+Assumptions!B$30))</f>
        <v>68.657787828202117</v>
      </c>
      <c r="D61" s="477">
        <f>+D45*(1+(Assumptions!$Q$8+Assumptions!C$30))</f>
        <v>68.657787828202117</v>
      </c>
      <c r="E61" s="477">
        <f>+E45*(1+(Assumptions!$Q$8+Assumptions!D$30))</f>
        <v>68.657787828202117</v>
      </c>
      <c r="F61" s="477">
        <f>+F45*(1+(Assumptions!$Q$8+Assumptions!E$30))</f>
        <v>68.657787828202117</v>
      </c>
      <c r="G61" s="477">
        <f>+G45*(1+(Assumptions!$Q$8+Assumptions!F$30))</f>
        <v>68.657787828202117</v>
      </c>
      <c r="H61" s="477">
        <f>+H45*(1+(Assumptions!$Q$8+Assumptions!G$30))</f>
        <v>68.657787828202117</v>
      </c>
      <c r="I61" s="477">
        <f>+I45*(1+(Assumptions!$Q$8+Assumptions!H$30))</f>
        <v>68.657787828202117</v>
      </c>
      <c r="J61" s="477">
        <f>+J45*(1+(Assumptions!$Q$8+Assumptions!I$30))</f>
        <v>68.657787828202117</v>
      </c>
      <c r="K61" s="477">
        <f>+K45*(1+(Assumptions!$Q$8+Assumptions!J$30))</f>
        <v>68.657787828202117</v>
      </c>
      <c r="L61" s="477">
        <f>+L45*(1+(Assumptions!$Q$8+Assumptions!K$30))</f>
        <v>68.657787828202117</v>
      </c>
      <c r="M61" s="477">
        <f>+M45*(1+(Assumptions!$Q$8+Assumptions!L$30))</f>
        <v>68.657787828202117</v>
      </c>
      <c r="N61" s="477">
        <f>+N45*(1+(Assumptions!$Q$8+Assumptions!M$30))</f>
        <v>68.657787828202117</v>
      </c>
    </row>
    <row r="62" spans="1:14" x14ac:dyDescent="0.2">
      <c r="A62" s="451" t="s">
        <v>1221</v>
      </c>
      <c r="B62" s="234"/>
      <c r="C62" s="238"/>
      <c r="D62" s="225"/>
      <c r="E62" s="225"/>
      <c r="F62" s="225"/>
      <c r="G62" s="225"/>
      <c r="H62" s="225"/>
      <c r="I62" s="225"/>
      <c r="J62" s="225"/>
      <c r="K62" s="225"/>
      <c r="L62" s="225"/>
      <c r="M62" s="225"/>
      <c r="N62" s="226"/>
    </row>
    <row r="63" spans="1:14" x14ac:dyDescent="0.2">
      <c r="A63" s="451" t="s">
        <v>1222</v>
      </c>
      <c r="B63" s="234"/>
      <c r="C63" s="238"/>
      <c r="D63" s="238"/>
      <c r="E63" s="238"/>
      <c r="F63" s="238"/>
      <c r="G63" s="238"/>
      <c r="H63" s="238"/>
      <c r="I63" s="238"/>
      <c r="J63" s="238"/>
      <c r="K63" s="238"/>
      <c r="L63" s="238"/>
      <c r="M63" s="238"/>
      <c r="N63" s="259"/>
    </row>
    <row r="64" spans="1:14" x14ac:dyDescent="0.2">
      <c r="A64" s="451" t="s">
        <v>1225</v>
      </c>
      <c r="B64" s="234"/>
      <c r="C64" s="238"/>
      <c r="D64" s="238"/>
      <c r="E64" s="238"/>
      <c r="F64" s="238"/>
      <c r="G64" s="238"/>
      <c r="H64" s="238"/>
      <c r="I64" s="238"/>
      <c r="J64" s="238"/>
      <c r="K64" s="238"/>
      <c r="L64" s="238"/>
      <c r="M64" s="238"/>
      <c r="N64" s="259"/>
    </row>
    <row r="65" spans="1:14" x14ac:dyDescent="0.2">
      <c r="A65" s="451" t="s">
        <v>1199</v>
      </c>
      <c r="B65" s="234"/>
      <c r="C65" s="238"/>
      <c r="D65" s="238"/>
      <c r="E65" s="238"/>
      <c r="F65" s="238"/>
      <c r="G65" s="238"/>
      <c r="H65" s="238"/>
      <c r="I65" s="238"/>
      <c r="J65" s="238"/>
      <c r="K65" s="238"/>
      <c r="L65" s="238"/>
      <c r="M65" s="238"/>
      <c r="N65" s="259"/>
    </row>
    <row r="66" spans="1:14" x14ac:dyDescent="0.2">
      <c r="A66" s="257" t="str">
        <f>A50</f>
        <v xml:space="preserve">  - Average price of sales in dh/kg</v>
      </c>
      <c r="B66" s="234"/>
      <c r="C66" s="239">
        <f>+C50*(1+(Assumptions!$Q$7))</f>
        <v>28.846770269666127</v>
      </c>
      <c r="D66" s="239">
        <f>+D50*(1+(Assumptions!$Q$7))</f>
        <v>28.846770269666127</v>
      </c>
      <c r="E66" s="239">
        <f>+E50*(1+(Assumptions!$Q$7))</f>
        <v>28.846770269666127</v>
      </c>
      <c r="F66" s="239">
        <f>+F50*(1+(Assumptions!$Q$7))</f>
        <v>28.846770269666127</v>
      </c>
      <c r="G66" s="239">
        <f>+G50*(1+(Assumptions!$Q$7))</f>
        <v>28.846770269666127</v>
      </c>
      <c r="H66" s="239">
        <f>+H50*(1+(Assumptions!$Q$7))</f>
        <v>28.846770269666127</v>
      </c>
      <c r="I66" s="239">
        <f>+I50*(1+(Assumptions!$Q$7))</f>
        <v>28.846770269666127</v>
      </c>
      <c r="J66" s="239">
        <f>+J50*(1+(Assumptions!$Q$7))</f>
        <v>28.846770269666127</v>
      </c>
      <c r="K66" s="239">
        <f>+K50*(1+(Assumptions!$Q$7))</f>
        <v>28.846770269666127</v>
      </c>
      <c r="L66" s="239">
        <f>+L50*(1+(Assumptions!$Q$7))</f>
        <v>28.846770269666127</v>
      </c>
      <c r="M66" s="239">
        <f>+M50*(1+(Assumptions!$Q$7))</f>
        <v>28.846770269666127</v>
      </c>
      <c r="N66" s="239">
        <f>+N50*(1+(Assumptions!$Q$7))</f>
        <v>28.846770269666127</v>
      </c>
    </row>
    <row r="67" spans="1:14" x14ac:dyDescent="0.2">
      <c r="A67" s="451" t="s">
        <v>1221</v>
      </c>
      <c r="B67" s="236"/>
      <c r="C67" s="237"/>
      <c r="D67" s="237"/>
      <c r="E67" s="237"/>
      <c r="F67" s="237"/>
      <c r="G67" s="237"/>
      <c r="H67" s="237"/>
      <c r="I67" s="237"/>
      <c r="J67" s="237"/>
      <c r="K67" s="237"/>
      <c r="L67" s="237"/>
      <c r="M67" s="237"/>
      <c r="N67" s="258"/>
    </row>
    <row r="68" spans="1:14" x14ac:dyDescent="0.2">
      <c r="A68" s="451" t="s">
        <v>1222</v>
      </c>
      <c r="B68" s="236"/>
      <c r="C68" s="237"/>
      <c r="D68" s="237"/>
      <c r="E68" s="237"/>
      <c r="F68" s="237"/>
      <c r="G68" s="237"/>
      <c r="H68" s="237"/>
      <c r="I68" s="237"/>
      <c r="J68" s="237"/>
      <c r="K68" s="237"/>
      <c r="L68" s="237"/>
      <c r="M68" s="237"/>
      <c r="N68" s="258"/>
    </row>
    <row r="69" spans="1:14" x14ac:dyDescent="0.2">
      <c r="A69" s="451" t="s">
        <v>1225</v>
      </c>
      <c r="B69" s="236"/>
      <c r="C69" s="237"/>
      <c r="D69" s="237"/>
      <c r="E69" s="237"/>
      <c r="F69" s="237"/>
      <c r="G69" s="237"/>
      <c r="H69" s="237"/>
      <c r="I69" s="237"/>
      <c r="J69" s="237"/>
      <c r="K69" s="237"/>
      <c r="L69" s="237"/>
      <c r="M69" s="237"/>
      <c r="N69" s="258"/>
    </row>
    <row r="70" spans="1:14" ht="13.5" thickBot="1" x14ac:dyDescent="0.25">
      <c r="A70" s="451" t="s">
        <v>1199</v>
      </c>
      <c r="B70" s="236"/>
      <c r="C70" s="237"/>
      <c r="D70" s="237"/>
      <c r="E70" s="237"/>
      <c r="F70" s="237"/>
      <c r="G70" s="237"/>
      <c r="H70" s="237"/>
      <c r="I70" s="237"/>
      <c r="J70" s="237"/>
      <c r="K70" s="237"/>
      <c r="L70" s="237"/>
      <c r="M70" s="237"/>
      <c r="N70" s="258"/>
    </row>
    <row r="71" spans="1:14" x14ac:dyDescent="0.2">
      <c r="A71" s="230" t="s">
        <v>141</v>
      </c>
      <c r="B71" s="178"/>
      <c r="C71" s="178">
        <f>+C60*C61*C66</f>
        <v>237072.485294624</v>
      </c>
      <c r="D71" s="178">
        <f t="shared" ref="D71:L71" si="21">+D60*D61*D66</f>
        <v>237072.485294624</v>
      </c>
      <c r="E71" s="178">
        <f t="shared" si="21"/>
        <v>237072.485294624</v>
      </c>
      <c r="F71" s="178">
        <f t="shared" si="21"/>
        <v>237072.485294624</v>
      </c>
      <c r="G71" s="178">
        <f t="shared" si="21"/>
        <v>237072.485294624</v>
      </c>
      <c r="H71" s="178">
        <f t="shared" si="21"/>
        <v>237072.485294624</v>
      </c>
      <c r="I71" s="178">
        <f t="shared" si="21"/>
        <v>237072.485294624</v>
      </c>
      <c r="J71" s="178">
        <f t="shared" si="21"/>
        <v>237072.485294624</v>
      </c>
      <c r="K71" s="178">
        <f t="shared" si="21"/>
        <v>237072.485294624</v>
      </c>
      <c r="L71" s="178">
        <f t="shared" si="21"/>
        <v>237072.485294624</v>
      </c>
      <c r="M71" s="178">
        <f>+L71*10</f>
        <v>2370724.85294624</v>
      </c>
      <c r="N71" s="179">
        <f>+M71</f>
        <v>2370724.85294624</v>
      </c>
    </row>
    <row r="72" spans="1:14" x14ac:dyDescent="0.2">
      <c r="A72" s="453" t="s">
        <v>1227</v>
      </c>
      <c r="B72" s="212"/>
      <c r="C72" s="460">
        <f>+'Boat Costs'!E14</f>
        <v>180684.60974276526</v>
      </c>
      <c r="D72" s="456">
        <f>+C72</f>
        <v>180684.60974276526</v>
      </c>
      <c r="E72" s="456">
        <f t="shared" ref="E72:L72" si="22">+D72</f>
        <v>180684.60974276526</v>
      </c>
      <c r="F72" s="456">
        <f t="shared" si="22"/>
        <v>180684.60974276526</v>
      </c>
      <c r="G72" s="456">
        <f t="shared" si="22"/>
        <v>180684.60974276526</v>
      </c>
      <c r="H72" s="456">
        <f t="shared" si="22"/>
        <v>180684.60974276526</v>
      </c>
      <c r="I72" s="456">
        <f t="shared" si="22"/>
        <v>180684.60974276526</v>
      </c>
      <c r="J72" s="456">
        <f t="shared" si="22"/>
        <v>180684.60974276526</v>
      </c>
      <c r="K72" s="456">
        <f t="shared" si="22"/>
        <v>180684.60974276526</v>
      </c>
      <c r="L72" s="456">
        <f t="shared" si="22"/>
        <v>180684.60974276526</v>
      </c>
      <c r="M72" s="456">
        <f>+L72*10</f>
        <v>1806846.0974276527</v>
      </c>
      <c r="N72" s="457">
        <f>+M72</f>
        <v>1806846.0974276527</v>
      </c>
    </row>
    <row r="75" spans="1:14" ht="13.5" thickBot="1" x14ac:dyDescent="0.25">
      <c r="A75" s="368" t="s">
        <v>190</v>
      </c>
    </row>
    <row r="76" spans="1:14" ht="13.5" thickBot="1" x14ac:dyDescent="0.25">
      <c r="A76" s="232" t="s">
        <v>160</v>
      </c>
      <c r="B76" s="12"/>
      <c r="C76" s="12">
        <f>(C108-C109)-(C92-C93)</f>
        <v>12843.601710948162</v>
      </c>
      <c r="D76" s="12">
        <f t="shared" ref="D76:N76" si="23">(D108-D109)-(D92-D93)</f>
        <v>12843.601710948162</v>
      </c>
      <c r="E76" s="12">
        <f t="shared" si="23"/>
        <v>12843.601710948162</v>
      </c>
      <c r="F76" s="12">
        <f t="shared" si="23"/>
        <v>12843.601710948162</v>
      </c>
      <c r="G76" s="12">
        <f t="shared" si="23"/>
        <v>12843.601710948162</v>
      </c>
      <c r="H76" s="12">
        <f t="shared" si="23"/>
        <v>12843.601710948162</v>
      </c>
      <c r="I76" s="12">
        <f t="shared" si="23"/>
        <v>12843.601710948162</v>
      </c>
      <c r="J76" s="12">
        <f t="shared" si="23"/>
        <v>12843.601710948162</v>
      </c>
      <c r="K76" s="12">
        <f t="shared" si="23"/>
        <v>12843.601710948162</v>
      </c>
      <c r="L76" s="12">
        <f t="shared" si="23"/>
        <v>12843.601710948162</v>
      </c>
      <c r="M76" s="12">
        <f t="shared" si="23"/>
        <v>128436.01710948162</v>
      </c>
      <c r="N76" s="12">
        <f t="shared" si="23"/>
        <v>128436.01710948162</v>
      </c>
    </row>
    <row r="77" spans="1:14" x14ac:dyDescent="0.2">
      <c r="A77" s="16"/>
      <c r="B77" s="57"/>
      <c r="C77" s="57"/>
      <c r="D77" s="57"/>
      <c r="E77" s="57"/>
      <c r="F77" s="57"/>
      <c r="G77" s="57"/>
      <c r="H77" s="57"/>
      <c r="I77" s="57"/>
      <c r="J77" s="57"/>
      <c r="K77" s="57"/>
      <c r="L77" s="57"/>
      <c r="M77" s="57"/>
      <c r="N77" s="207"/>
    </row>
    <row r="78" spans="1:14" ht="16.5" thickBot="1" x14ac:dyDescent="0.3">
      <c r="A78" s="1054" t="s">
        <v>123</v>
      </c>
      <c r="B78" s="1055"/>
      <c r="C78" s="1055"/>
      <c r="D78" s="1055"/>
      <c r="E78" s="1055"/>
      <c r="F78" s="1055"/>
      <c r="G78" s="1055"/>
      <c r="H78" s="1055"/>
      <c r="I78" s="1055"/>
      <c r="J78" s="1055"/>
      <c r="K78" s="1055"/>
      <c r="L78" s="458"/>
      <c r="M78" s="458"/>
      <c r="N78" s="459"/>
    </row>
    <row r="79" spans="1:14" ht="13.5" thickBot="1" x14ac:dyDescent="0.25">
      <c r="A79" s="217"/>
      <c r="B79" s="218" t="s">
        <v>125</v>
      </c>
      <c r="C79" s="219" t="s">
        <v>126</v>
      </c>
      <c r="D79" s="219" t="s">
        <v>127</v>
      </c>
      <c r="E79" s="219" t="s">
        <v>128</v>
      </c>
      <c r="F79" s="219" t="s">
        <v>129</v>
      </c>
      <c r="G79" s="219" t="s">
        <v>130</v>
      </c>
      <c r="H79" s="219" t="s">
        <v>131</v>
      </c>
      <c r="I79" s="219" t="s">
        <v>132</v>
      </c>
      <c r="J79" s="219" t="s">
        <v>133</v>
      </c>
      <c r="K79" s="219" t="s">
        <v>134</v>
      </c>
      <c r="L79" s="219" t="s">
        <v>135</v>
      </c>
      <c r="M79" s="219" t="s">
        <v>136</v>
      </c>
      <c r="N79" s="220" t="s">
        <v>137</v>
      </c>
    </row>
    <row r="80" spans="1:14" x14ac:dyDescent="0.2">
      <c r="A80" s="255" t="s">
        <v>1228</v>
      </c>
      <c r="B80" s="229"/>
      <c r="C80" s="233"/>
      <c r="D80" s="233"/>
      <c r="E80" s="233"/>
      <c r="F80" s="233"/>
      <c r="G80" s="233"/>
      <c r="H80" s="233"/>
      <c r="I80" s="233"/>
      <c r="J80" s="233"/>
      <c r="K80" s="233"/>
      <c r="L80" s="233"/>
      <c r="M80" s="233"/>
      <c r="N80" s="256"/>
    </row>
    <row r="81" spans="1:14" x14ac:dyDescent="0.2">
      <c r="A81" s="257" t="s">
        <v>139</v>
      </c>
      <c r="B81" s="234"/>
      <c r="C81" s="225">
        <f>+R37</f>
        <v>179</v>
      </c>
      <c r="D81" s="225">
        <f t="shared" ref="D81:L81" si="24">C81</f>
        <v>179</v>
      </c>
      <c r="E81" s="225">
        <f t="shared" si="24"/>
        <v>179</v>
      </c>
      <c r="F81" s="225">
        <f t="shared" si="24"/>
        <v>179</v>
      </c>
      <c r="G81" s="225">
        <f t="shared" si="24"/>
        <v>179</v>
      </c>
      <c r="H81" s="225">
        <f t="shared" si="24"/>
        <v>179</v>
      </c>
      <c r="I81" s="225">
        <f t="shared" si="24"/>
        <v>179</v>
      </c>
      <c r="J81" s="225">
        <f t="shared" si="24"/>
        <v>179</v>
      </c>
      <c r="K81" s="225">
        <f t="shared" si="24"/>
        <v>179</v>
      </c>
      <c r="L81" s="225">
        <f t="shared" si="24"/>
        <v>179</v>
      </c>
      <c r="M81" s="225">
        <f>L81*10</f>
        <v>1790</v>
      </c>
      <c r="N81" s="226">
        <f>M81</f>
        <v>1790</v>
      </c>
    </row>
    <row r="82" spans="1:14" x14ac:dyDescent="0.2">
      <c r="A82" s="257" t="s">
        <v>138</v>
      </c>
      <c r="B82" s="234"/>
      <c r="C82" s="225">
        <f>SUM(C83:C86)</f>
        <v>227.07278917455437</v>
      </c>
      <c r="D82" s="225">
        <f t="shared" ref="D82:N82" si="25">SUM(D83:D86)</f>
        <v>227.07278917455437</v>
      </c>
      <c r="E82" s="225">
        <f t="shared" si="25"/>
        <v>227.07278917455437</v>
      </c>
      <c r="F82" s="225">
        <f t="shared" si="25"/>
        <v>227.07278917455437</v>
      </c>
      <c r="G82" s="225">
        <f t="shared" si="25"/>
        <v>227.07278917455437</v>
      </c>
      <c r="H82" s="225">
        <f t="shared" si="25"/>
        <v>227.07278917455437</v>
      </c>
      <c r="I82" s="225">
        <f t="shared" si="25"/>
        <v>227.07278917455437</v>
      </c>
      <c r="J82" s="225">
        <f t="shared" si="25"/>
        <v>227.07278917455437</v>
      </c>
      <c r="K82" s="225">
        <f t="shared" si="25"/>
        <v>227.07278917455437</v>
      </c>
      <c r="L82" s="225">
        <f t="shared" si="25"/>
        <v>227.07278917455437</v>
      </c>
      <c r="M82" s="225">
        <f t="shared" si="25"/>
        <v>227.07278917455437</v>
      </c>
      <c r="N82" s="226">
        <f t="shared" si="25"/>
        <v>227.07278917455437</v>
      </c>
    </row>
    <row r="83" spans="1:14" x14ac:dyDescent="0.2">
      <c r="A83" s="451" t="s">
        <v>1221</v>
      </c>
      <c r="B83" s="234"/>
      <c r="C83" s="369">
        <f>+Y21</f>
        <v>4.5563199704401107</v>
      </c>
      <c r="D83" s="225">
        <f>+C83*Assumptions!F22</f>
        <v>4.5563199704401107</v>
      </c>
      <c r="E83" s="225">
        <f>+D83*Assumptions!G22</f>
        <v>4.5563199704401107</v>
      </c>
      <c r="F83" s="225">
        <f>+E83*Assumptions!H22</f>
        <v>4.5563199704401107</v>
      </c>
      <c r="G83" s="225">
        <f>+F83*Assumptions!I22</f>
        <v>4.5563199704401107</v>
      </c>
      <c r="H83" s="225">
        <f>+G83*Assumptions!J22</f>
        <v>4.5563199704401107</v>
      </c>
      <c r="I83" s="225">
        <f>+H83*Assumptions!K22</f>
        <v>4.5563199704401107</v>
      </c>
      <c r="J83" s="225">
        <f>+I83*Assumptions!L22</f>
        <v>4.5563199704401107</v>
      </c>
      <c r="K83" s="225">
        <f>+J83*Assumptions!M22</f>
        <v>4.5563199704401107</v>
      </c>
      <c r="L83" s="225">
        <f>+K83*Assumptions!N22</f>
        <v>4.5563199704401107</v>
      </c>
      <c r="M83" s="225">
        <f>+L83*Assumptions!O22</f>
        <v>4.5563199704401107</v>
      </c>
      <c r="N83" s="226">
        <f>+M83*Assumptions!P22</f>
        <v>4.5563199704401107</v>
      </c>
    </row>
    <row r="84" spans="1:14" x14ac:dyDescent="0.2">
      <c r="A84" s="451" t="s">
        <v>1222</v>
      </c>
      <c r="B84" s="234"/>
      <c r="C84" s="370">
        <f>+Z21</f>
        <v>2.2407898583906323</v>
      </c>
      <c r="D84" s="225">
        <f>+C84*Assumptions!F23</f>
        <v>2.2407898583906323</v>
      </c>
      <c r="E84" s="225">
        <f>+D84*Assumptions!G23</f>
        <v>2.2407898583906323</v>
      </c>
      <c r="F84" s="225">
        <f>+E84*Assumptions!H23</f>
        <v>2.2407898583906323</v>
      </c>
      <c r="G84" s="225">
        <f>+F84*Assumptions!I23</f>
        <v>2.2407898583906323</v>
      </c>
      <c r="H84" s="225">
        <f>+G84*Assumptions!J23</f>
        <v>2.2407898583906323</v>
      </c>
      <c r="I84" s="225">
        <f>+H84*Assumptions!K23</f>
        <v>2.2407898583906323</v>
      </c>
      <c r="J84" s="225">
        <f>+I84*Assumptions!L23</f>
        <v>2.2407898583906323</v>
      </c>
      <c r="K84" s="225">
        <f>+J84*Assumptions!M23</f>
        <v>2.2407898583906323</v>
      </c>
      <c r="L84" s="225">
        <f>+K84*Assumptions!N23</f>
        <v>2.2407898583906323</v>
      </c>
      <c r="M84" s="225">
        <f>+L84*Assumptions!O23</f>
        <v>2.2407898583906323</v>
      </c>
      <c r="N84" s="226">
        <f>+M84*Assumptions!P23</f>
        <v>2.2407898583906323</v>
      </c>
    </row>
    <row r="85" spans="1:14" x14ac:dyDescent="0.2">
      <c r="A85" s="451" t="s">
        <v>1225</v>
      </c>
      <c r="B85" s="234"/>
      <c r="C85" s="370">
        <f>+AA21</f>
        <v>24.017933173552894</v>
      </c>
      <c r="D85" s="225">
        <f>+C85*Assumptions!F24</f>
        <v>24.017933173552894</v>
      </c>
      <c r="E85" s="225">
        <f>+D85*Assumptions!G24</f>
        <v>24.017933173552894</v>
      </c>
      <c r="F85" s="225">
        <f>+E85*Assumptions!H24</f>
        <v>24.017933173552894</v>
      </c>
      <c r="G85" s="225">
        <f>+F85*Assumptions!I24</f>
        <v>24.017933173552894</v>
      </c>
      <c r="H85" s="225">
        <f>+G85*Assumptions!J24</f>
        <v>24.017933173552894</v>
      </c>
      <c r="I85" s="225">
        <f>+H85*Assumptions!K24</f>
        <v>24.017933173552894</v>
      </c>
      <c r="J85" s="225">
        <f>+I85*Assumptions!L24</f>
        <v>24.017933173552894</v>
      </c>
      <c r="K85" s="225">
        <f>+J85*Assumptions!M24</f>
        <v>24.017933173552894</v>
      </c>
      <c r="L85" s="225">
        <f>+K85*Assumptions!N24</f>
        <v>24.017933173552894</v>
      </c>
      <c r="M85" s="225">
        <f>+L85*Assumptions!O24</f>
        <v>24.017933173552894</v>
      </c>
      <c r="N85" s="226">
        <f>+M85*Assumptions!P24</f>
        <v>24.017933173552894</v>
      </c>
    </row>
    <row r="86" spans="1:14" x14ac:dyDescent="0.2">
      <c r="A86" s="451" t="s">
        <v>1199</v>
      </c>
      <c r="B86" s="234"/>
      <c r="C86" s="370">
        <f>+AB21</f>
        <v>196.25774617217073</v>
      </c>
      <c r="D86" s="225">
        <f>+C86*Assumptions!F25</f>
        <v>196.25774617217073</v>
      </c>
      <c r="E86" s="225">
        <f>+D86*Assumptions!G25</f>
        <v>196.25774617217073</v>
      </c>
      <c r="F86" s="225">
        <f>+E86*Assumptions!H25</f>
        <v>196.25774617217073</v>
      </c>
      <c r="G86" s="225">
        <f>+F86*Assumptions!I25</f>
        <v>196.25774617217073</v>
      </c>
      <c r="H86" s="225">
        <f>+G86*Assumptions!J25</f>
        <v>196.25774617217073</v>
      </c>
      <c r="I86" s="225">
        <f>+H86*Assumptions!K25</f>
        <v>196.25774617217073</v>
      </c>
      <c r="J86" s="225">
        <f>+I86*Assumptions!L25</f>
        <v>196.25774617217073</v>
      </c>
      <c r="K86" s="225">
        <f>+J86*Assumptions!M25</f>
        <v>196.25774617217073</v>
      </c>
      <c r="L86" s="225">
        <f>+K86*Assumptions!N25</f>
        <v>196.25774617217073</v>
      </c>
      <c r="M86" s="225">
        <f>+L86*Assumptions!O25</f>
        <v>196.25774617217073</v>
      </c>
      <c r="N86" s="226">
        <f>+M86*Assumptions!P25</f>
        <v>196.25774617217073</v>
      </c>
    </row>
    <row r="87" spans="1:14" x14ac:dyDescent="0.2">
      <c r="A87" s="257" t="s">
        <v>140</v>
      </c>
      <c r="B87" s="234"/>
      <c r="C87" s="239">
        <f>((C88*C83)+(C89*C84)+(C85*C90)+(C86*C91))/SUM(C83:C86)</f>
        <v>8.2546975416112165</v>
      </c>
      <c r="D87" s="239">
        <f t="shared" ref="D87:N87" si="26">C87</f>
        <v>8.2546975416112165</v>
      </c>
      <c r="E87" s="239">
        <f t="shared" si="26"/>
        <v>8.2546975416112165</v>
      </c>
      <c r="F87" s="239">
        <f t="shared" si="26"/>
        <v>8.2546975416112165</v>
      </c>
      <c r="G87" s="239">
        <f t="shared" si="26"/>
        <v>8.2546975416112165</v>
      </c>
      <c r="H87" s="239">
        <f t="shared" si="26"/>
        <v>8.2546975416112165</v>
      </c>
      <c r="I87" s="239">
        <f t="shared" si="26"/>
        <v>8.2546975416112165</v>
      </c>
      <c r="J87" s="239">
        <f t="shared" si="26"/>
        <v>8.2546975416112165</v>
      </c>
      <c r="K87" s="239">
        <f t="shared" si="26"/>
        <v>8.2546975416112165</v>
      </c>
      <c r="L87" s="239">
        <f t="shared" si="26"/>
        <v>8.2546975416112165</v>
      </c>
      <c r="M87" s="239">
        <f t="shared" si="26"/>
        <v>8.2546975416112165</v>
      </c>
      <c r="N87" s="260">
        <f t="shared" si="26"/>
        <v>8.2546975416112165</v>
      </c>
    </row>
    <row r="88" spans="1:14" x14ac:dyDescent="0.2">
      <c r="A88" s="451" t="s">
        <v>1221</v>
      </c>
      <c r="B88" s="236"/>
      <c r="C88" s="371">
        <f>+$R$10</f>
        <v>52.122314049586777</v>
      </c>
      <c r="D88" s="237">
        <f t="shared" ref="D88:N88" si="27">C88</f>
        <v>52.122314049586777</v>
      </c>
      <c r="E88" s="237">
        <f t="shared" si="27"/>
        <v>52.122314049586777</v>
      </c>
      <c r="F88" s="237">
        <f t="shared" si="27"/>
        <v>52.122314049586777</v>
      </c>
      <c r="G88" s="237">
        <f t="shared" si="27"/>
        <v>52.122314049586777</v>
      </c>
      <c r="H88" s="237">
        <f t="shared" si="27"/>
        <v>52.122314049586777</v>
      </c>
      <c r="I88" s="237">
        <f t="shared" si="27"/>
        <v>52.122314049586777</v>
      </c>
      <c r="J88" s="237">
        <f t="shared" si="27"/>
        <v>52.122314049586777</v>
      </c>
      <c r="K88" s="237">
        <f t="shared" si="27"/>
        <v>52.122314049586777</v>
      </c>
      <c r="L88" s="237">
        <f t="shared" si="27"/>
        <v>52.122314049586777</v>
      </c>
      <c r="M88" s="237">
        <f t="shared" si="27"/>
        <v>52.122314049586777</v>
      </c>
      <c r="N88" s="258">
        <f t="shared" si="27"/>
        <v>52.122314049586777</v>
      </c>
    </row>
    <row r="89" spans="1:14" x14ac:dyDescent="0.2">
      <c r="A89" s="451" t="s">
        <v>1222</v>
      </c>
      <c r="B89" s="236"/>
      <c r="C89" s="371">
        <f>+$S$10</f>
        <v>77.720967741935482</v>
      </c>
      <c r="D89" s="237">
        <f t="shared" ref="D89:N89" si="28">C89</f>
        <v>77.720967741935482</v>
      </c>
      <c r="E89" s="237">
        <f t="shared" si="28"/>
        <v>77.720967741935482</v>
      </c>
      <c r="F89" s="237">
        <f t="shared" si="28"/>
        <v>77.720967741935482</v>
      </c>
      <c r="G89" s="237">
        <f t="shared" si="28"/>
        <v>77.720967741935482</v>
      </c>
      <c r="H89" s="237">
        <f t="shared" si="28"/>
        <v>77.720967741935482</v>
      </c>
      <c r="I89" s="237">
        <f t="shared" si="28"/>
        <v>77.720967741935482</v>
      </c>
      <c r="J89" s="237">
        <f t="shared" si="28"/>
        <v>77.720967741935482</v>
      </c>
      <c r="K89" s="237">
        <f t="shared" si="28"/>
        <v>77.720967741935482</v>
      </c>
      <c r="L89" s="237">
        <f t="shared" si="28"/>
        <v>77.720967741935482</v>
      </c>
      <c r="M89" s="237">
        <f t="shared" si="28"/>
        <v>77.720967741935482</v>
      </c>
      <c r="N89" s="258">
        <f t="shared" si="28"/>
        <v>77.720967741935482</v>
      </c>
    </row>
    <row r="90" spans="1:14" x14ac:dyDescent="0.2">
      <c r="A90" s="451" t="s">
        <v>1225</v>
      </c>
      <c r="B90" s="236"/>
      <c r="C90" s="371">
        <f>+$T$8</f>
        <v>34.535821661655788</v>
      </c>
      <c r="D90" s="237">
        <f t="shared" ref="D90:N90" si="29">C90</f>
        <v>34.535821661655788</v>
      </c>
      <c r="E90" s="237">
        <f t="shared" si="29"/>
        <v>34.535821661655788</v>
      </c>
      <c r="F90" s="237">
        <f t="shared" si="29"/>
        <v>34.535821661655788</v>
      </c>
      <c r="G90" s="237">
        <f t="shared" si="29"/>
        <v>34.535821661655788</v>
      </c>
      <c r="H90" s="237">
        <f t="shared" si="29"/>
        <v>34.535821661655788</v>
      </c>
      <c r="I90" s="237">
        <f t="shared" si="29"/>
        <v>34.535821661655788</v>
      </c>
      <c r="J90" s="237">
        <f t="shared" si="29"/>
        <v>34.535821661655788</v>
      </c>
      <c r="K90" s="237">
        <f t="shared" si="29"/>
        <v>34.535821661655788</v>
      </c>
      <c r="L90" s="237">
        <f t="shared" si="29"/>
        <v>34.535821661655788</v>
      </c>
      <c r="M90" s="237">
        <f t="shared" si="29"/>
        <v>34.535821661655788</v>
      </c>
      <c r="N90" s="258">
        <f t="shared" si="29"/>
        <v>34.535821661655788</v>
      </c>
    </row>
    <row r="91" spans="1:14" ht="13.5" thickBot="1" x14ac:dyDescent="0.25">
      <c r="A91" s="451" t="s">
        <v>1199</v>
      </c>
      <c r="B91" s="236"/>
      <c r="C91" s="371">
        <f>+$U$10</f>
        <v>3.2268578104271035</v>
      </c>
      <c r="D91" s="237">
        <f t="shared" ref="D91:N91" si="30">C91</f>
        <v>3.2268578104271035</v>
      </c>
      <c r="E91" s="237">
        <f t="shared" si="30"/>
        <v>3.2268578104271035</v>
      </c>
      <c r="F91" s="237">
        <f t="shared" si="30"/>
        <v>3.2268578104271035</v>
      </c>
      <c r="G91" s="237">
        <f t="shared" si="30"/>
        <v>3.2268578104271035</v>
      </c>
      <c r="H91" s="237">
        <f t="shared" si="30"/>
        <v>3.2268578104271035</v>
      </c>
      <c r="I91" s="237">
        <f t="shared" si="30"/>
        <v>3.2268578104271035</v>
      </c>
      <c r="J91" s="237">
        <f t="shared" si="30"/>
        <v>3.2268578104271035</v>
      </c>
      <c r="K91" s="237">
        <f t="shared" si="30"/>
        <v>3.2268578104271035</v>
      </c>
      <c r="L91" s="237">
        <f t="shared" si="30"/>
        <v>3.2268578104271035</v>
      </c>
      <c r="M91" s="237">
        <f t="shared" si="30"/>
        <v>3.2268578104271035</v>
      </c>
      <c r="N91" s="258">
        <f t="shared" si="30"/>
        <v>3.2268578104271035</v>
      </c>
    </row>
    <row r="92" spans="1:14" ht="13.5" thickBot="1" x14ac:dyDescent="0.25">
      <c r="A92" s="221" t="s">
        <v>141</v>
      </c>
      <c r="B92" s="15"/>
      <c r="C92" s="15">
        <f>((C91*C86)+(C90*C85)+(C89*C84)+(C88*C83))*C81</f>
        <v>335520.67782731337</v>
      </c>
      <c r="D92" s="15">
        <f t="shared" ref="D92:L92" si="31">((D91*D86)+(D90*D85)+(D89*D84)+(D88*D83))*D81</f>
        <v>335520.67782731337</v>
      </c>
      <c r="E92" s="15">
        <f t="shared" si="31"/>
        <v>335520.67782731337</v>
      </c>
      <c r="F92" s="15">
        <f t="shared" si="31"/>
        <v>335520.67782731337</v>
      </c>
      <c r="G92" s="15">
        <f t="shared" si="31"/>
        <v>335520.67782731337</v>
      </c>
      <c r="H92" s="15">
        <f t="shared" si="31"/>
        <v>335520.67782731337</v>
      </c>
      <c r="I92" s="15">
        <f t="shared" si="31"/>
        <v>335520.67782731337</v>
      </c>
      <c r="J92" s="15">
        <f t="shared" si="31"/>
        <v>335520.67782731337</v>
      </c>
      <c r="K92" s="15">
        <f t="shared" si="31"/>
        <v>335520.67782731337</v>
      </c>
      <c r="L92" s="15">
        <f t="shared" si="31"/>
        <v>335520.67782731337</v>
      </c>
      <c r="M92" s="409">
        <f>+L92*10</f>
        <v>3355206.7782731336</v>
      </c>
      <c r="N92" s="414">
        <f>+M92</f>
        <v>3355206.7782731336</v>
      </c>
    </row>
    <row r="93" spans="1:14" ht="13.5" thickBot="1" x14ac:dyDescent="0.25">
      <c r="A93" s="16" t="s">
        <v>1227</v>
      </c>
      <c r="B93" s="40"/>
      <c r="C93" s="442">
        <f>+'Boat Costs'!F13</f>
        <v>272728.16993569129</v>
      </c>
      <c r="D93" s="443">
        <f>+C93</f>
        <v>272728.16993569129</v>
      </c>
      <c r="E93" s="443">
        <f t="shared" ref="E93:L93" si="32">+D93</f>
        <v>272728.16993569129</v>
      </c>
      <c r="F93" s="443">
        <f t="shared" si="32"/>
        <v>272728.16993569129</v>
      </c>
      <c r="G93" s="443">
        <f t="shared" si="32"/>
        <v>272728.16993569129</v>
      </c>
      <c r="H93" s="443">
        <f t="shared" si="32"/>
        <v>272728.16993569129</v>
      </c>
      <c r="I93" s="443">
        <f t="shared" si="32"/>
        <v>272728.16993569129</v>
      </c>
      <c r="J93" s="443">
        <f t="shared" si="32"/>
        <v>272728.16993569129</v>
      </c>
      <c r="K93" s="443">
        <f t="shared" si="32"/>
        <v>272728.16993569129</v>
      </c>
      <c r="L93" s="443">
        <f t="shared" si="32"/>
        <v>272728.16993569129</v>
      </c>
      <c r="M93" s="443">
        <f>+L93*10</f>
        <v>2727281.6993569126</v>
      </c>
      <c r="N93" s="461">
        <f>+M93</f>
        <v>2727281.6993569126</v>
      </c>
    </row>
    <row r="94" spans="1:14" ht="16.5" thickBot="1" x14ac:dyDescent="0.3">
      <c r="A94" s="1056" t="s">
        <v>124</v>
      </c>
      <c r="B94" s="1057"/>
      <c r="C94" s="1057"/>
      <c r="D94" s="1057"/>
      <c r="E94" s="1057"/>
      <c r="F94" s="1057"/>
      <c r="G94" s="1057"/>
      <c r="H94" s="1057"/>
      <c r="I94" s="1057"/>
      <c r="J94" s="1057"/>
      <c r="K94" s="1057"/>
      <c r="L94" s="215"/>
      <c r="M94" s="215"/>
      <c r="N94" s="216"/>
    </row>
    <row r="95" spans="1:14" ht="13.5" thickBot="1" x14ac:dyDescent="0.25">
      <c r="A95" s="217"/>
      <c r="B95" s="218" t="s">
        <v>125</v>
      </c>
      <c r="C95" s="219" t="s">
        <v>126</v>
      </c>
      <c r="D95" s="219" t="s">
        <v>127</v>
      </c>
      <c r="E95" s="219" t="s">
        <v>128</v>
      </c>
      <c r="F95" s="219" t="s">
        <v>129</v>
      </c>
      <c r="G95" s="219" t="s">
        <v>130</v>
      </c>
      <c r="H95" s="219" t="s">
        <v>131</v>
      </c>
      <c r="I95" s="219" t="s">
        <v>132</v>
      </c>
      <c r="J95" s="219" t="s">
        <v>133</v>
      </c>
      <c r="K95" s="219" t="s">
        <v>134</v>
      </c>
      <c r="L95" s="219" t="s">
        <v>135</v>
      </c>
      <c r="M95" s="219" t="s">
        <v>136</v>
      </c>
      <c r="N95" s="220" t="s">
        <v>137</v>
      </c>
    </row>
    <row r="96" spans="1:14" x14ac:dyDescent="0.2">
      <c r="A96" s="255" t="s">
        <v>1228</v>
      </c>
      <c r="B96" s="229"/>
      <c r="C96" s="233"/>
      <c r="D96" s="233"/>
      <c r="E96" s="233"/>
      <c r="F96" s="233"/>
      <c r="G96" s="233"/>
      <c r="H96" s="233"/>
      <c r="I96" s="233"/>
      <c r="J96" s="233"/>
      <c r="K96" s="233"/>
      <c r="L96" s="233"/>
      <c r="M96" s="233"/>
      <c r="N96" s="256"/>
    </row>
    <row r="97" spans="1:14" x14ac:dyDescent="0.2">
      <c r="A97" s="257" t="str">
        <f>A81</f>
        <v xml:space="preserve">  - Days</v>
      </c>
      <c r="B97" s="234"/>
      <c r="C97" s="225">
        <f>C81*(1+Assumptions!$Q6)</f>
        <v>187.95000000000002</v>
      </c>
      <c r="D97" s="225">
        <f>D81*(1+Assumptions!$Q6)</f>
        <v>187.95000000000002</v>
      </c>
      <c r="E97" s="225">
        <f>E81*(1+Assumptions!$Q6)</f>
        <v>187.95000000000002</v>
      </c>
      <c r="F97" s="225">
        <f>F81*(1+Assumptions!$Q6)</f>
        <v>187.95000000000002</v>
      </c>
      <c r="G97" s="225">
        <f>G81*(1+Assumptions!$Q6)</f>
        <v>187.95000000000002</v>
      </c>
      <c r="H97" s="225">
        <f>H81*(1+Assumptions!$Q6)</f>
        <v>187.95000000000002</v>
      </c>
      <c r="I97" s="225">
        <f>I81*(1+Assumptions!$Q6)</f>
        <v>187.95000000000002</v>
      </c>
      <c r="J97" s="225">
        <f>J81*(1+Assumptions!$Q6)</f>
        <v>187.95000000000002</v>
      </c>
      <c r="K97" s="225">
        <f>K81*(1+Assumptions!$Q6)</f>
        <v>187.95000000000002</v>
      </c>
      <c r="L97" s="225">
        <f>L81*(1+Assumptions!$Q6)</f>
        <v>187.95000000000002</v>
      </c>
      <c r="M97" s="225">
        <f>L97*10</f>
        <v>1879.5000000000002</v>
      </c>
      <c r="N97" s="226">
        <f>M97</f>
        <v>1879.5000000000002</v>
      </c>
    </row>
    <row r="98" spans="1:14" x14ac:dyDescent="0.2">
      <c r="A98" s="257" t="str">
        <f>A82</f>
        <v xml:space="preserve">  - Catch per boat trip in kg </v>
      </c>
      <c r="B98" s="234"/>
      <c r="C98" s="477">
        <f>+C82*(1+(Assumptions!$Q$8+Assumptions!B$30))</f>
        <v>227.07278917455437</v>
      </c>
      <c r="D98" s="477">
        <f>+D82*(1+(Assumptions!$Q$8+Assumptions!C$30))</f>
        <v>227.07278917455437</v>
      </c>
      <c r="E98" s="477">
        <f>+E82*(1+(Assumptions!$Q$8+Assumptions!D$30))</f>
        <v>227.07278917455437</v>
      </c>
      <c r="F98" s="477">
        <f>+F82*(1+(Assumptions!$Q$8+Assumptions!E$30))</f>
        <v>227.07278917455437</v>
      </c>
      <c r="G98" s="477">
        <f>+G82*(1+(Assumptions!$Q$8+Assumptions!F$30))</f>
        <v>227.07278917455437</v>
      </c>
      <c r="H98" s="477">
        <f>+H82*(1+(Assumptions!$Q$8+Assumptions!G$30))</f>
        <v>227.07278917455437</v>
      </c>
      <c r="I98" s="477">
        <f>+I82*(1+(Assumptions!$Q$8+Assumptions!H$30))</f>
        <v>227.07278917455437</v>
      </c>
      <c r="J98" s="477">
        <f>+J82*(1+(Assumptions!$Q$8+Assumptions!I$30))</f>
        <v>227.07278917455437</v>
      </c>
      <c r="K98" s="477">
        <f>+K82*(1+(Assumptions!$Q$8+Assumptions!J$30))</f>
        <v>227.07278917455437</v>
      </c>
      <c r="L98" s="477">
        <f>+L82*(1+(Assumptions!$Q$8+Assumptions!K$30))</f>
        <v>227.07278917455437</v>
      </c>
      <c r="M98" s="477">
        <f>+M82*(1+(Assumptions!$Q$8+Assumptions!L$30))</f>
        <v>227.07278917455437</v>
      </c>
      <c r="N98" s="477">
        <f>+N82*(1+(Assumptions!$Q$8+Assumptions!M$30))</f>
        <v>227.07278917455437</v>
      </c>
    </row>
    <row r="99" spans="1:14" x14ac:dyDescent="0.2">
      <c r="A99" s="451" t="s">
        <v>1221</v>
      </c>
      <c r="B99" s="234"/>
      <c r="C99" s="238"/>
      <c r="D99" s="225"/>
      <c r="E99" s="225"/>
      <c r="F99" s="225"/>
      <c r="G99" s="225"/>
      <c r="H99" s="225"/>
      <c r="I99" s="225"/>
      <c r="J99" s="225"/>
      <c r="K99" s="225"/>
      <c r="L99" s="225"/>
      <c r="M99" s="225"/>
      <c r="N99" s="226"/>
    </row>
    <row r="100" spans="1:14" x14ac:dyDescent="0.2">
      <c r="A100" s="451" t="s">
        <v>1222</v>
      </c>
      <c r="B100" s="234"/>
      <c r="C100" s="238"/>
      <c r="D100" s="238"/>
      <c r="E100" s="238"/>
      <c r="F100" s="238"/>
      <c r="G100" s="238"/>
      <c r="H100" s="238"/>
      <c r="I100" s="238"/>
      <c r="J100" s="238"/>
      <c r="K100" s="238"/>
      <c r="L100" s="238"/>
      <c r="M100" s="238"/>
      <c r="N100" s="259"/>
    </row>
    <row r="101" spans="1:14" x14ac:dyDescent="0.2">
      <c r="A101" s="451" t="s">
        <v>1225</v>
      </c>
      <c r="B101" s="234"/>
      <c r="C101" s="238"/>
      <c r="D101" s="238"/>
      <c r="E101" s="238"/>
      <c r="F101" s="238"/>
      <c r="G101" s="238"/>
      <c r="H101" s="238"/>
      <c r="I101" s="238"/>
      <c r="J101" s="238"/>
      <c r="K101" s="238"/>
      <c r="L101" s="238"/>
      <c r="M101" s="238"/>
      <c r="N101" s="259"/>
    </row>
    <row r="102" spans="1:14" x14ac:dyDescent="0.2">
      <c r="A102" s="451" t="s">
        <v>1199</v>
      </c>
      <c r="B102" s="234"/>
      <c r="C102" s="238"/>
      <c r="D102" s="238"/>
      <c r="E102" s="238"/>
      <c r="F102" s="238"/>
      <c r="G102" s="238"/>
      <c r="H102" s="238"/>
      <c r="I102" s="238"/>
      <c r="J102" s="238"/>
      <c r="K102" s="238"/>
      <c r="L102" s="238"/>
      <c r="M102" s="238"/>
      <c r="N102" s="259"/>
    </row>
    <row r="103" spans="1:14" x14ac:dyDescent="0.2">
      <c r="A103" s="257" t="str">
        <f>A87</f>
        <v xml:space="preserve">  - Average price of sales in dh/kg</v>
      </c>
      <c r="B103" s="234"/>
      <c r="C103" s="239">
        <f>+C87*(1+(Assumptions!$Q$7))</f>
        <v>8.4197914924434407</v>
      </c>
      <c r="D103" s="239">
        <f>+D87*(1+(Assumptions!$Q$7))</f>
        <v>8.4197914924434407</v>
      </c>
      <c r="E103" s="239">
        <f>+E87*(1+(Assumptions!$Q$7))</f>
        <v>8.4197914924434407</v>
      </c>
      <c r="F103" s="239">
        <f>+F87*(1+(Assumptions!$Q$7))</f>
        <v>8.4197914924434407</v>
      </c>
      <c r="G103" s="239">
        <f>+G87*(1+(Assumptions!$Q$7))</f>
        <v>8.4197914924434407</v>
      </c>
      <c r="H103" s="239">
        <f>+H87*(1+(Assumptions!$Q$7))</f>
        <v>8.4197914924434407</v>
      </c>
      <c r="I103" s="239">
        <f>+I87*(1+(Assumptions!$Q$7))</f>
        <v>8.4197914924434407</v>
      </c>
      <c r="J103" s="239">
        <f>+J87*(1+(Assumptions!$Q$7))</f>
        <v>8.4197914924434407</v>
      </c>
      <c r="K103" s="239">
        <f>+K87*(1+(Assumptions!$Q$7))</f>
        <v>8.4197914924434407</v>
      </c>
      <c r="L103" s="239">
        <f>+L87*(1+(Assumptions!$Q$7))</f>
        <v>8.4197914924434407</v>
      </c>
      <c r="M103" s="239">
        <f>+M87*(1+(Assumptions!$Q$7))</f>
        <v>8.4197914924434407</v>
      </c>
      <c r="N103" s="239">
        <f>+N87*(1+(Assumptions!$Q$7))</f>
        <v>8.4197914924434407</v>
      </c>
    </row>
    <row r="104" spans="1:14" x14ac:dyDescent="0.2">
      <c r="A104" s="451" t="s">
        <v>1221</v>
      </c>
      <c r="B104" s="236"/>
      <c r="C104" s="237"/>
      <c r="D104" s="237"/>
      <c r="E104" s="237"/>
      <c r="F104" s="237"/>
      <c r="G104" s="237"/>
      <c r="H104" s="237"/>
      <c r="I104" s="237"/>
      <c r="J104" s="237"/>
      <c r="K104" s="237"/>
      <c r="L104" s="237"/>
      <c r="M104" s="237"/>
      <c r="N104" s="258"/>
    </row>
    <row r="105" spans="1:14" x14ac:dyDescent="0.2">
      <c r="A105" s="451" t="s">
        <v>1222</v>
      </c>
      <c r="B105" s="236"/>
      <c r="C105" s="237"/>
      <c r="D105" s="237"/>
      <c r="E105" s="237"/>
      <c r="F105" s="237"/>
      <c r="G105" s="237"/>
      <c r="H105" s="237"/>
      <c r="I105" s="237"/>
      <c r="J105" s="237"/>
      <c r="K105" s="237"/>
      <c r="L105" s="237"/>
      <c r="M105" s="237"/>
      <c r="N105" s="258"/>
    </row>
    <row r="106" spans="1:14" x14ac:dyDescent="0.2">
      <c r="A106" s="451" t="s">
        <v>1225</v>
      </c>
      <c r="B106" s="236"/>
      <c r="C106" s="237"/>
      <c r="D106" s="237"/>
      <c r="E106" s="237"/>
      <c r="F106" s="237"/>
      <c r="G106" s="237"/>
      <c r="H106" s="237"/>
      <c r="I106" s="237"/>
      <c r="J106" s="237"/>
      <c r="K106" s="237"/>
      <c r="L106" s="237"/>
      <c r="M106" s="237"/>
      <c r="N106" s="258"/>
    </row>
    <row r="107" spans="1:14" ht="13.5" thickBot="1" x14ac:dyDescent="0.25">
      <c r="A107" s="451" t="s">
        <v>1199</v>
      </c>
      <c r="B107" s="236"/>
      <c r="C107" s="237"/>
      <c r="D107" s="237"/>
      <c r="E107" s="237"/>
      <c r="F107" s="237"/>
      <c r="G107" s="237"/>
      <c r="H107" s="237"/>
      <c r="I107" s="237"/>
      <c r="J107" s="237"/>
      <c r="K107" s="237"/>
      <c r="L107" s="237"/>
      <c r="M107" s="237"/>
      <c r="N107" s="258"/>
    </row>
    <row r="108" spans="1:14" x14ac:dyDescent="0.2">
      <c r="A108" s="230" t="s">
        <v>141</v>
      </c>
      <c r="B108" s="178"/>
      <c r="C108" s="178">
        <f>+C97*C98*C103</f>
        <v>359342.64595305256</v>
      </c>
      <c r="D108" s="178">
        <f t="shared" ref="D108:L108" si="33">+D97*D98*D103</f>
        <v>359342.64595305256</v>
      </c>
      <c r="E108" s="178">
        <f t="shared" si="33"/>
        <v>359342.64595305256</v>
      </c>
      <c r="F108" s="178">
        <f t="shared" si="33"/>
        <v>359342.64595305256</v>
      </c>
      <c r="G108" s="178">
        <f t="shared" si="33"/>
        <v>359342.64595305256</v>
      </c>
      <c r="H108" s="178">
        <f t="shared" si="33"/>
        <v>359342.64595305256</v>
      </c>
      <c r="I108" s="178">
        <f t="shared" si="33"/>
        <v>359342.64595305256</v>
      </c>
      <c r="J108" s="178">
        <f t="shared" si="33"/>
        <v>359342.64595305256</v>
      </c>
      <c r="K108" s="178">
        <f t="shared" si="33"/>
        <v>359342.64595305256</v>
      </c>
      <c r="L108" s="178">
        <f t="shared" si="33"/>
        <v>359342.64595305256</v>
      </c>
      <c r="M108" s="178">
        <f>+L108*10</f>
        <v>3593426.4595305258</v>
      </c>
      <c r="N108" s="179">
        <f>+M108</f>
        <v>3593426.4595305258</v>
      </c>
    </row>
    <row r="109" spans="1:14" x14ac:dyDescent="0.2">
      <c r="A109" s="453" t="s">
        <v>1227</v>
      </c>
      <c r="B109" s="212"/>
      <c r="C109" s="460">
        <f>+'Boat Costs'!F14</f>
        <v>283706.53635048232</v>
      </c>
      <c r="D109" s="456">
        <f>+C109</f>
        <v>283706.53635048232</v>
      </c>
      <c r="E109" s="456">
        <f t="shared" ref="E109:L109" si="34">+D109</f>
        <v>283706.53635048232</v>
      </c>
      <c r="F109" s="456">
        <f t="shared" si="34"/>
        <v>283706.53635048232</v>
      </c>
      <c r="G109" s="456">
        <f t="shared" si="34"/>
        <v>283706.53635048232</v>
      </c>
      <c r="H109" s="456">
        <f t="shared" si="34"/>
        <v>283706.53635048232</v>
      </c>
      <c r="I109" s="456">
        <f t="shared" si="34"/>
        <v>283706.53635048232</v>
      </c>
      <c r="J109" s="456">
        <f t="shared" si="34"/>
        <v>283706.53635048232</v>
      </c>
      <c r="K109" s="456">
        <f t="shared" si="34"/>
        <v>283706.53635048232</v>
      </c>
      <c r="L109" s="456">
        <f t="shared" si="34"/>
        <v>283706.53635048232</v>
      </c>
      <c r="M109" s="456">
        <f>+L109*10</f>
        <v>2837065.3635048233</v>
      </c>
      <c r="N109" s="457">
        <f>+M109</f>
        <v>2837065.3635048233</v>
      </c>
    </row>
    <row r="112" spans="1:14" ht="16.5" thickBot="1" x14ac:dyDescent="0.3">
      <c r="A112" s="373" t="s">
        <v>186</v>
      </c>
    </row>
    <row r="113" spans="1:14" ht="13.5" thickBot="1" x14ac:dyDescent="0.25">
      <c r="A113" s="232" t="s">
        <v>160</v>
      </c>
      <c r="B113" s="12"/>
      <c r="C113" s="12">
        <f>(C145-C146)-(C129-C130)</f>
        <v>25524.502186082886</v>
      </c>
      <c r="D113" s="12">
        <f t="shared" ref="D113:N113" si="35">(D145-D146)-(D129-D130)</f>
        <v>25524.502186082886</v>
      </c>
      <c r="E113" s="12">
        <f t="shared" si="35"/>
        <v>25524.502186082886</v>
      </c>
      <c r="F113" s="12">
        <f t="shared" si="35"/>
        <v>25524.502186082886</v>
      </c>
      <c r="G113" s="12">
        <f t="shared" si="35"/>
        <v>25524.502186082886</v>
      </c>
      <c r="H113" s="12">
        <f t="shared" si="35"/>
        <v>25524.502186082886</v>
      </c>
      <c r="I113" s="12">
        <f t="shared" si="35"/>
        <v>25524.502186082886</v>
      </c>
      <c r="J113" s="12">
        <f t="shared" si="35"/>
        <v>25524.502186082886</v>
      </c>
      <c r="K113" s="12">
        <f t="shared" si="35"/>
        <v>25524.502186082886</v>
      </c>
      <c r="L113" s="12">
        <f t="shared" si="35"/>
        <v>25524.502186082886</v>
      </c>
      <c r="M113" s="12">
        <f t="shared" si="35"/>
        <v>255245.02186082862</v>
      </c>
      <c r="N113" s="12">
        <f t="shared" si="35"/>
        <v>255245.02186082862</v>
      </c>
    </row>
    <row r="114" spans="1:14" x14ac:dyDescent="0.2">
      <c r="A114" s="16"/>
      <c r="B114" s="57"/>
      <c r="C114" s="57"/>
      <c r="D114" s="57"/>
      <c r="E114" s="57"/>
      <c r="F114" s="57"/>
      <c r="G114" s="57"/>
      <c r="H114" s="57"/>
      <c r="I114" s="57"/>
      <c r="J114" s="57"/>
      <c r="K114" s="57"/>
      <c r="L114" s="57"/>
      <c r="M114" s="57"/>
      <c r="N114" s="207"/>
    </row>
    <row r="115" spans="1:14" ht="16.5" thickBot="1" x14ac:dyDescent="0.3">
      <c r="A115" s="1054" t="s">
        <v>123</v>
      </c>
      <c r="B115" s="1055"/>
      <c r="C115" s="1055"/>
      <c r="D115" s="1055"/>
      <c r="E115" s="1055"/>
      <c r="F115" s="1055"/>
      <c r="G115" s="1055"/>
      <c r="H115" s="1055"/>
      <c r="I115" s="1055"/>
      <c r="J115" s="1055"/>
      <c r="K115" s="1055"/>
      <c r="L115" s="458"/>
      <c r="M115" s="458"/>
      <c r="N115" s="459"/>
    </row>
    <row r="116" spans="1:14" ht="13.5" thickBot="1" x14ac:dyDescent="0.25">
      <c r="A116" s="217"/>
      <c r="B116" s="218" t="s">
        <v>125</v>
      </c>
      <c r="C116" s="219" t="s">
        <v>126</v>
      </c>
      <c r="D116" s="219" t="s">
        <v>127</v>
      </c>
      <c r="E116" s="219" t="s">
        <v>128</v>
      </c>
      <c r="F116" s="219" t="s">
        <v>129</v>
      </c>
      <c r="G116" s="219" t="s">
        <v>130</v>
      </c>
      <c r="H116" s="219" t="s">
        <v>131</v>
      </c>
      <c r="I116" s="219" t="s">
        <v>132</v>
      </c>
      <c r="J116" s="219" t="s">
        <v>133</v>
      </c>
      <c r="K116" s="219" t="s">
        <v>134</v>
      </c>
      <c r="L116" s="219" t="s">
        <v>135</v>
      </c>
      <c r="M116" s="219" t="s">
        <v>136</v>
      </c>
      <c r="N116" s="220" t="s">
        <v>137</v>
      </c>
    </row>
    <row r="117" spans="1:14" x14ac:dyDescent="0.2">
      <c r="A117" s="255" t="s">
        <v>1228</v>
      </c>
      <c r="B117" s="229"/>
      <c r="C117" s="233"/>
      <c r="D117" s="233"/>
      <c r="E117" s="233"/>
      <c r="F117" s="233"/>
      <c r="G117" s="233"/>
      <c r="H117" s="233"/>
      <c r="I117" s="233"/>
      <c r="J117" s="233"/>
      <c r="K117" s="233"/>
      <c r="L117" s="233"/>
      <c r="M117" s="233"/>
      <c r="N117" s="256"/>
    </row>
    <row r="118" spans="1:14" x14ac:dyDescent="0.2">
      <c r="A118" s="257" t="s">
        <v>139</v>
      </c>
      <c r="B118" s="234"/>
      <c r="C118" s="225">
        <f>+R38</f>
        <v>83</v>
      </c>
      <c r="D118" s="225">
        <f t="shared" ref="D118:L118" si="36">C118</f>
        <v>83</v>
      </c>
      <c r="E118" s="225">
        <f t="shared" si="36"/>
        <v>83</v>
      </c>
      <c r="F118" s="225">
        <f t="shared" si="36"/>
        <v>83</v>
      </c>
      <c r="G118" s="225">
        <f t="shared" si="36"/>
        <v>83</v>
      </c>
      <c r="H118" s="225">
        <f t="shared" si="36"/>
        <v>83</v>
      </c>
      <c r="I118" s="225">
        <f t="shared" si="36"/>
        <v>83</v>
      </c>
      <c r="J118" s="225">
        <f t="shared" si="36"/>
        <v>83</v>
      </c>
      <c r="K118" s="225">
        <f t="shared" si="36"/>
        <v>83</v>
      </c>
      <c r="L118" s="225">
        <f t="shared" si="36"/>
        <v>83</v>
      </c>
      <c r="M118" s="225">
        <f>L118*10</f>
        <v>830</v>
      </c>
      <c r="N118" s="226">
        <f>M118</f>
        <v>830</v>
      </c>
    </row>
    <row r="119" spans="1:14" x14ac:dyDescent="0.2">
      <c r="A119" s="257" t="s">
        <v>138</v>
      </c>
      <c r="B119" s="234"/>
      <c r="C119" s="225">
        <f>SUM(C120:C123)</f>
        <v>164.9141860608201</v>
      </c>
      <c r="D119" s="225">
        <f t="shared" ref="D119:N119" si="37">SUM(D120:D123)</f>
        <v>164.9141860608201</v>
      </c>
      <c r="E119" s="225">
        <f t="shared" si="37"/>
        <v>164.9141860608201</v>
      </c>
      <c r="F119" s="225">
        <f t="shared" si="37"/>
        <v>164.9141860608201</v>
      </c>
      <c r="G119" s="225">
        <f t="shared" si="37"/>
        <v>164.9141860608201</v>
      </c>
      <c r="H119" s="225">
        <f t="shared" si="37"/>
        <v>164.9141860608201</v>
      </c>
      <c r="I119" s="225">
        <f t="shared" si="37"/>
        <v>164.9141860608201</v>
      </c>
      <c r="J119" s="225">
        <f t="shared" si="37"/>
        <v>164.9141860608201</v>
      </c>
      <c r="K119" s="225">
        <f t="shared" si="37"/>
        <v>164.9141860608201</v>
      </c>
      <c r="L119" s="225">
        <f t="shared" si="37"/>
        <v>164.9141860608201</v>
      </c>
      <c r="M119" s="225">
        <f t="shared" si="37"/>
        <v>164.9141860608201</v>
      </c>
      <c r="N119" s="226">
        <f t="shared" si="37"/>
        <v>164.9141860608201</v>
      </c>
    </row>
    <row r="120" spans="1:14" x14ac:dyDescent="0.2">
      <c r="A120" s="451" t="s">
        <v>1221</v>
      </c>
      <c r="B120" s="234"/>
      <c r="C120" s="374">
        <f>+Y22</f>
        <v>11.131808128991953</v>
      </c>
      <c r="D120" s="225">
        <f>+C120*Assumptions!F22</f>
        <v>11.131808128991953</v>
      </c>
      <c r="E120" s="225">
        <f>+D120*Assumptions!G22</f>
        <v>11.131808128991953</v>
      </c>
      <c r="F120" s="225">
        <f>+E120*Assumptions!H22</f>
        <v>11.131808128991953</v>
      </c>
      <c r="G120" s="225">
        <f>+F120*Assumptions!I22</f>
        <v>11.131808128991953</v>
      </c>
      <c r="H120" s="225">
        <f>+G120*Assumptions!J22</f>
        <v>11.131808128991953</v>
      </c>
      <c r="I120" s="225">
        <f>+H120*Assumptions!K22</f>
        <v>11.131808128991953</v>
      </c>
      <c r="J120" s="225">
        <f>+I120*Assumptions!L22</f>
        <v>11.131808128991953</v>
      </c>
      <c r="K120" s="225">
        <f>+J120*Assumptions!M22</f>
        <v>11.131808128991953</v>
      </c>
      <c r="L120" s="225">
        <f>+K120*Assumptions!N22</f>
        <v>11.131808128991953</v>
      </c>
      <c r="M120" s="225">
        <f>+L120*Assumptions!O22</f>
        <v>11.131808128991953</v>
      </c>
      <c r="N120" s="226">
        <f>+M120*Assumptions!P22</f>
        <v>11.131808128991953</v>
      </c>
    </row>
    <row r="121" spans="1:14" x14ac:dyDescent="0.2">
      <c r="A121" s="451" t="s">
        <v>1222</v>
      </c>
      <c r="B121" s="234"/>
      <c r="C121" s="374">
        <f>+Z22</f>
        <v>9.9538235493173985</v>
      </c>
      <c r="D121" s="225">
        <f>+C121*Assumptions!F23</f>
        <v>9.9538235493173985</v>
      </c>
      <c r="E121" s="225">
        <f>+D121*Assumptions!G23</f>
        <v>9.9538235493173985</v>
      </c>
      <c r="F121" s="225">
        <f>+E121*Assumptions!H23</f>
        <v>9.9538235493173985</v>
      </c>
      <c r="G121" s="225">
        <f>+F121*Assumptions!I23</f>
        <v>9.9538235493173985</v>
      </c>
      <c r="H121" s="225">
        <f>+G121*Assumptions!J23</f>
        <v>9.9538235493173985</v>
      </c>
      <c r="I121" s="225">
        <f>+H121*Assumptions!K23</f>
        <v>9.9538235493173985</v>
      </c>
      <c r="J121" s="225">
        <f>+I121*Assumptions!L23</f>
        <v>9.9538235493173985</v>
      </c>
      <c r="K121" s="225">
        <f>+J121*Assumptions!M23</f>
        <v>9.9538235493173985</v>
      </c>
      <c r="L121" s="225">
        <f>+K121*Assumptions!N23</f>
        <v>9.9538235493173985</v>
      </c>
      <c r="M121" s="225">
        <f>+L121*Assumptions!O23</f>
        <v>9.9538235493173985</v>
      </c>
      <c r="N121" s="226">
        <f>+M121*Assumptions!P23</f>
        <v>9.9538235493173985</v>
      </c>
    </row>
    <row r="122" spans="1:14" x14ac:dyDescent="0.2">
      <c r="A122" s="451" t="s">
        <v>1225</v>
      </c>
      <c r="B122" s="234"/>
      <c r="C122" s="374">
        <f>+AA22</f>
        <v>107.86690789383175</v>
      </c>
      <c r="D122" s="225">
        <f>+C122*Assumptions!F24</f>
        <v>107.86690789383175</v>
      </c>
      <c r="E122" s="225">
        <f>+D122*Assumptions!G24</f>
        <v>107.86690789383175</v>
      </c>
      <c r="F122" s="225">
        <f>+E122*Assumptions!H24</f>
        <v>107.86690789383175</v>
      </c>
      <c r="G122" s="225">
        <f>+F122*Assumptions!I24</f>
        <v>107.86690789383175</v>
      </c>
      <c r="H122" s="225">
        <f>+G122*Assumptions!J24</f>
        <v>107.86690789383175</v>
      </c>
      <c r="I122" s="225">
        <f>+H122*Assumptions!K24</f>
        <v>107.86690789383175</v>
      </c>
      <c r="J122" s="225">
        <f>+I122*Assumptions!L24</f>
        <v>107.86690789383175</v>
      </c>
      <c r="K122" s="225">
        <f>+J122*Assumptions!M24</f>
        <v>107.86690789383175</v>
      </c>
      <c r="L122" s="225">
        <f>+K122*Assumptions!N24</f>
        <v>107.86690789383175</v>
      </c>
      <c r="M122" s="225">
        <f>+L122*Assumptions!O24</f>
        <v>107.86690789383175</v>
      </c>
      <c r="N122" s="226">
        <f>+M122*Assumptions!P24</f>
        <v>107.86690789383175</v>
      </c>
    </row>
    <row r="123" spans="1:14" x14ac:dyDescent="0.2">
      <c r="A123" s="451" t="s">
        <v>1199</v>
      </c>
      <c r="B123" s="234"/>
      <c r="C123" s="374">
        <f>+AB22</f>
        <v>35.961646488679015</v>
      </c>
      <c r="D123" s="225">
        <f>+C123*Assumptions!F25</f>
        <v>35.961646488679015</v>
      </c>
      <c r="E123" s="225">
        <f>+D123*Assumptions!G25</f>
        <v>35.961646488679015</v>
      </c>
      <c r="F123" s="225">
        <f>+E123*Assumptions!H25</f>
        <v>35.961646488679015</v>
      </c>
      <c r="G123" s="225">
        <f>+F123*Assumptions!I25</f>
        <v>35.961646488679015</v>
      </c>
      <c r="H123" s="225">
        <f>+G123*Assumptions!J25</f>
        <v>35.961646488679015</v>
      </c>
      <c r="I123" s="225">
        <f>+H123*Assumptions!K25</f>
        <v>35.961646488679015</v>
      </c>
      <c r="J123" s="225">
        <f>+I123*Assumptions!L25</f>
        <v>35.961646488679015</v>
      </c>
      <c r="K123" s="225">
        <f>+J123*Assumptions!M25</f>
        <v>35.961646488679015</v>
      </c>
      <c r="L123" s="225">
        <f>+K123*Assumptions!N25</f>
        <v>35.961646488679015</v>
      </c>
      <c r="M123" s="225">
        <f>+L123*Assumptions!O25</f>
        <v>35.961646488679015</v>
      </c>
      <c r="N123" s="226">
        <f>+M123*Assumptions!P25</f>
        <v>35.961646488679015</v>
      </c>
    </row>
    <row r="124" spans="1:14" ht="13.5" customHeight="1" x14ac:dyDescent="0.2">
      <c r="A124" s="257" t="s">
        <v>140</v>
      </c>
      <c r="B124" s="234"/>
      <c r="C124" s="239">
        <f>((C125*C120)+(C126*C121)+(C122*C127)+(C123*C128))/SUM(C120:C123)</f>
        <v>31.502152339835394</v>
      </c>
      <c r="D124" s="239">
        <f t="shared" ref="D124:N124" si="38">C124</f>
        <v>31.502152339835394</v>
      </c>
      <c r="E124" s="239">
        <f t="shared" si="38"/>
        <v>31.502152339835394</v>
      </c>
      <c r="F124" s="239">
        <f t="shared" si="38"/>
        <v>31.502152339835394</v>
      </c>
      <c r="G124" s="239">
        <f t="shared" si="38"/>
        <v>31.502152339835394</v>
      </c>
      <c r="H124" s="239">
        <f t="shared" si="38"/>
        <v>31.502152339835394</v>
      </c>
      <c r="I124" s="239">
        <f t="shared" si="38"/>
        <v>31.502152339835394</v>
      </c>
      <c r="J124" s="239">
        <f t="shared" si="38"/>
        <v>31.502152339835394</v>
      </c>
      <c r="K124" s="239">
        <f t="shared" si="38"/>
        <v>31.502152339835394</v>
      </c>
      <c r="L124" s="239">
        <f t="shared" si="38"/>
        <v>31.502152339835394</v>
      </c>
      <c r="M124" s="239">
        <f t="shared" si="38"/>
        <v>31.502152339835394</v>
      </c>
      <c r="N124" s="260">
        <f t="shared" si="38"/>
        <v>31.502152339835394</v>
      </c>
    </row>
    <row r="125" spans="1:14" ht="13.5" customHeight="1" x14ac:dyDescent="0.2">
      <c r="A125" s="451" t="s">
        <v>1221</v>
      </c>
      <c r="B125" s="236"/>
      <c r="C125" s="371">
        <f>+$R$10</f>
        <v>52.122314049586777</v>
      </c>
      <c r="D125" s="237">
        <f t="shared" ref="D125:N125" si="39">C125</f>
        <v>52.122314049586777</v>
      </c>
      <c r="E125" s="237">
        <f t="shared" si="39"/>
        <v>52.122314049586777</v>
      </c>
      <c r="F125" s="237">
        <f t="shared" si="39"/>
        <v>52.122314049586777</v>
      </c>
      <c r="G125" s="237">
        <f t="shared" si="39"/>
        <v>52.122314049586777</v>
      </c>
      <c r="H125" s="237">
        <f t="shared" si="39"/>
        <v>52.122314049586777</v>
      </c>
      <c r="I125" s="237">
        <f t="shared" si="39"/>
        <v>52.122314049586777</v>
      </c>
      <c r="J125" s="237">
        <f t="shared" si="39"/>
        <v>52.122314049586777</v>
      </c>
      <c r="K125" s="237">
        <f t="shared" si="39"/>
        <v>52.122314049586777</v>
      </c>
      <c r="L125" s="237">
        <f t="shared" si="39"/>
        <v>52.122314049586777</v>
      </c>
      <c r="M125" s="237">
        <f t="shared" si="39"/>
        <v>52.122314049586777</v>
      </c>
      <c r="N125" s="258">
        <f t="shared" si="39"/>
        <v>52.122314049586777</v>
      </c>
    </row>
    <row r="126" spans="1:14" x14ac:dyDescent="0.2">
      <c r="A126" s="451" t="s">
        <v>1222</v>
      </c>
      <c r="B126" s="236"/>
      <c r="C126" s="371">
        <f>+$S$10</f>
        <v>77.720967741935482</v>
      </c>
      <c r="D126" s="237">
        <f t="shared" ref="D126:N126" si="40">C126</f>
        <v>77.720967741935482</v>
      </c>
      <c r="E126" s="237">
        <f t="shared" si="40"/>
        <v>77.720967741935482</v>
      </c>
      <c r="F126" s="237">
        <f t="shared" si="40"/>
        <v>77.720967741935482</v>
      </c>
      <c r="G126" s="237">
        <f t="shared" si="40"/>
        <v>77.720967741935482</v>
      </c>
      <c r="H126" s="237">
        <f t="shared" si="40"/>
        <v>77.720967741935482</v>
      </c>
      <c r="I126" s="237">
        <f t="shared" si="40"/>
        <v>77.720967741935482</v>
      </c>
      <c r="J126" s="237">
        <f t="shared" si="40"/>
        <v>77.720967741935482</v>
      </c>
      <c r="K126" s="237">
        <f t="shared" si="40"/>
        <v>77.720967741935482</v>
      </c>
      <c r="L126" s="237">
        <f t="shared" si="40"/>
        <v>77.720967741935482</v>
      </c>
      <c r="M126" s="237">
        <f t="shared" si="40"/>
        <v>77.720967741935482</v>
      </c>
      <c r="N126" s="258">
        <f t="shared" si="40"/>
        <v>77.720967741935482</v>
      </c>
    </row>
    <row r="127" spans="1:14" x14ac:dyDescent="0.2">
      <c r="A127" s="451" t="s">
        <v>1225</v>
      </c>
      <c r="B127" s="236"/>
      <c r="C127" s="371">
        <f>+$T$8</f>
        <v>34.535821661655788</v>
      </c>
      <c r="D127" s="237">
        <f t="shared" ref="D127:N127" si="41">C127</f>
        <v>34.535821661655788</v>
      </c>
      <c r="E127" s="237">
        <f t="shared" si="41"/>
        <v>34.535821661655788</v>
      </c>
      <c r="F127" s="237">
        <f t="shared" si="41"/>
        <v>34.535821661655788</v>
      </c>
      <c r="G127" s="237">
        <f t="shared" si="41"/>
        <v>34.535821661655788</v>
      </c>
      <c r="H127" s="237">
        <f t="shared" si="41"/>
        <v>34.535821661655788</v>
      </c>
      <c r="I127" s="237">
        <f t="shared" si="41"/>
        <v>34.535821661655788</v>
      </c>
      <c r="J127" s="237">
        <f t="shared" si="41"/>
        <v>34.535821661655788</v>
      </c>
      <c r="K127" s="237">
        <f t="shared" si="41"/>
        <v>34.535821661655788</v>
      </c>
      <c r="L127" s="237">
        <f t="shared" si="41"/>
        <v>34.535821661655788</v>
      </c>
      <c r="M127" s="237">
        <f t="shared" si="41"/>
        <v>34.535821661655788</v>
      </c>
      <c r="N127" s="258">
        <f t="shared" si="41"/>
        <v>34.535821661655788</v>
      </c>
    </row>
    <row r="128" spans="1:14" ht="13.5" thickBot="1" x14ac:dyDescent="0.25">
      <c r="A128" s="451" t="s">
        <v>1199</v>
      </c>
      <c r="B128" s="236"/>
      <c r="C128" s="371">
        <f>+$U$10</f>
        <v>3.2268578104271035</v>
      </c>
      <c r="D128" s="237">
        <f t="shared" ref="D128:N128" si="42">C128</f>
        <v>3.2268578104271035</v>
      </c>
      <c r="E128" s="237">
        <f t="shared" si="42"/>
        <v>3.2268578104271035</v>
      </c>
      <c r="F128" s="237">
        <f t="shared" si="42"/>
        <v>3.2268578104271035</v>
      </c>
      <c r="G128" s="237">
        <f t="shared" si="42"/>
        <v>3.2268578104271035</v>
      </c>
      <c r="H128" s="237">
        <f t="shared" si="42"/>
        <v>3.2268578104271035</v>
      </c>
      <c r="I128" s="237">
        <f t="shared" si="42"/>
        <v>3.2268578104271035</v>
      </c>
      <c r="J128" s="237">
        <f t="shared" si="42"/>
        <v>3.2268578104271035</v>
      </c>
      <c r="K128" s="237">
        <f t="shared" si="42"/>
        <v>3.2268578104271035</v>
      </c>
      <c r="L128" s="237">
        <f t="shared" si="42"/>
        <v>3.2268578104271035</v>
      </c>
      <c r="M128" s="237">
        <f t="shared" si="42"/>
        <v>3.2268578104271035</v>
      </c>
      <c r="N128" s="258">
        <f t="shared" si="42"/>
        <v>3.2268578104271035</v>
      </c>
    </row>
    <row r="129" spans="1:14" ht="13.5" thickBot="1" x14ac:dyDescent="0.25">
      <c r="A129" s="221" t="s">
        <v>141</v>
      </c>
      <c r="B129" s="15"/>
      <c r="C129" s="15">
        <f t="shared" ref="C129:L129" si="43">((C128*C123)+(C127*C122)+(C126*C121)+(C125*C120))*C118</f>
        <v>431197.60041989683</v>
      </c>
      <c r="D129" s="15">
        <f t="shared" si="43"/>
        <v>431197.60041989683</v>
      </c>
      <c r="E129" s="15">
        <f t="shared" si="43"/>
        <v>431197.60041989683</v>
      </c>
      <c r="F129" s="15">
        <f t="shared" si="43"/>
        <v>431197.60041989683</v>
      </c>
      <c r="G129" s="15">
        <f t="shared" si="43"/>
        <v>431197.60041989683</v>
      </c>
      <c r="H129" s="15">
        <f t="shared" si="43"/>
        <v>431197.60041989683</v>
      </c>
      <c r="I129" s="15">
        <f t="shared" si="43"/>
        <v>431197.60041989683</v>
      </c>
      <c r="J129" s="15">
        <f t="shared" si="43"/>
        <v>431197.60041989683</v>
      </c>
      <c r="K129" s="15">
        <f t="shared" si="43"/>
        <v>431197.60041989683</v>
      </c>
      <c r="L129" s="15">
        <f t="shared" si="43"/>
        <v>431197.60041989683</v>
      </c>
      <c r="M129" s="409">
        <f>+L129*10</f>
        <v>4311976.0041989684</v>
      </c>
      <c r="N129" s="414">
        <f>+M129</f>
        <v>4311976.0041989684</v>
      </c>
    </row>
    <row r="130" spans="1:14" ht="13.5" thickBot="1" x14ac:dyDescent="0.25">
      <c r="A130" s="16" t="s">
        <v>1227</v>
      </c>
      <c r="B130" s="40"/>
      <c r="C130" s="442">
        <f>+'Boat Costs'!G13</f>
        <v>126460.54807073955</v>
      </c>
      <c r="D130" s="443">
        <f>+C130</f>
        <v>126460.54807073955</v>
      </c>
      <c r="E130" s="443">
        <f t="shared" ref="E130:L130" si="44">+D130</f>
        <v>126460.54807073955</v>
      </c>
      <c r="F130" s="443">
        <f t="shared" si="44"/>
        <v>126460.54807073955</v>
      </c>
      <c r="G130" s="443">
        <f t="shared" si="44"/>
        <v>126460.54807073955</v>
      </c>
      <c r="H130" s="443">
        <f t="shared" si="44"/>
        <v>126460.54807073955</v>
      </c>
      <c r="I130" s="443">
        <f t="shared" si="44"/>
        <v>126460.54807073955</v>
      </c>
      <c r="J130" s="443">
        <f t="shared" si="44"/>
        <v>126460.54807073955</v>
      </c>
      <c r="K130" s="443">
        <f t="shared" si="44"/>
        <v>126460.54807073955</v>
      </c>
      <c r="L130" s="443">
        <f t="shared" si="44"/>
        <v>126460.54807073955</v>
      </c>
      <c r="M130" s="443">
        <f>+L130*10</f>
        <v>1264605.4807073954</v>
      </c>
      <c r="N130" s="461">
        <f>+M130</f>
        <v>1264605.4807073954</v>
      </c>
    </row>
    <row r="131" spans="1:14" ht="16.5" thickBot="1" x14ac:dyDescent="0.3">
      <c r="A131" s="1056" t="s">
        <v>124</v>
      </c>
      <c r="B131" s="1057"/>
      <c r="C131" s="1057"/>
      <c r="D131" s="1057"/>
      <c r="E131" s="1057"/>
      <c r="F131" s="1057"/>
      <c r="G131" s="1057"/>
      <c r="H131" s="1057"/>
      <c r="I131" s="1057"/>
      <c r="J131" s="1057"/>
      <c r="K131" s="1057"/>
      <c r="L131" s="215"/>
      <c r="M131" s="215"/>
      <c r="N131" s="216"/>
    </row>
    <row r="132" spans="1:14" ht="13.5" thickBot="1" x14ac:dyDescent="0.25">
      <c r="A132" s="217"/>
      <c r="B132" s="218" t="s">
        <v>125</v>
      </c>
      <c r="C132" s="219" t="s">
        <v>126</v>
      </c>
      <c r="D132" s="219" t="s">
        <v>127</v>
      </c>
      <c r="E132" s="219" t="s">
        <v>128</v>
      </c>
      <c r="F132" s="219" t="s">
        <v>129</v>
      </c>
      <c r="G132" s="219" t="s">
        <v>130</v>
      </c>
      <c r="H132" s="219" t="s">
        <v>131</v>
      </c>
      <c r="I132" s="219" t="s">
        <v>132</v>
      </c>
      <c r="J132" s="219" t="s">
        <v>133</v>
      </c>
      <c r="K132" s="219" t="s">
        <v>134</v>
      </c>
      <c r="L132" s="219" t="s">
        <v>135</v>
      </c>
      <c r="M132" s="219" t="s">
        <v>136</v>
      </c>
      <c r="N132" s="220" t="s">
        <v>137</v>
      </c>
    </row>
    <row r="133" spans="1:14" x14ac:dyDescent="0.2">
      <c r="A133" s="255" t="s">
        <v>1228</v>
      </c>
      <c r="B133" s="229"/>
      <c r="C133" s="233"/>
      <c r="D133" s="233"/>
      <c r="E133" s="233"/>
      <c r="F133" s="233"/>
      <c r="G133" s="233"/>
      <c r="H133" s="233"/>
      <c r="I133" s="233"/>
      <c r="J133" s="233"/>
      <c r="K133" s="233"/>
      <c r="L133" s="233"/>
      <c r="M133" s="233"/>
      <c r="N133" s="256"/>
    </row>
    <row r="134" spans="1:14" x14ac:dyDescent="0.2">
      <c r="A134" s="257" t="str">
        <f>A118</f>
        <v xml:space="preserve">  - Days</v>
      </c>
      <c r="B134" s="234"/>
      <c r="C134" s="225">
        <f>C118*(1+Assumptions!Q$6)</f>
        <v>87.15</v>
      </c>
      <c r="D134" s="225">
        <f t="shared" ref="D134:L134" si="45">C134</f>
        <v>87.15</v>
      </c>
      <c r="E134" s="225">
        <f t="shared" si="45"/>
        <v>87.15</v>
      </c>
      <c r="F134" s="225">
        <f t="shared" si="45"/>
        <v>87.15</v>
      </c>
      <c r="G134" s="225">
        <f t="shared" si="45"/>
        <v>87.15</v>
      </c>
      <c r="H134" s="225">
        <f t="shared" si="45"/>
        <v>87.15</v>
      </c>
      <c r="I134" s="225">
        <f t="shared" si="45"/>
        <v>87.15</v>
      </c>
      <c r="J134" s="225">
        <f t="shared" si="45"/>
        <v>87.15</v>
      </c>
      <c r="K134" s="225">
        <f t="shared" si="45"/>
        <v>87.15</v>
      </c>
      <c r="L134" s="225">
        <f t="shared" si="45"/>
        <v>87.15</v>
      </c>
      <c r="M134" s="225">
        <f>L134*10</f>
        <v>871.5</v>
      </c>
      <c r="N134" s="226">
        <f>M134</f>
        <v>871.5</v>
      </c>
    </row>
    <row r="135" spans="1:14" x14ac:dyDescent="0.2">
      <c r="A135" s="257" t="str">
        <f>A119</f>
        <v xml:space="preserve">  - Catch per boat trip in kg </v>
      </c>
      <c r="B135" s="234"/>
      <c r="C135" s="477">
        <f>+C119*(1+(Assumptions!$Q$8+Assumptions!B$30))</f>
        <v>164.9141860608201</v>
      </c>
      <c r="D135" s="477">
        <f>+D119*(1+(Assumptions!$Q$8+Assumptions!C$30))</f>
        <v>164.9141860608201</v>
      </c>
      <c r="E135" s="477">
        <f>+E119*(1+(Assumptions!$Q$8+Assumptions!D$30))</f>
        <v>164.9141860608201</v>
      </c>
      <c r="F135" s="477">
        <f>+F119*(1+(Assumptions!$Q$8+Assumptions!E$30))</f>
        <v>164.9141860608201</v>
      </c>
      <c r="G135" s="477">
        <f>+G119*(1+(Assumptions!$Q$8+Assumptions!F$30))</f>
        <v>164.9141860608201</v>
      </c>
      <c r="H135" s="477">
        <f>+H119*(1+(Assumptions!$Q$8+Assumptions!G$30))</f>
        <v>164.9141860608201</v>
      </c>
      <c r="I135" s="477">
        <f>+I119*(1+(Assumptions!$Q$8+Assumptions!H$30))</f>
        <v>164.9141860608201</v>
      </c>
      <c r="J135" s="477">
        <f>+J119*(1+(Assumptions!$Q$8+Assumptions!I$30))</f>
        <v>164.9141860608201</v>
      </c>
      <c r="K135" s="477">
        <f>+K119*(1+(Assumptions!$Q$8+Assumptions!J$30))</f>
        <v>164.9141860608201</v>
      </c>
      <c r="L135" s="477">
        <f>+L119*(1+(Assumptions!$Q$8+Assumptions!K$30))</f>
        <v>164.9141860608201</v>
      </c>
      <c r="M135" s="477">
        <f>+M119*(1+(Assumptions!$Q$8+Assumptions!L$30))</f>
        <v>164.9141860608201</v>
      </c>
      <c r="N135" s="477">
        <f>+N119*(1+(Assumptions!$Q$8+Assumptions!M$30))</f>
        <v>164.9141860608201</v>
      </c>
    </row>
    <row r="136" spans="1:14" x14ac:dyDescent="0.2">
      <c r="A136" s="451" t="s">
        <v>1221</v>
      </c>
      <c r="B136" s="234"/>
      <c r="C136" s="238"/>
      <c r="D136" s="225"/>
      <c r="E136" s="225"/>
      <c r="F136" s="225"/>
      <c r="G136" s="225"/>
      <c r="H136" s="225"/>
      <c r="I136" s="225"/>
      <c r="J136" s="225"/>
      <c r="K136" s="225"/>
      <c r="L136" s="225"/>
      <c r="M136" s="225"/>
      <c r="N136" s="226"/>
    </row>
    <row r="137" spans="1:14" x14ac:dyDescent="0.2">
      <c r="A137" s="451" t="s">
        <v>1222</v>
      </c>
      <c r="B137" s="234"/>
      <c r="C137" s="238"/>
      <c r="D137" s="238"/>
      <c r="E137" s="238"/>
      <c r="F137" s="238"/>
      <c r="G137" s="238"/>
      <c r="H137" s="238"/>
      <c r="I137" s="238"/>
      <c r="J137" s="238"/>
      <c r="K137" s="238"/>
      <c r="L137" s="238"/>
      <c r="M137" s="238"/>
      <c r="N137" s="259"/>
    </row>
    <row r="138" spans="1:14" x14ac:dyDescent="0.2">
      <c r="A138" s="451" t="s">
        <v>1225</v>
      </c>
      <c r="B138" s="234"/>
      <c r="C138" s="238"/>
      <c r="D138" s="238"/>
      <c r="E138" s="238"/>
      <c r="F138" s="238"/>
      <c r="G138" s="238"/>
      <c r="H138" s="238"/>
      <c r="I138" s="238"/>
      <c r="J138" s="238"/>
      <c r="K138" s="238"/>
      <c r="L138" s="238"/>
      <c r="M138" s="238"/>
      <c r="N138" s="259"/>
    </row>
    <row r="139" spans="1:14" x14ac:dyDescent="0.2">
      <c r="A139" s="451" t="s">
        <v>1199</v>
      </c>
      <c r="B139" s="234"/>
      <c r="C139" s="238"/>
      <c r="D139" s="238"/>
      <c r="E139" s="238"/>
      <c r="F139" s="238"/>
      <c r="G139" s="238"/>
      <c r="H139" s="238"/>
      <c r="I139" s="238"/>
      <c r="J139" s="238"/>
      <c r="K139" s="238"/>
      <c r="L139" s="238"/>
      <c r="M139" s="238"/>
      <c r="N139" s="259"/>
    </row>
    <row r="140" spans="1:14" x14ac:dyDescent="0.2">
      <c r="A140" s="257" t="str">
        <f>A124</f>
        <v xml:space="preserve">  - Average price of sales in dh/kg</v>
      </c>
      <c r="B140" s="234"/>
      <c r="C140" s="239">
        <f>+C124*(1+(Assumptions!$Q$7))</f>
        <v>32.132195386632105</v>
      </c>
      <c r="D140" s="239">
        <f>+D124*(1+(Assumptions!$Q$7))</f>
        <v>32.132195386632105</v>
      </c>
      <c r="E140" s="239">
        <f>+E124*(1+(Assumptions!$Q$7))</f>
        <v>32.132195386632105</v>
      </c>
      <c r="F140" s="239">
        <f>+F124*(1+(Assumptions!$Q$7))</f>
        <v>32.132195386632105</v>
      </c>
      <c r="G140" s="239">
        <f>+G124*(1+(Assumptions!$Q$7))</f>
        <v>32.132195386632105</v>
      </c>
      <c r="H140" s="239">
        <f>+H124*(1+(Assumptions!$Q$7))</f>
        <v>32.132195386632105</v>
      </c>
      <c r="I140" s="239">
        <f>+I124*(1+(Assumptions!$Q$7))</f>
        <v>32.132195386632105</v>
      </c>
      <c r="J140" s="239">
        <f>+J124*(1+(Assumptions!$Q$7))</f>
        <v>32.132195386632105</v>
      </c>
      <c r="K140" s="239">
        <f>+K124*(1+(Assumptions!$Q$7))</f>
        <v>32.132195386632105</v>
      </c>
      <c r="L140" s="239">
        <f>+L124*(1+(Assumptions!$Q$7))</f>
        <v>32.132195386632105</v>
      </c>
      <c r="M140" s="239">
        <f>+M124*(1+(Assumptions!$Q$7))</f>
        <v>32.132195386632105</v>
      </c>
      <c r="N140" s="239">
        <f>+N124*(1+(Assumptions!$Q$7))</f>
        <v>32.132195386632105</v>
      </c>
    </row>
    <row r="141" spans="1:14" x14ac:dyDescent="0.2">
      <c r="A141" s="451" t="s">
        <v>1221</v>
      </c>
      <c r="B141" s="236"/>
      <c r="C141" s="237"/>
      <c r="D141" s="237"/>
      <c r="E141" s="237"/>
      <c r="F141" s="237"/>
      <c r="G141" s="237"/>
      <c r="H141" s="237"/>
      <c r="I141" s="237"/>
      <c r="J141" s="237"/>
      <c r="K141" s="237"/>
      <c r="L141" s="237"/>
      <c r="M141" s="237"/>
      <c r="N141" s="258"/>
    </row>
    <row r="142" spans="1:14" x14ac:dyDescent="0.2">
      <c r="A142" s="451" t="s">
        <v>1222</v>
      </c>
      <c r="B142" s="236"/>
      <c r="C142" s="237"/>
      <c r="D142" s="237"/>
      <c r="E142" s="237"/>
      <c r="F142" s="237"/>
      <c r="G142" s="237"/>
      <c r="H142" s="237"/>
      <c r="I142" s="237"/>
      <c r="J142" s="237"/>
      <c r="K142" s="237"/>
      <c r="L142" s="237"/>
      <c r="M142" s="237"/>
      <c r="N142" s="258"/>
    </row>
    <row r="143" spans="1:14" x14ac:dyDescent="0.2">
      <c r="A143" s="451" t="s">
        <v>1225</v>
      </c>
      <c r="B143" s="236"/>
      <c r="C143" s="237"/>
      <c r="D143" s="237"/>
      <c r="E143" s="237"/>
      <c r="F143" s="237"/>
      <c r="G143" s="237"/>
      <c r="H143" s="237"/>
      <c r="I143" s="237"/>
      <c r="J143" s="237"/>
      <c r="K143" s="237"/>
      <c r="L143" s="237"/>
      <c r="M143" s="237"/>
      <c r="N143" s="258"/>
    </row>
    <row r="144" spans="1:14" ht="13.5" thickBot="1" x14ac:dyDescent="0.25">
      <c r="A144" s="451" t="s">
        <v>1199</v>
      </c>
      <c r="B144" s="236"/>
      <c r="C144" s="237"/>
      <c r="D144" s="237"/>
      <c r="E144" s="237"/>
      <c r="F144" s="237"/>
      <c r="G144" s="237"/>
      <c r="H144" s="237"/>
      <c r="I144" s="237"/>
      <c r="J144" s="237"/>
      <c r="K144" s="237"/>
      <c r="L144" s="237"/>
      <c r="M144" s="237"/>
      <c r="N144" s="258"/>
    </row>
    <row r="145" spans="1:14" x14ac:dyDescent="0.2">
      <c r="A145" s="230" t="s">
        <v>141</v>
      </c>
      <c r="B145" s="178"/>
      <c r="C145" s="178">
        <f>+C134*C135*C140</f>
        <v>461812.63004970958</v>
      </c>
      <c r="D145" s="178">
        <f t="shared" ref="D145:L145" si="46">+D134*D135*D140</f>
        <v>461812.63004970958</v>
      </c>
      <c r="E145" s="178">
        <f t="shared" si="46"/>
        <v>461812.63004970958</v>
      </c>
      <c r="F145" s="178">
        <f t="shared" si="46"/>
        <v>461812.63004970958</v>
      </c>
      <c r="G145" s="178">
        <f t="shared" si="46"/>
        <v>461812.63004970958</v>
      </c>
      <c r="H145" s="178">
        <f t="shared" si="46"/>
        <v>461812.63004970958</v>
      </c>
      <c r="I145" s="178">
        <f t="shared" si="46"/>
        <v>461812.63004970958</v>
      </c>
      <c r="J145" s="178">
        <f t="shared" si="46"/>
        <v>461812.63004970958</v>
      </c>
      <c r="K145" s="178">
        <f t="shared" si="46"/>
        <v>461812.63004970958</v>
      </c>
      <c r="L145" s="178">
        <f t="shared" si="46"/>
        <v>461812.63004970958</v>
      </c>
      <c r="M145" s="178">
        <f>+L145*10</f>
        <v>4618126.300497096</v>
      </c>
      <c r="N145" s="179">
        <f>+M145</f>
        <v>4618126.300497096</v>
      </c>
    </row>
    <row r="146" spans="1:14" x14ac:dyDescent="0.2">
      <c r="A146" s="453" t="s">
        <v>1227</v>
      </c>
      <c r="B146" s="212"/>
      <c r="C146" s="460">
        <f>+'Boat Costs'!G14</f>
        <v>131551.07551446944</v>
      </c>
      <c r="D146" s="456">
        <f>+C146</f>
        <v>131551.07551446944</v>
      </c>
      <c r="E146" s="456">
        <f t="shared" ref="E146:L146" si="47">+D146</f>
        <v>131551.07551446944</v>
      </c>
      <c r="F146" s="456">
        <f t="shared" si="47"/>
        <v>131551.07551446944</v>
      </c>
      <c r="G146" s="456">
        <f t="shared" si="47"/>
        <v>131551.07551446944</v>
      </c>
      <c r="H146" s="456">
        <f t="shared" si="47"/>
        <v>131551.07551446944</v>
      </c>
      <c r="I146" s="456">
        <f t="shared" si="47"/>
        <v>131551.07551446944</v>
      </c>
      <c r="J146" s="456">
        <f t="shared" si="47"/>
        <v>131551.07551446944</v>
      </c>
      <c r="K146" s="456">
        <f t="shared" si="47"/>
        <v>131551.07551446944</v>
      </c>
      <c r="L146" s="456">
        <f t="shared" si="47"/>
        <v>131551.07551446944</v>
      </c>
      <c r="M146" s="456">
        <f>+L146*10</f>
        <v>1315510.7551446944</v>
      </c>
      <c r="N146" s="457">
        <f>+M146</f>
        <v>1315510.7551446944</v>
      </c>
    </row>
    <row r="148" spans="1:14" ht="16.5" thickBot="1" x14ac:dyDescent="0.3">
      <c r="A148" s="373" t="s">
        <v>191</v>
      </c>
    </row>
    <row r="149" spans="1:14" ht="13.5" thickBot="1" x14ac:dyDescent="0.25">
      <c r="A149" s="232" t="s">
        <v>160</v>
      </c>
      <c r="B149" s="12"/>
      <c r="C149" s="12">
        <f>(C181-C182)-(C165-C166)</f>
        <v>12765.14318906283</v>
      </c>
      <c r="D149" s="12">
        <f t="shared" ref="D149:N149" si="48">(D181-D182)-(D165-D166)</f>
        <v>12765.14318906283</v>
      </c>
      <c r="E149" s="12">
        <f t="shared" si="48"/>
        <v>12765.14318906283</v>
      </c>
      <c r="F149" s="12">
        <f t="shared" si="48"/>
        <v>12765.14318906283</v>
      </c>
      <c r="G149" s="12">
        <f t="shared" si="48"/>
        <v>12765.14318906283</v>
      </c>
      <c r="H149" s="12">
        <f t="shared" si="48"/>
        <v>12765.14318906283</v>
      </c>
      <c r="I149" s="12">
        <f t="shared" si="48"/>
        <v>12765.14318906283</v>
      </c>
      <c r="J149" s="12">
        <f t="shared" si="48"/>
        <v>12765.14318906283</v>
      </c>
      <c r="K149" s="12">
        <f t="shared" si="48"/>
        <v>12765.14318906283</v>
      </c>
      <c r="L149" s="12">
        <f t="shared" si="48"/>
        <v>12765.14318906283</v>
      </c>
      <c r="M149" s="12">
        <f t="shared" si="48"/>
        <v>127651.43189062853</v>
      </c>
      <c r="N149" s="12">
        <f t="shared" si="48"/>
        <v>127651.43189062853</v>
      </c>
    </row>
    <row r="150" spans="1:14" x14ac:dyDescent="0.2">
      <c r="A150" s="16"/>
      <c r="B150" s="57"/>
      <c r="C150" s="57"/>
      <c r="D150" s="57"/>
      <c r="E150" s="57"/>
      <c r="F150" s="57"/>
      <c r="G150" s="57"/>
      <c r="H150" s="57"/>
      <c r="I150" s="57"/>
      <c r="J150" s="57"/>
      <c r="K150" s="57"/>
      <c r="L150" s="57"/>
      <c r="M150" s="57"/>
      <c r="N150" s="207"/>
    </row>
    <row r="151" spans="1:14" ht="16.5" thickBot="1" x14ac:dyDescent="0.3">
      <c r="A151" s="1054" t="s">
        <v>123</v>
      </c>
      <c r="B151" s="1055"/>
      <c r="C151" s="1055"/>
      <c r="D151" s="1055"/>
      <c r="E151" s="1055"/>
      <c r="F151" s="1055"/>
      <c r="G151" s="1055"/>
      <c r="H151" s="1055"/>
      <c r="I151" s="1055"/>
      <c r="J151" s="1055"/>
      <c r="K151" s="1055"/>
      <c r="L151" s="458"/>
      <c r="M151" s="458"/>
      <c r="N151" s="459"/>
    </row>
    <row r="152" spans="1:14" ht="13.5" thickBot="1" x14ac:dyDescent="0.25">
      <c r="A152" s="217"/>
      <c r="B152" s="218" t="s">
        <v>125</v>
      </c>
      <c r="C152" s="219" t="s">
        <v>126</v>
      </c>
      <c r="D152" s="219" t="s">
        <v>127</v>
      </c>
      <c r="E152" s="219" t="s">
        <v>128</v>
      </c>
      <c r="F152" s="219" t="s">
        <v>129</v>
      </c>
      <c r="G152" s="219" t="s">
        <v>130</v>
      </c>
      <c r="H152" s="219" t="s">
        <v>131</v>
      </c>
      <c r="I152" s="219" t="s">
        <v>132</v>
      </c>
      <c r="J152" s="219" t="s">
        <v>133</v>
      </c>
      <c r="K152" s="219" t="s">
        <v>134</v>
      </c>
      <c r="L152" s="219" t="s">
        <v>135</v>
      </c>
      <c r="M152" s="219" t="s">
        <v>136</v>
      </c>
      <c r="N152" s="220" t="s">
        <v>137</v>
      </c>
    </row>
    <row r="153" spans="1:14" x14ac:dyDescent="0.2">
      <c r="A153" s="255" t="s">
        <v>1228</v>
      </c>
      <c r="B153" s="229"/>
      <c r="C153" s="233"/>
      <c r="D153" s="233"/>
      <c r="E153" s="233"/>
      <c r="F153" s="233"/>
      <c r="G153" s="233"/>
      <c r="H153" s="233"/>
      <c r="I153" s="233"/>
      <c r="J153" s="233"/>
      <c r="K153" s="233"/>
      <c r="L153" s="233"/>
      <c r="M153" s="233"/>
      <c r="N153" s="256"/>
    </row>
    <row r="154" spans="1:14" x14ac:dyDescent="0.2">
      <c r="A154" s="257" t="s">
        <v>139</v>
      </c>
      <c r="B154" s="234"/>
      <c r="C154" s="225">
        <f>+R39</f>
        <v>128</v>
      </c>
      <c r="D154" s="225">
        <f>+C154</f>
        <v>128</v>
      </c>
      <c r="E154" s="225">
        <f t="shared" ref="E154:N154" si="49">+D154</f>
        <v>128</v>
      </c>
      <c r="F154" s="225">
        <f t="shared" si="49"/>
        <v>128</v>
      </c>
      <c r="G154" s="225">
        <f t="shared" si="49"/>
        <v>128</v>
      </c>
      <c r="H154" s="225">
        <f t="shared" si="49"/>
        <v>128</v>
      </c>
      <c r="I154" s="225">
        <f t="shared" si="49"/>
        <v>128</v>
      </c>
      <c r="J154" s="225">
        <f t="shared" si="49"/>
        <v>128</v>
      </c>
      <c r="K154" s="225">
        <f t="shared" si="49"/>
        <v>128</v>
      </c>
      <c r="L154" s="225">
        <f t="shared" si="49"/>
        <v>128</v>
      </c>
      <c r="M154" s="225">
        <f>+L154*10</f>
        <v>1280</v>
      </c>
      <c r="N154" s="226">
        <f t="shared" si="49"/>
        <v>1280</v>
      </c>
    </row>
    <row r="155" spans="1:14" x14ac:dyDescent="0.2">
      <c r="A155" s="257" t="s">
        <v>138</v>
      </c>
      <c r="B155" s="234"/>
      <c r="C155" s="225">
        <f t="shared" ref="C155:N155" si="50">SUM(C156:C159)</f>
        <v>165.12960411659265</v>
      </c>
      <c r="D155" s="225">
        <f t="shared" si="50"/>
        <v>165.12960411659265</v>
      </c>
      <c r="E155" s="225">
        <f t="shared" si="50"/>
        <v>165.12960411659265</v>
      </c>
      <c r="F155" s="225">
        <f t="shared" si="50"/>
        <v>165.12960411659265</v>
      </c>
      <c r="G155" s="225">
        <f t="shared" si="50"/>
        <v>165.12960411659265</v>
      </c>
      <c r="H155" s="225">
        <f t="shared" si="50"/>
        <v>165.12960411659265</v>
      </c>
      <c r="I155" s="225">
        <f t="shared" si="50"/>
        <v>165.12960411659265</v>
      </c>
      <c r="J155" s="225">
        <f t="shared" si="50"/>
        <v>165.12960411659265</v>
      </c>
      <c r="K155" s="225">
        <f t="shared" si="50"/>
        <v>165.12960411659265</v>
      </c>
      <c r="L155" s="225">
        <f t="shared" si="50"/>
        <v>165.12960411659265</v>
      </c>
      <c r="M155" s="225">
        <f t="shared" si="50"/>
        <v>165.12960411659265</v>
      </c>
      <c r="N155" s="226">
        <f t="shared" si="50"/>
        <v>165.12960411659265</v>
      </c>
    </row>
    <row r="156" spans="1:14" x14ac:dyDescent="0.2">
      <c r="A156" s="451" t="s">
        <v>1221</v>
      </c>
      <c r="B156" s="234"/>
      <c r="C156" s="369">
        <f>+Y23</f>
        <v>13.934170663320158</v>
      </c>
      <c r="D156" s="225">
        <f>+C156*Assumptions!F22</f>
        <v>13.934170663320158</v>
      </c>
      <c r="E156" s="225">
        <f>+D156*Assumptions!G22</f>
        <v>13.934170663320158</v>
      </c>
      <c r="F156" s="225">
        <f>+E156*Assumptions!H22</f>
        <v>13.934170663320158</v>
      </c>
      <c r="G156" s="225">
        <f>+F156*Assumptions!I22</f>
        <v>13.934170663320158</v>
      </c>
      <c r="H156" s="225">
        <f>+G156*Assumptions!J22</f>
        <v>13.934170663320158</v>
      </c>
      <c r="I156" s="225">
        <f>+H156*Assumptions!K22</f>
        <v>13.934170663320158</v>
      </c>
      <c r="J156" s="225">
        <f>+I156*Assumptions!L22</f>
        <v>13.934170663320158</v>
      </c>
      <c r="K156" s="225">
        <f>+J156*Assumptions!M22</f>
        <v>13.934170663320158</v>
      </c>
      <c r="L156" s="225">
        <f>+K156*Assumptions!N22</f>
        <v>13.934170663320158</v>
      </c>
      <c r="M156" s="225">
        <f>+L156*Assumptions!O22</f>
        <v>13.934170663320158</v>
      </c>
      <c r="N156" s="225">
        <f>+M156*Assumptions!P22</f>
        <v>13.934170663320158</v>
      </c>
    </row>
    <row r="157" spans="1:14" x14ac:dyDescent="0.2">
      <c r="A157" s="451" t="s">
        <v>1222</v>
      </c>
      <c r="B157" s="234"/>
      <c r="C157" s="370">
        <f>+Z23</f>
        <v>5.451090702039358</v>
      </c>
      <c r="D157" s="225">
        <f>+C157*Assumptions!F23</f>
        <v>5.451090702039358</v>
      </c>
      <c r="E157" s="225">
        <f>+D157*Assumptions!G23</f>
        <v>5.451090702039358</v>
      </c>
      <c r="F157" s="225">
        <f>+E157*Assumptions!H23</f>
        <v>5.451090702039358</v>
      </c>
      <c r="G157" s="225">
        <f>+F157*Assumptions!I23</f>
        <v>5.451090702039358</v>
      </c>
      <c r="H157" s="225">
        <f>+G157*Assumptions!J23</f>
        <v>5.451090702039358</v>
      </c>
      <c r="I157" s="225">
        <f>+H157*Assumptions!K23</f>
        <v>5.451090702039358</v>
      </c>
      <c r="J157" s="225">
        <f>+I157*Assumptions!L23</f>
        <v>5.451090702039358</v>
      </c>
      <c r="K157" s="225">
        <f>+J157*Assumptions!M23</f>
        <v>5.451090702039358</v>
      </c>
      <c r="L157" s="225">
        <f>+K157*Assumptions!N23</f>
        <v>5.451090702039358</v>
      </c>
      <c r="M157" s="225">
        <f>+L157*Assumptions!O23</f>
        <v>5.451090702039358</v>
      </c>
      <c r="N157" s="225">
        <f>+M157*Assumptions!P23</f>
        <v>5.451090702039358</v>
      </c>
    </row>
    <row r="158" spans="1:14" x14ac:dyDescent="0.2">
      <c r="A158" s="451" t="s">
        <v>1225</v>
      </c>
      <c r="B158" s="234"/>
      <c r="C158" s="370">
        <f>+AA23</f>
        <v>20.703330719989165</v>
      </c>
      <c r="D158" s="225">
        <f>+C158*Assumptions!F24</f>
        <v>20.703330719989165</v>
      </c>
      <c r="E158" s="225">
        <f>+D158*Assumptions!G24</f>
        <v>20.703330719989165</v>
      </c>
      <c r="F158" s="225">
        <f>+E158*Assumptions!H24</f>
        <v>20.703330719989165</v>
      </c>
      <c r="G158" s="225">
        <f>+F158*Assumptions!I24</f>
        <v>20.703330719989165</v>
      </c>
      <c r="H158" s="225">
        <f>+G158*Assumptions!J24</f>
        <v>20.703330719989165</v>
      </c>
      <c r="I158" s="225">
        <f>+H158*Assumptions!K24</f>
        <v>20.703330719989165</v>
      </c>
      <c r="J158" s="225">
        <f>+I158*Assumptions!L24</f>
        <v>20.703330719989165</v>
      </c>
      <c r="K158" s="225">
        <f>+J158*Assumptions!M24</f>
        <v>20.703330719989165</v>
      </c>
      <c r="L158" s="225">
        <f>+K158*Assumptions!N24</f>
        <v>20.703330719989165</v>
      </c>
      <c r="M158" s="225">
        <f>+L158*Assumptions!O24</f>
        <v>20.703330719989165</v>
      </c>
      <c r="N158" s="225">
        <f>+M158*Assumptions!P24</f>
        <v>20.703330719989165</v>
      </c>
    </row>
    <row r="159" spans="1:14" x14ac:dyDescent="0.2">
      <c r="A159" s="451" t="s">
        <v>1199</v>
      </c>
      <c r="B159" s="234"/>
      <c r="C159" s="370">
        <f>+AB23</f>
        <v>125.04101203124398</v>
      </c>
      <c r="D159" s="225">
        <f>+C159*Assumptions!F25</f>
        <v>125.04101203124398</v>
      </c>
      <c r="E159" s="225">
        <f>+D159*Assumptions!G25</f>
        <v>125.04101203124398</v>
      </c>
      <c r="F159" s="225">
        <f>+E159*Assumptions!H25</f>
        <v>125.04101203124398</v>
      </c>
      <c r="G159" s="225">
        <f>+F159*Assumptions!I25</f>
        <v>125.04101203124398</v>
      </c>
      <c r="H159" s="225">
        <f>+G159*Assumptions!J25</f>
        <v>125.04101203124398</v>
      </c>
      <c r="I159" s="225">
        <f>+H159*Assumptions!K25</f>
        <v>125.04101203124398</v>
      </c>
      <c r="J159" s="225">
        <f>+I159*Assumptions!L25</f>
        <v>125.04101203124398</v>
      </c>
      <c r="K159" s="225">
        <f>+J159*Assumptions!M25</f>
        <v>125.04101203124398</v>
      </c>
      <c r="L159" s="225">
        <f>+K159*Assumptions!N25</f>
        <v>125.04101203124398</v>
      </c>
      <c r="M159" s="225">
        <f>+L159*Assumptions!O25</f>
        <v>125.04101203124398</v>
      </c>
      <c r="N159" s="225">
        <f>+M159*Assumptions!P25</f>
        <v>125.04101203124398</v>
      </c>
    </row>
    <row r="160" spans="1:14" x14ac:dyDescent="0.2">
      <c r="A160" s="257" t="s">
        <v>140</v>
      </c>
      <c r="B160" s="234"/>
      <c r="C160" s="239">
        <f>((C161*C156)+(C162*C157)+(C158*C163)+(C159*C164))/SUM(C156:C159)</f>
        <v>13.737339103584112</v>
      </c>
      <c r="D160" s="239">
        <f t="shared" ref="D160:N161" si="51">C160</f>
        <v>13.737339103584112</v>
      </c>
      <c r="E160" s="239">
        <f t="shared" si="51"/>
        <v>13.737339103584112</v>
      </c>
      <c r="F160" s="239">
        <f t="shared" si="51"/>
        <v>13.737339103584112</v>
      </c>
      <c r="G160" s="239">
        <f t="shared" si="51"/>
        <v>13.737339103584112</v>
      </c>
      <c r="H160" s="239">
        <f t="shared" si="51"/>
        <v>13.737339103584112</v>
      </c>
      <c r="I160" s="239">
        <f t="shared" si="51"/>
        <v>13.737339103584112</v>
      </c>
      <c r="J160" s="239">
        <f t="shared" si="51"/>
        <v>13.737339103584112</v>
      </c>
      <c r="K160" s="239">
        <f t="shared" si="51"/>
        <v>13.737339103584112</v>
      </c>
      <c r="L160" s="239">
        <f t="shared" si="51"/>
        <v>13.737339103584112</v>
      </c>
      <c r="M160" s="239">
        <f t="shared" si="51"/>
        <v>13.737339103584112</v>
      </c>
      <c r="N160" s="260">
        <f t="shared" si="51"/>
        <v>13.737339103584112</v>
      </c>
    </row>
    <row r="161" spans="1:14" x14ac:dyDescent="0.2">
      <c r="A161" s="451" t="s">
        <v>1221</v>
      </c>
      <c r="B161" s="236"/>
      <c r="C161" s="371">
        <f>+$R$10</f>
        <v>52.122314049586777</v>
      </c>
      <c r="D161" s="237">
        <f t="shared" ref="D161:K164" si="52">C161</f>
        <v>52.122314049586777</v>
      </c>
      <c r="E161" s="237">
        <f t="shared" si="52"/>
        <v>52.122314049586777</v>
      </c>
      <c r="F161" s="237">
        <f t="shared" si="52"/>
        <v>52.122314049586777</v>
      </c>
      <c r="G161" s="237">
        <f t="shared" si="52"/>
        <v>52.122314049586777</v>
      </c>
      <c r="H161" s="237">
        <f t="shared" si="52"/>
        <v>52.122314049586777</v>
      </c>
      <c r="I161" s="237">
        <f t="shared" si="52"/>
        <v>52.122314049586777</v>
      </c>
      <c r="J161" s="237">
        <f t="shared" si="52"/>
        <v>52.122314049586777</v>
      </c>
      <c r="K161" s="237">
        <f t="shared" si="52"/>
        <v>52.122314049586777</v>
      </c>
      <c r="L161" s="237">
        <f t="shared" si="51"/>
        <v>52.122314049586777</v>
      </c>
      <c r="M161" s="237">
        <f t="shared" si="51"/>
        <v>52.122314049586777</v>
      </c>
      <c r="N161" s="237">
        <f t="shared" si="51"/>
        <v>52.122314049586777</v>
      </c>
    </row>
    <row r="162" spans="1:14" x14ac:dyDescent="0.2">
      <c r="A162" s="451" t="s">
        <v>1222</v>
      </c>
      <c r="B162" s="236"/>
      <c r="C162" s="371">
        <f>+$S$10</f>
        <v>77.720967741935482</v>
      </c>
      <c r="D162" s="237">
        <f t="shared" si="52"/>
        <v>77.720967741935482</v>
      </c>
      <c r="E162" s="237">
        <f t="shared" si="52"/>
        <v>77.720967741935482</v>
      </c>
      <c r="F162" s="237">
        <f t="shared" si="52"/>
        <v>77.720967741935482</v>
      </c>
      <c r="G162" s="237">
        <f t="shared" si="52"/>
        <v>77.720967741935482</v>
      </c>
      <c r="H162" s="237">
        <f t="shared" si="52"/>
        <v>77.720967741935482</v>
      </c>
      <c r="I162" s="237">
        <f t="shared" si="52"/>
        <v>77.720967741935482</v>
      </c>
      <c r="J162" s="237">
        <f t="shared" si="52"/>
        <v>77.720967741935482</v>
      </c>
      <c r="K162" s="237">
        <f t="shared" si="52"/>
        <v>77.720967741935482</v>
      </c>
      <c r="L162" s="237">
        <f t="shared" ref="L162:N164" si="53">K162</f>
        <v>77.720967741935482</v>
      </c>
      <c r="M162" s="237">
        <f t="shared" si="53"/>
        <v>77.720967741935482</v>
      </c>
      <c r="N162" s="258">
        <f t="shared" si="53"/>
        <v>77.720967741935482</v>
      </c>
    </row>
    <row r="163" spans="1:14" x14ac:dyDescent="0.2">
      <c r="A163" s="451" t="s">
        <v>1225</v>
      </c>
      <c r="B163" s="236"/>
      <c r="C163" s="371">
        <f>+$T$8</f>
        <v>34.535821661655788</v>
      </c>
      <c r="D163" s="237">
        <f t="shared" si="52"/>
        <v>34.535821661655788</v>
      </c>
      <c r="E163" s="237">
        <f t="shared" si="52"/>
        <v>34.535821661655788</v>
      </c>
      <c r="F163" s="237">
        <f t="shared" si="52"/>
        <v>34.535821661655788</v>
      </c>
      <c r="G163" s="237">
        <f t="shared" si="52"/>
        <v>34.535821661655788</v>
      </c>
      <c r="H163" s="237">
        <f t="shared" si="52"/>
        <v>34.535821661655788</v>
      </c>
      <c r="I163" s="237">
        <f t="shared" si="52"/>
        <v>34.535821661655788</v>
      </c>
      <c r="J163" s="237">
        <f t="shared" si="52"/>
        <v>34.535821661655788</v>
      </c>
      <c r="K163" s="237">
        <f t="shared" si="52"/>
        <v>34.535821661655788</v>
      </c>
      <c r="L163" s="237">
        <f t="shared" si="53"/>
        <v>34.535821661655788</v>
      </c>
      <c r="M163" s="237">
        <f t="shared" si="53"/>
        <v>34.535821661655788</v>
      </c>
      <c r="N163" s="258">
        <f t="shared" si="53"/>
        <v>34.535821661655788</v>
      </c>
    </row>
    <row r="164" spans="1:14" ht="13.5" thickBot="1" x14ac:dyDescent="0.25">
      <c r="A164" s="451" t="s">
        <v>1199</v>
      </c>
      <c r="B164" s="236"/>
      <c r="C164" s="371">
        <f>+$U$10</f>
        <v>3.2268578104271035</v>
      </c>
      <c r="D164" s="237">
        <f t="shared" si="52"/>
        <v>3.2268578104271035</v>
      </c>
      <c r="E164" s="237">
        <f t="shared" si="52"/>
        <v>3.2268578104271035</v>
      </c>
      <c r="F164" s="237">
        <f t="shared" si="52"/>
        <v>3.2268578104271035</v>
      </c>
      <c r="G164" s="237">
        <f t="shared" si="52"/>
        <v>3.2268578104271035</v>
      </c>
      <c r="H164" s="237">
        <f t="shared" si="52"/>
        <v>3.2268578104271035</v>
      </c>
      <c r="I164" s="237">
        <f t="shared" si="52"/>
        <v>3.2268578104271035</v>
      </c>
      <c r="J164" s="237">
        <f t="shared" si="52"/>
        <v>3.2268578104271035</v>
      </c>
      <c r="K164" s="237">
        <f t="shared" si="52"/>
        <v>3.2268578104271035</v>
      </c>
      <c r="L164" s="237">
        <f t="shared" si="53"/>
        <v>3.2268578104271035</v>
      </c>
      <c r="M164" s="237">
        <f t="shared" si="53"/>
        <v>3.2268578104271035</v>
      </c>
      <c r="N164" s="258">
        <f t="shared" si="53"/>
        <v>3.2268578104271035</v>
      </c>
    </row>
    <row r="165" spans="1:14" ht="13.5" thickBot="1" x14ac:dyDescent="0.25">
      <c r="A165" s="221" t="s">
        <v>141</v>
      </c>
      <c r="B165" s="15"/>
      <c r="C165" s="15">
        <f>((C164*C159)+(C163*C158)+(C162*C157)+(C156*C161))*C154</f>
        <v>290360.49507714971</v>
      </c>
      <c r="D165" s="15">
        <f t="shared" ref="D165:L165" si="54">((D164*D159)+(D163*D158)+(D162*D157)+(D156*D161))*D154</f>
        <v>290360.49507714971</v>
      </c>
      <c r="E165" s="15">
        <f t="shared" si="54"/>
        <v>290360.49507714971</v>
      </c>
      <c r="F165" s="15">
        <f t="shared" si="54"/>
        <v>290360.49507714971</v>
      </c>
      <c r="G165" s="15">
        <f t="shared" si="54"/>
        <v>290360.49507714971</v>
      </c>
      <c r="H165" s="15">
        <f t="shared" si="54"/>
        <v>290360.49507714971</v>
      </c>
      <c r="I165" s="15">
        <f t="shared" si="54"/>
        <v>290360.49507714971</v>
      </c>
      <c r="J165" s="15">
        <f t="shared" si="54"/>
        <v>290360.49507714971</v>
      </c>
      <c r="K165" s="15">
        <f t="shared" si="54"/>
        <v>290360.49507714971</v>
      </c>
      <c r="L165" s="15">
        <f t="shared" si="54"/>
        <v>290360.49507714971</v>
      </c>
      <c r="M165" s="15">
        <f>+L165*10</f>
        <v>2903604.9507714971</v>
      </c>
      <c r="N165" s="177">
        <f>+M165</f>
        <v>2903604.9507714971</v>
      </c>
    </row>
    <row r="166" spans="1:14" ht="13.5" thickBot="1" x14ac:dyDescent="0.25">
      <c r="A166" s="16" t="s">
        <v>1227</v>
      </c>
      <c r="B166" s="40"/>
      <c r="C166" s="442">
        <f>+'Boat Costs'!H13</f>
        <v>195023.49581993566</v>
      </c>
      <c r="D166" s="443">
        <f>+C166</f>
        <v>195023.49581993566</v>
      </c>
      <c r="E166" s="443">
        <f t="shared" ref="E166:L166" si="55">+D166</f>
        <v>195023.49581993566</v>
      </c>
      <c r="F166" s="443">
        <f t="shared" si="55"/>
        <v>195023.49581993566</v>
      </c>
      <c r="G166" s="443">
        <f t="shared" si="55"/>
        <v>195023.49581993566</v>
      </c>
      <c r="H166" s="443">
        <f t="shared" si="55"/>
        <v>195023.49581993566</v>
      </c>
      <c r="I166" s="443">
        <f t="shared" si="55"/>
        <v>195023.49581993566</v>
      </c>
      <c r="J166" s="443">
        <f t="shared" si="55"/>
        <v>195023.49581993566</v>
      </c>
      <c r="K166" s="443">
        <f t="shared" si="55"/>
        <v>195023.49581993566</v>
      </c>
      <c r="L166" s="443">
        <f t="shared" si="55"/>
        <v>195023.49581993566</v>
      </c>
      <c r="M166" s="443">
        <f>+L166*10</f>
        <v>1950234.9581993567</v>
      </c>
      <c r="N166" s="461">
        <f>+M166</f>
        <v>1950234.9581993567</v>
      </c>
    </row>
    <row r="167" spans="1:14" ht="16.5" thickBot="1" x14ac:dyDescent="0.3">
      <c r="A167" s="1056" t="s">
        <v>124</v>
      </c>
      <c r="B167" s="1057"/>
      <c r="C167" s="1057"/>
      <c r="D167" s="1057"/>
      <c r="E167" s="1057"/>
      <c r="F167" s="1057"/>
      <c r="G167" s="1057"/>
      <c r="H167" s="1057"/>
      <c r="I167" s="1057"/>
      <c r="J167" s="1057"/>
      <c r="K167" s="1057"/>
      <c r="L167" s="215"/>
      <c r="M167" s="215"/>
      <c r="N167" s="216"/>
    </row>
    <row r="168" spans="1:14" ht="13.5" thickBot="1" x14ac:dyDescent="0.25">
      <c r="A168" s="217"/>
      <c r="B168" s="218" t="s">
        <v>125</v>
      </c>
      <c r="C168" s="219" t="s">
        <v>126</v>
      </c>
      <c r="D168" s="219" t="s">
        <v>127</v>
      </c>
      <c r="E168" s="219" t="s">
        <v>128</v>
      </c>
      <c r="F168" s="219" t="s">
        <v>129</v>
      </c>
      <c r="G168" s="219" t="s">
        <v>130</v>
      </c>
      <c r="H168" s="219" t="s">
        <v>131</v>
      </c>
      <c r="I168" s="219" t="s">
        <v>132</v>
      </c>
      <c r="J168" s="219" t="s">
        <v>133</v>
      </c>
      <c r="K168" s="219" t="s">
        <v>134</v>
      </c>
      <c r="L168" s="219" t="s">
        <v>135</v>
      </c>
      <c r="M168" s="219" t="s">
        <v>136</v>
      </c>
      <c r="N168" s="220" t="s">
        <v>137</v>
      </c>
    </row>
    <row r="169" spans="1:14" x14ac:dyDescent="0.2">
      <c r="A169" s="255" t="s">
        <v>1228</v>
      </c>
      <c r="B169" s="229"/>
      <c r="C169" s="233"/>
      <c r="D169" s="233"/>
      <c r="E169" s="233"/>
      <c r="F169" s="233"/>
      <c r="G169" s="233"/>
      <c r="H169" s="233"/>
      <c r="I169" s="233"/>
      <c r="J169" s="233"/>
      <c r="K169" s="233"/>
      <c r="L169" s="233"/>
      <c r="M169" s="233"/>
      <c r="N169" s="256"/>
    </row>
    <row r="170" spans="1:14" x14ac:dyDescent="0.2">
      <c r="A170" s="257" t="str">
        <f>A154</f>
        <v xml:space="preserve">  - Days</v>
      </c>
      <c r="B170" s="234"/>
      <c r="C170" s="225">
        <f>C154*(1+Assumptions!$Q6)</f>
        <v>134.4</v>
      </c>
      <c r="D170" s="225">
        <f>D154*(1+Assumptions!$Q6)</f>
        <v>134.4</v>
      </c>
      <c r="E170" s="225">
        <f>E154*(1+Assumptions!$Q6)</f>
        <v>134.4</v>
      </c>
      <c r="F170" s="225">
        <f>F154*(1+Assumptions!$Q6)</f>
        <v>134.4</v>
      </c>
      <c r="G170" s="225">
        <f>G154*(1+Assumptions!$Q6)</f>
        <v>134.4</v>
      </c>
      <c r="H170" s="225">
        <f>H154*(1+Assumptions!$Q6)</f>
        <v>134.4</v>
      </c>
      <c r="I170" s="225">
        <f>I154*(1+Assumptions!$Q6)</f>
        <v>134.4</v>
      </c>
      <c r="J170" s="225">
        <f>J154*(1+Assumptions!$Q6)</f>
        <v>134.4</v>
      </c>
      <c r="K170" s="225">
        <f>K154*(1+Assumptions!$Q6)</f>
        <v>134.4</v>
      </c>
      <c r="L170" s="225">
        <f>L154*(1+Assumptions!$Q6)</f>
        <v>134.4</v>
      </c>
      <c r="M170" s="225">
        <f>L170*10</f>
        <v>1344</v>
      </c>
      <c r="N170" s="226">
        <f>M170</f>
        <v>1344</v>
      </c>
    </row>
    <row r="171" spans="1:14" x14ac:dyDescent="0.2">
      <c r="A171" s="257" t="str">
        <f>A155</f>
        <v xml:space="preserve">  - Catch per boat trip in kg </v>
      </c>
      <c r="B171" s="234"/>
      <c r="C171" s="477">
        <f>+C155*(1+(Assumptions!$Q$8+Assumptions!B$30))</f>
        <v>165.12960411659265</v>
      </c>
      <c r="D171" s="477">
        <f>+D155*(1+(Assumptions!$Q$8+Assumptions!C$30))</f>
        <v>165.12960411659265</v>
      </c>
      <c r="E171" s="477">
        <f>+E155*(1+(Assumptions!$Q$8+Assumptions!D$30))</f>
        <v>165.12960411659265</v>
      </c>
      <c r="F171" s="477">
        <f>+F155*(1+(Assumptions!$Q$8+Assumptions!E$30))</f>
        <v>165.12960411659265</v>
      </c>
      <c r="G171" s="477">
        <f>+G155*(1+(Assumptions!$Q$8+Assumptions!F$30))</f>
        <v>165.12960411659265</v>
      </c>
      <c r="H171" s="477">
        <f>+H155*(1+(Assumptions!$Q$8+Assumptions!G$30))</f>
        <v>165.12960411659265</v>
      </c>
      <c r="I171" s="477">
        <f>+I155*(1+(Assumptions!$Q$8+Assumptions!H$30))</f>
        <v>165.12960411659265</v>
      </c>
      <c r="J171" s="477">
        <f>+J155*(1+(Assumptions!$Q$8+Assumptions!I$30))</f>
        <v>165.12960411659265</v>
      </c>
      <c r="K171" s="477">
        <f>+K155*(1+(Assumptions!$Q$8+Assumptions!J$30))</f>
        <v>165.12960411659265</v>
      </c>
      <c r="L171" s="477">
        <f>+L155*(1+(Assumptions!$Q$8+Assumptions!K$30))</f>
        <v>165.12960411659265</v>
      </c>
      <c r="M171" s="477">
        <f>+M155*(1+(Assumptions!$Q$8+Assumptions!L$30))</f>
        <v>165.12960411659265</v>
      </c>
      <c r="N171" s="477">
        <f>+N155*(1+(Assumptions!$Q$8+Assumptions!M$30))</f>
        <v>165.12960411659265</v>
      </c>
    </row>
    <row r="172" spans="1:14" x14ac:dyDescent="0.2">
      <c r="A172" s="451" t="s">
        <v>1221</v>
      </c>
      <c r="B172" s="234"/>
      <c r="C172" s="238"/>
      <c r="D172" s="225"/>
      <c r="E172" s="225"/>
      <c r="F172" s="225"/>
      <c r="G172" s="225"/>
      <c r="H172" s="225"/>
      <c r="I172" s="225"/>
      <c r="J172" s="225"/>
      <c r="K172" s="225"/>
      <c r="L172" s="225"/>
      <c r="M172" s="225"/>
      <c r="N172" s="226"/>
    </row>
    <row r="173" spans="1:14" x14ac:dyDescent="0.2">
      <c r="A173" s="451" t="s">
        <v>1222</v>
      </c>
      <c r="B173" s="234"/>
      <c r="C173" s="238"/>
      <c r="D173" s="238"/>
      <c r="E173" s="238"/>
      <c r="F173" s="238"/>
      <c r="G173" s="238"/>
      <c r="H173" s="238"/>
      <c r="I173" s="238"/>
      <c r="J173" s="238"/>
      <c r="K173" s="238"/>
      <c r="L173" s="238"/>
      <c r="M173" s="238"/>
      <c r="N173" s="259"/>
    </row>
    <row r="174" spans="1:14" x14ac:dyDescent="0.2">
      <c r="A174" s="451" t="s">
        <v>1225</v>
      </c>
      <c r="B174" s="234"/>
      <c r="C174" s="238"/>
      <c r="D174" s="238"/>
      <c r="E174" s="238"/>
      <c r="F174" s="238"/>
      <c r="G174" s="238"/>
      <c r="H174" s="238"/>
      <c r="I174" s="238"/>
      <c r="J174" s="238"/>
      <c r="K174" s="238"/>
      <c r="L174" s="238"/>
      <c r="M174" s="238"/>
      <c r="N174" s="259"/>
    </row>
    <row r="175" spans="1:14" x14ac:dyDescent="0.2">
      <c r="A175" s="451" t="s">
        <v>1199</v>
      </c>
      <c r="B175" s="234"/>
      <c r="C175" s="238"/>
      <c r="D175" s="238"/>
      <c r="E175" s="238"/>
      <c r="F175" s="238"/>
      <c r="G175" s="238"/>
      <c r="H175" s="238"/>
      <c r="I175" s="238"/>
      <c r="J175" s="238"/>
      <c r="K175" s="238"/>
      <c r="L175" s="238"/>
      <c r="M175" s="238"/>
      <c r="N175" s="259"/>
    </row>
    <row r="176" spans="1:14" x14ac:dyDescent="0.2">
      <c r="A176" s="257" t="str">
        <f>A160</f>
        <v xml:space="preserve">  - Average price of sales in dh/kg</v>
      </c>
      <c r="B176" s="234"/>
      <c r="C176" s="239">
        <f>+C160*(1+(Assumptions!$Q$7))</f>
        <v>14.012085885655795</v>
      </c>
      <c r="D176" s="239">
        <f>+D160*(1+(Assumptions!$Q$7))</f>
        <v>14.012085885655795</v>
      </c>
      <c r="E176" s="239">
        <f>+E160*(1+(Assumptions!$Q$7))</f>
        <v>14.012085885655795</v>
      </c>
      <c r="F176" s="239">
        <f>+F160*(1+(Assumptions!$Q$7))</f>
        <v>14.012085885655795</v>
      </c>
      <c r="G176" s="239">
        <f>+G160*(1+(Assumptions!$Q$7))</f>
        <v>14.012085885655795</v>
      </c>
      <c r="H176" s="239">
        <f>+H160*(1+(Assumptions!$Q$7))</f>
        <v>14.012085885655795</v>
      </c>
      <c r="I176" s="239">
        <f>+I160*(1+(Assumptions!$Q$7))</f>
        <v>14.012085885655795</v>
      </c>
      <c r="J176" s="239">
        <f>+J160*(1+(Assumptions!$Q$7))</f>
        <v>14.012085885655795</v>
      </c>
      <c r="K176" s="239">
        <f>+K160*(1+(Assumptions!$Q$7))</f>
        <v>14.012085885655795</v>
      </c>
      <c r="L176" s="239">
        <f>+L160*(1+(Assumptions!$Q$7))</f>
        <v>14.012085885655795</v>
      </c>
      <c r="M176" s="239">
        <f>+M160*(1+(Assumptions!$Q$7))</f>
        <v>14.012085885655795</v>
      </c>
      <c r="N176" s="239">
        <f>+N160*(1+(Assumptions!$Q$7))</f>
        <v>14.012085885655795</v>
      </c>
    </row>
    <row r="177" spans="1:14" x14ac:dyDescent="0.2">
      <c r="A177" s="451" t="s">
        <v>1221</v>
      </c>
      <c r="B177" s="236"/>
      <c r="C177" s="237"/>
      <c r="D177" s="237"/>
      <c r="E177" s="237"/>
      <c r="F177" s="237"/>
      <c r="G177" s="237"/>
      <c r="H177" s="237"/>
      <c r="I177" s="237"/>
      <c r="J177" s="237"/>
      <c r="K177" s="237"/>
      <c r="L177" s="237"/>
      <c r="M177" s="237"/>
      <c r="N177" s="258"/>
    </row>
    <row r="178" spans="1:14" x14ac:dyDescent="0.2">
      <c r="A178" s="451" t="s">
        <v>1222</v>
      </c>
      <c r="B178" s="236"/>
      <c r="C178" s="237"/>
      <c r="D178" s="237"/>
      <c r="E178" s="237"/>
      <c r="F178" s="237"/>
      <c r="G178" s="237"/>
      <c r="H178" s="237"/>
      <c r="I178" s="237"/>
      <c r="J178" s="237"/>
      <c r="K178" s="237"/>
      <c r="L178" s="237"/>
      <c r="M178" s="237"/>
      <c r="N178" s="258"/>
    </row>
    <row r="179" spans="1:14" x14ac:dyDescent="0.2">
      <c r="A179" s="451" t="s">
        <v>1225</v>
      </c>
      <c r="B179" s="236"/>
      <c r="C179" s="237"/>
      <c r="D179" s="237"/>
      <c r="E179" s="237"/>
      <c r="F179" s="237"/>
      <c r="G179" s="237"/>
      <c r="H179" s="237"/>
      <c r="I179" s="237"/>
      <c r="J179" s="237"/>
      <c r="K179" s="237"/>
      <c r="L179" s="237"/>
      <c r="M179" s="237"/>
      <c r="N179" s="258"/>
    </row>
    <row r="180" spans="1:14" ht="13.5" thickBot="1" x14ac:dyDescent="0.25">
      <c r="A180" s="451" t="s">
        <v>1199</v>
      </c>
      <c r="B180" s="236"/>
      <c r="C180" s="237"/>
      <c r="D180" s="237"/>
      <c r="E180" s="237"/>
      <c r="F180" s="237"/>
      <c r="G180" s="237"/>
      <c r="H180" s="237"/>
      <c r="I180" s="237"/>
      <c r="J180" s="237"/>
      <c r="K180" s="237"/>
      <c r="L180" s="237"/>
      <c r="M180" s="237"/>
      <c r="N180" s="258"/>
    </row>
    <row r="181" spans="1:14" x14ac:dyDescent="0.2">
      <c r="A181" s="230" t="s">
        <v>141</v>
      </c>
      <c r="B181" s="178"/>
      <c r="C181" s="178">
        <f>+C170*C171*C176</f>
        <v>310976.09022762737</v>
      </c>
      <c r="D181" s="178">
        <f t="shared" ref="D181:L181" si="56">+D170*D171*D176</f>
        <v>310976.09022762737</v>
      </c>
      <c r="E181" s="178">
        <f t="shared" si="56"/>
        <v>310976.09022762737</v>
      </c>
      <c r="F181" s="178">
        <f t="shared" si="56"/>
        <v>310976.09022762737</v>
      </c>
      <c r="G181" s="178">
        <f t="shared" si="56"/>
        <v>310976.09022762737</v>
      </c>
      <c r="H181" s="178">
        <f t="shared" si="56"/>
        <v>310976.09022762737</v>
      </c>
      <c r="I181" s="178">
        <f t="shared" si="56"/>
        <v>310976.09022762737</v>
      </c>
      <c r="J181" s="178">
        <f t="shared" si="56"/>
        <v>310976.09022762737</v>
      </c>
      <c r="K181" s="178">
        <f t="shared" si="56"/>
        <v>310976.09022762737</v>
      </c>
      <c r="L181" s="178">
        <f t="shared" si="56"/>
        <v>310976.09022762737</v>
      </c>
      <c r="M181" s="178">
        <f>+L181*10</f>
        <v>3109760.9022762738</v>
      </c>
      <c r="N181" s="179">
        <f>+M181</f>
        <v>3109760.9022762738</v>
      </c>
    </row>
    <row r="182" spans="1:14" x14ac:dyDescent="0.2">
      <c r="A182" s="453" t="s">
        <v>1227</v>
      </c>
      <c r="B182" s="212"/>
      <c r="C182" s="460">
        <f>+'Boat Costs'!H14</f>
        <v>202873.94778135049</v>
      </c>
      <c r="D182" s="456">
        <f>+C182</f>
        <v>202873.94778135049</v>
      </c>
      <c r="E182" s="456">
        <f t="shared" ref="E182:L182" si="57">+D182</f>
        <v>202873.94778135049</v>
      </c>
      <c r="F182" s="456">
        <f t="shared" si="57"/>
        <v>202873.94778135049</v>
      </c>
      <c r="G182" s="456">
        <f t="shared" si="57"/>
        <v>202873.94778135049</v>
      </c>
      <c r="H182" s="456">
        <f t="shared" si="57"/>
        <v>202873.94778135049</v>
      </c>
      <c r="I182" s="456">
        <f t="shared" si="57"/>
        <v>202873.94778135049</v>
      </c>
      <c r="J182" s="456">
        <f t="shared" si="57"/>
        <v>202873.94778135049</v>
      </c>
      <c r="K182" s="456">
        <f t="shared" si="57"/>
        <v>202873.94778135049</v>
      </c>
      <c r="L182" s="456">
        <f t="shared" si="57"/>
        <v>202873.94778135049</v>
      </c>
      <c r="M182" s="456">
        <f>+L182*10</f>
        <v>2028739.4778135049</v>
      </c>
      <c r="N182" s="457">
        <f>+M182</f>
        <v>2028739.4778135049</v>
      </c>
    </row>
    <row r="184" spans="1:14" ht="15.75" thickBot="1" x14ac:dyDescent="0.3">
      <c r="A184" s="372" t="s">
        <v>165</v>
      </c>
    </row>
    <row r="185" spans="1:14" ht="13.5" thickBot="1" x14ac:dyDescent="0.25">
      <c r="A185" s="232" t="s">
        <v>160</v>
      </c>
      <c r="B185" s="12"/>
      <c r="C185" s="12">
        <f>(C217-C218)-(C201-C202)</f>
        <v>13718.050731720374</v>
      </c>
      <c r="D185" s="12">
        <f t="shared" ref="D185:N185" si="58">(D217-D218)-(D201-D202)</f>
        <v>13718.050731720374</v>
      </c>
      <c r="E185" s="12">
        <f t="shared" si="58"/>
        <v>13718.050731720374</v>
      </c>
      <c r="F185" s="12">
        <f t="shared" si="58"/>
        <v>13718.050731720374</v>
      </c>
      <c r="G185" s="12">
        <f t="shared" si="58"/>
        <v>13718.050731720374</v>
      </c>
      <c r="H185" s="12">
        <f t="shared" si="58"/>
        <v>13718.050731720374</v>
      </c>
      <c r="I185" s="12">
        <f t="shared" si="58"/>
        <v>13718.050731720374</v>
      </c>
      <c r="J185" s="12">
        <f t="shared" si="58"/>
        <v>13718.050731720374</v>
      </c>
      <c r="K185" s="12">
        <f t="shared" si="58"/>
        <v>13718.050731720374</v>
      </c>
      <c r="L185" s="12">
        <f t="shared" si="58"/>
        <v>13718.050731720374</v>
      </c>
      <c r="M185" s="12">
        <f t="shared" si="58"/>
        <v>137180.50731720356</v>
      </c>
      <c r="N185" s="12">
        <f t="shared" si="58"/>
        <v>137180.50731720356</v>
      </c>
    </row>
    <row r="186" spans="1:14" x14ac:dyDescent="0.2">
      <c r="A186" s="16"/>
      <c r="B186" s="57"/>
      <c r="C186" s="57"/>
      <c r="D186" s="57"/>
      <c r="E186" s="57"/>
      <c r="F186" s="57"/>
      <c r="G186" s="57"/>
      <c r="H186" s="57"/>
      <c r="I186" s="57"/>
      <c r="J186" s="57"/>
      <c r="K186" s="57"/>
      <c r="L186" s="57"/>
      <c r="M186" s="57"/>
      <c r="N186" s="207"/>
    </row>
    <row r="187" spans="1:14" ht="16.5" thickBot="1" x14ac:dyDescent="0.3">
      <c r="A187" s="1054" t="s">
        <v>123</v>
      </c>
      <c r="B187" s="1055"/>
      <c r="C187" s="1055"/>
      <c r="D187" s="1055"/>
      <c r="E187" s="1055"/>
      <c r="F187" s="1055"/>
      <c r="G187" s="1055"/>
      <c r="H187" s="1055"/>
      <c r="I187" s="1055"/>
      <c r="J187" s="1055"/>
      <c r="K187" s="1055"/>
      <c r="L187" s="458"/>
      <c r="M187" s="458"/>
      <c r="N187" s="459"/>
    </row>
    <row r="188" spans="1:14" ht="13.5" thickBot="1" x14ac:dyDescent="0.25">
      <c r="A188" s="217"/>
      <c r="B188" s="218" t="s">
        <v>125</v>
      </c>
      <c r="C188" s="219" t="s">
        <v>126</v>
      </c>
      <c r="D188" s="219" t="s">
        <v>127</v>
      </c>
      <c r="E188" s="219" t="s">
        <v>128</v>
      </c>
      <c r="F188" s="219" t="s">
        <v>129</v>
      </c>
      <c r="G188" s="219" t="s">
        <v>130</v>
      </c>
      <c r="H188" s="219" t="s">
        <v>131</v>
      </c>
      <c r="I188" s="219" t="s">
        <v>132</v>
      </c>
      <c r="J188" s="219" t="s">
        <v>133</v>
      </c>
      <c r="K188" s="219" t="s">
        <v>134</v>
      </c>
      <c r="L188" s="219" t="s">
        <v>135</v>
      </c>
      <c r="M188" s="219" t="s">
        <v>136</v>
      </c>
      <c r="N188" s="220" t="s">
        <v>137</v>
      </c>
    </row>
    <row r="189" spans="1:14" x14ac:dyDescent="0.2">
      <c r="A189" s="255" t="s">
        <v>1228</v>
      </c>
      <c r="B189" s="229"/>
      <c r="C189" s="233"/>
      <c r="D189" s="233"/>
      <c r="E189" s="233"/>
      <c r="F189" s="233"/>
      <c r="G189" s="233"/>
      <c r="H189" s="233"/>
      <c r="I189" s="233"/>
      <c r="J189" s="233"/>
      <c r="K189" s="233"/>
      <c r="L189" s="233"/>
      <c r="M189" s="233"/>
      <c r="N189" s="256"/>
    </row>
    <row r="190" spans="1:14" x14ac:dyDescent="0.2">
      <c r="A190" s="257" t="s">
        <v>139</v>
      </c>
      <c r="B190" s="234"/>
      <c r="C190" s="225">
        <f>+R40</f>
        <v>83</v>
      </c>
      <c r="D190" s="225">
        <f t="shared" ref="D190:N190" si="59">C190</f>
        <v>83</v>
      </c>
      <c r="E190" s="225">
        <f t="shared" si="59"/>
        <v>83</v>
      </c>
      <c r="F190" s="225">
        <f t="shared" si="59"/>
        <v>83</v>
      </c>
      <c r="G190" s="225">
        <f t="shared" si="59"/>
        <v>83</v>
      </c>
      <c r="H190" s="225">
        <f t="shared" si="59"/>
        <v>83</v>
      </c>
      <c r="I190" s="225">
        <f t="shared" si="59"/>
        <v>83</v>
      </c>
      <c r="J190" s="225">
        <f t="shared" si="59"/>
        <v>83</v>
      </c>
      <c r="K190" s="225">
        <f t="shared" si="59"/>
        <v>83</v>
      </c>
      <c r="L190" s="225">
        <f t="shared" si="59"/>
        <v>83</v>
      </c>
      <c r="M190" s="225">
        <f t="shared" si="59"/>
        <v>83</v>
      </c>
      <c r="N190" s="226">
        <f t="shared" si="59"/>
        <v>83</v>
      </c>
    </row>
    <row r="191" spans="1:14" x14ac:dyDescent="0.2">
      <c r="A191" s="257" t="s">
        <v>138</v>
      </c>
      <c r="B191" s="234"/>
      <c r="C191" s="225">
        <f>SUM(C192:C195)</f>
        <v>80.605390704986945</v>
      </c>
      <c r="D191" s="225">
        <f t="shared" ref="D191:N191" si="60">SUM(D192:D195)</f>
        <v>80.605390704986945</v>
      </c>
      <c r="E191" s="225">
        <f t="shared" si="60"/>
        <v>80.605390704986945</v>
      </c>
      <c r="F191" s="225">
        <f t="shared" si="60"/>
        <v>80.605390704986945</v>
      </c>
      <c r="G191" s="225">
        <f t="shared" si="60"/>
        <v>80.605390704986945</v>
      </c>
      <c r="H191" s="225">
        <f t="shared" si="60"/>
        <v>80.605390704986945</v>
      </c>
      <c r="I191" s="225">
        <f t="shared" si="60"/>
        <v>80.605390704986945</v>
      </c>
      <c r="J191" s="225">
        <f t="shared" si="60"/>
        <v>80.605390704986945</v>
      </c>
      <c r="K191" s="225">
        <f t="shared" si="60"/>
        <v>80.605390704986945</v>
      </c>
      <c r="L191" s="225">
        <f t="shared" si="60"/>
        <v>80.605390704986945</v>
      </c>
      <c r="M191" s="225">
        <f t="shared" si="60"/>
        <v>80.605390704986945</v>
      </c>
      <c r="N191" s="226">
        <f t="shared" si="60"/>
        <v>80.605390704986945</v>
      </c>
    </row>
    <row r="192" spans="1:14" x14ac:dyDescent="0.2">
      <c r="A192" s="451" t="s">
        <v>1221</v>
      </c>
      <c r="B192" s="234"/>
      <c r="C192" s="369">
        <f>+Y24</f>
        <v>13.983308509614023</v>
      </c>
      <c r="D192" s="225">
        <f>+C192*Assumptions!F$22</f>
        <v>13.983308509614023</v>
      </c>
      <c r="E192" s="225">
        <f>+D192*Assumptions!G$22</f>
        <v>13.983308509614023</v>
      </c>
      <c r="F192" s="225">
        <f>+E192*Assumptions!H$22</f>
        <v>13.983308509614023</v>
      </c>
      <c r="G192" s="225">
        <f>+F192*Assumptions!I$22</f>
        <v>13.983308509614023</v>
      </c>
      <c r="H192" s="225">
        <f>+G192*Assumptions!J$22</f>
        <v>13.983308509614023</v>
      </c>
      <c r="I192" s="225">
        <f>+H192*Assumptions!K$22</f>
        <v>13.983308509614023</v>
      </c>
      <c r="J192" s="225">
        <f>+I192*Assumptions!L$22</f>
        <v>13.983308509614023</v>
      </c>
      <c r="K192" s="225">
        <f>+J192*Assumptions!M$22</f>
        <v>13.983308509614023</v>
      </c>
      <c r="L192" s="225">
        <f>+K192*Assumptions!N$22</f>
        <v>13.983308509614023</v>
      </c>
      <c r="M192" s="225">
        <f>+L192*Assumptions!O$22</f>
        <v>13.983308509614023</v>
      </c>
      <c r="N192" s="226">
        <f>+M192*Assumptions!P$22</f>
        <v>13.983308509614023</v>
      </c>
    </row>
    <row r="193" spans="1:14" x14ac:dyDescent="0.2">
      <c r="A193" s="451" t="s">
        <v>1222</v>
      </c>
      <c r="B193" s="234"/>
      <c r="C193" s="370">
        <f>+Z24</f>
        <v>3.7510721688922248</v>
      </c>
      <c r="D193" s="225">
        <f>+C193*Assumptions!F$22</f>
        <v>3.7510721688922248</v>
      </c>
      <c r="E193" s="225">
        <f>+D193*Assumptions!G$22</f>
        <v>3.7510721688922248</v>
      </c>
      <c r="F193" s="225">
        <f>+E193*Assumptions!H$22</f>
        <v>3.7510721688922248</v>
      </c>
      <c r="G193" s="225">
        <f>+F193*Assumptions!I$22</f>
        <v>3.7510721688922248</v>
      </c>
      <c r="H193" s="225">
        <f>+G193*Assumptions!J$22</f>
        <v>3.7510721688922248</v>
      </c>
      <c r="I193" s="225">
        <f>+H193*Assumptions!K$22</f>
        <v>3.7510721688922248</v>
      </c>
      <c r="J193" s="225">
        <f>+I193*Assumptions!L$22</f>
        <v>3.7510721688922248</v>
      </c>
      <c r="K193" s="225">
        <f>+J193*Assumptions!M$22</f>
        <v>3.7510721688922248</v>
      </c>
      <c r="L193" s="225">
        <f>+K193*Assumptions!N$22</f>
        <v>3.7510721688922248</v>
      </c>
      <c r="M193" s="225">
        <f>+L193*Assumptions!O$22</f>
        <v>3.7510721688922248</v>
      </c>
      <c r="N193" s="226">
        <f>+M193*Assumptions!P$22</f>
        <v>3.7510721688922248</v>
      </c>
    </row>
    <row r="194" spans="1:14" x14ac:dyDescent="0.2">
      <c r="A194" s="451" t="s">
        <v>1225</v>
      </c>
      <c r="B194" s="234"/>
      <c r="C194" s="370">
        <f>+AA24</f>
        <v>62.871010026480697</v>
      </c>
      <c r="D194" s="225">
        <f>+C194*Assumptions!F$22</f>
        <v>62.871010026480697</v>
      </c>
      <c r="E194" s="225">
        <f>+D194*Assumptions!G$22</f>
        <v>62.871010026480697</v>
      </c>
      <c r="F194" s="225">
        <f>+E194*Assumptions!H$22</f>
        <v>62.871010026480697</v>
      </c>
      <c r="G194" s="225">
        <f>+F194*Assumptions!I$22</f>
        <v>62.871010026480697</v>
      </c>
      <c r="H194" s="225">
        <f>+G194*Assumptions!J$22</f>
        <v>62.871010026480697</v>
      </c>
      <c r="I194" s="225">
        <f>+H194*Assumptions!K$22</f>
        <v>62.871010026480697</v>
      </c>
      <c r="J194" s="225">
        <f>+I194*Assumptions!L$22</f>
        <v>62.871010026480697</v>
      </c>
      <c r="K194" s="225">
        <f>+J194*Assumptions!M$22</f>
        <v>62.871010026480697</v>
      </c>
      <c r="L194" s="225">
        <f>+K194*Assumptions!N$22</f>
        <v>62.871010026480697</v>
      </c>
      <c r="M194" s="225">
        <f>+L194*Assumptions!O$22</f>
        <v>62.871010026480697</v>
      </c>
      <c r="N194" s="226">
        <f>+M194*Assumptions!P$22</f>
        <v>62.871010026480697</v>
      </c>
    </row>
    <row r="195" spans="1:14" x14ac:dyDescent="0.2">
      <c r="A195" s="451" t="s">
        <v>1199</v>
      </c>
      <c r="B195" s="234"/>
      <c r="C195" s="370">
        <f>+AB24</f>
        <v>0</v>
      </c>
      <c r="D195" s="225">
        <f>+C195*Assumptions!F$22</f>
        <v>0</v>
      </c>
      <c r="E195" s="225">
        <f>+D195*Assumptions!G$22</f>
        <v>0</v>
      </c>
      <c r="F195" s="225">
        <f>+E195*Assumptions!H$22</f>
        <v>0</v>
      </c>
      <c r="G195" s="225">
        <f>+F195*Assumptions!I$22</f>
        <v>0</v>
      </c>
      <c r="H195" s="225">
        <f>+G195*Assumptions!J$22</f>
        <v>0</v>
      </c>
      <c r="I195" s="225">
        <f>+H195*Assumptions!K$22</f>
        <v>0</v>
      </c>
      <c r="J195" s="225">
        <f>+I195*Assumptions!L$22</f>
        <v>0</v>
      </c>
      <c r="K195" s="225">
        <f>+J195*Assumptions!M$22</f>
        <v>0</v>
      </c>
      <c r="L195" s="225">
        <f>+K195*Assumptions!N$22</f>
        <v>0</v>
      </c>
      <c r="M195" s="225">
        <f>+L195*Assumptions!O$22</f>
        <v>0</v>
      </c>
      <c r="N195" s="226">
        <f>+M195*Assumptions!P$22</f>
        <v>0</v>
      </c>
    </row>
    <row r="196" spans="1:14" x14ac:dyDescent="0.2">
      <c r="A196" s="257" t="s">
        <v>140</v>
      </c>
      <c r="B196" s="234"/>
      <c r="C196" s="239">
        <f>((C197*C192)+(C198*C193)+(C194*C199)+(C195*C200))/SUM(C192:C195)</f>
        <v>39.596375858665134</v>
      </c>
      <c r="D196" s="239">
        <f t="shared" ref="D196:N196" si="61">C196</f>
        <v>39.596375858665134</v>
      </c>
      <c r="E196" s="239">
        <f t="shared" si="61"/>
        <v>39.596375858665134</v>
      </c>
      <c r="F196" s="239">
        <f t="shared" si="61"/>
        <v>39.596375858665134</v>
      </c>
      <c r="G196" s="239">
        <f t="shared" si="61"/>
        <v>39.596375858665134</v>
      </c>
      <c r="H196" s="239">
        <f t="shared" si="61"/>
        <v>39.596375858665134</v>
      </c>
      <c r="I196" s="239">
        <f t="shared" si="61"/>
        <v>39.596375858665134</v>
      </c>
      <c r="J196" s="239">
        <f t="shared" si="61"/>
        <v>39.596375858665134</v>
      </c>
      <c r="K196" s="239">
        <f t="shared" si="61"/>
        <v>39.596375858665134</v>
      </c>
      <c r="L196" s="239">
        <f t="shared" si="61"/>
        <v>39.596375858665134</v>
      </c>
      <c r="M196" s="239">
        <f t="shared" si="61"/>
        <v>39.596375858665134</v>
      </c>
      <c r="N196" s="260">
        <f t="shared" si="61"/>
        <v>39.596375858665134</v>
      </c>
    </row>
    <row r="197" spans="1:14" x14ac:dyDescent="0.2">
      <c r="A197" s="451" t="s">
        <v>1221</v>
      </c>
      <c r="B197" s="236"/>
      <c r="C197" s="371">
        <f>+$R$10</f>
        <v>52.122314049586777</v>
      </c>
      <c r="D197" s="237">
        <f>+C197</f>
        <v>52.122314049586777</v>
      </c>
      <c r="E197" s="237">
        <f t="shared" ref="E197:N197" si="62">+D197</f>
        <v>52.122314049586777</v>
      </c>
      <c r="F197" s="237">
        <f t="shared" si="62"/>
        <v>52.122314049586777</v>
      </c>
      <c r="G197" s="237">
        <f t="shared" si="62"/>
        <v>52.122314049586777</v>
      </c>
      <c r="H197" s="237">
        <f t="shared" si="62"/>
        <v>52.122314049586777</v>
      </c>
      <c r="I197" s="237">
        <f t="shared" si="62"/>
        <v>52.122314049586777</v>
      </c>
      <c r="J197" s="237">
        <f t="shared" si="62"/>
        <v>52.122314049586777</v>
      </c>
      <c r="K197" s="237">
        <f t="shared" si="62"/>
        <v>52.122314049586777</v>
      </c>
      <c r="L197" s="237">
        <f t="shared" si="62"/>
        <v>52.122314049586777</v>
      </c>
      <c r="M197" s="237">
        <f t="shared" si="62"/>
        <v>52.122314049586777</v>
      </c>
      <c r="N197" s="258">
        <f t="shared" si="62"/>
        <v>52.122314049586777</v>
      </c>
    </row>
    <row r="198" spans="1:14" x14ac:dyDescent="0.2">
      <c r="A198" s="451" t="s">
        <v>1222</v>
      </c>
      <c r="B198" s="236"/>
      <c r="C198" s="371">
        <f>+$S$10</f>
        <v>77.720967741935482</v>
      </c>
      <c r="D198" s="237">
        <f t="shared" ref="D198:N200" si="63">+C198</f>
        <v>77.720967741935482</v>
      </c>
      <c r="E198" s="237">
        <f t="shared" si="63"/>
        <v>77.720967741935482</v>
      </c>
      <c r="F198" s="237">
        <f t="shared" si="63"/>
        <v>77.720967741935482</v>
      </c>
      <c r="G198" s="237">
        <f t="shared" si="63"/>
        <v>77.720967741935482</v>
      </c>
      <c r="H198" s="237">
        <f t="shared" si="63"/>
        <v>77.720967741935482</v>
      </c>
      <c r="I198" s="237">
        <f t="shared" si="63"/>
        <v>77.720967741935482</v>
      </c>
      <c r="J198" s="237">
        <f t="shared" si="63"/>
        <v>77.720967741935482</v>
      </c>
      <c r="K198" s="237">
        <f t="shared" si="63"/>
        <v>77.720967741935482</v>
      </c>
      <c r="L198" s="237">
        <f t="shared" si="63"/>
        <v>77.720967741935482</v>
      </c>
      <c r="M198" s="237">
        <f t="shared" si="63"/>
        <v>77.720967741935482</v>
      </c>
      <c r="N198" s="258">
        <f t="shared" si="63"/>
        <v>77.720967741935482</v>
      </c>
    </row>
    <row r="199" spans="1:14" x14ac:dyDescent="0.2">
      <c r="A199" s="451" t="s">
        <v>1225</v>
      </c>
      <c r="B199" s="236"/>
      <c r="C199" s="371">
        <f>+$T$8</f>
        <v>34.535821661655788</v>
      </c>
      <c r="D199" s="237">
        <f t="shared" si="63"/>
        <v>34.535821661655788</v>
      </c>
      <c r="E199" s="237">
        <f t="shared" si="63"/>
        <v>34.535821661655788</v>
      </c>
      <c r="F199" s="237">
        <f t="shared" si="63"/>
        <v>34.535821661655788</v>
      </c>
      <c r="G199" s="237">
        <f t="shared" si="63"/>
        <v>34.535821661655788</v>
      </c>
      <c r="H199" s="237">
        <f t="shared" si="63"/>
        <v>34.535821661655788</v>
      </c>
      <c r="I199" s="237">
        <f t="shared" si="63"/>
        <v>34.535821661655788</v>
      </c>
      <c r="J199" s="237">
        <f t="shared" si="63"/>
        <v>34.535821661655788</v>
      </c>
      <c r="K199" s="237">
        <f t="shared" si="63"/>
        <v>34.535821661655788</v>
      </c>
      <c r="L199" s="237">
        <f t="shared" si="63"/>
        <v>34.535821661655788</v>
      </c>
      <c r="M199" s="237">
        <f t="shared" si="63"/>
        <v>34.535821661655788</v>
      </c>
      <c r="N199" s="258">
        <f t="shared" si="63"/>
        <v>34.535821661655788</v>
      </c>
    </row>
    <row r="200" spans="1:14" ht="13.5" thickBot="1" x14ac:dyDescent="0.25">
      <c r="A200" s="451" t="s">
        <v>1199</v>
      </c>
      <c r="B200" s="236"/>
      <c r="C200" s="371">
        <f>+$U$10</f>
        <v>3.2268578104271035</v>
      </c>
      <c r="D200" s="237">
        <f t="shared" si="63"/>
        <v>3.2268578104271035</v>
      </c>
      <c r="E200" s="237">
        <f t="shared" si="63"/>
        <v>3.2268578104271035</v>
      </c>
      <c r="F200" s="237">
        <f t="shared" si="63"/>
        <v>3.2268578104271035</v>
      </c>
      <c r="G200" s="237">
        <f t="shared" si="63"/>
        <v>3.2268578104271035</v>
      </c>
      <c r="H200" s="237">
        <f t="shared" si="63"/>
        <v>3.2268578104271035</v>
      </c>
      <c r="I200" s="237">
        <f t="shared" si="63"/>
        <v>3.2268578104271035</v>
      </c>
      <c r="J200" s="237">
        <f t="shared" si="63"/>
        <v>3.2268578104271035</v>
      </c>
      <c r="K200" s="237">
        <f t="shared" si="63"/>
        <v>3.2268578104271035</v>
      </c>
      <c r="L200" s="237">
        <f t="shared" si="63"/>
        <v>3.2268578104271035</v>
      </c>
      <c r="M200" s="237">
        <f t="shared" si="63"/>
        <v>3.2268578104271035</v>
      </c>
      <c r="N200" s="258">
        <f t="shared" si="63"/>
        <v>3.2268578104271035</v>
      </c>
    </row>
    <row r="201" spans="1:14" ht="13.5" thickBot="1" x14ac:dyDescent="0.25">
      <c r="A201" s="221" t="s">
        <v>141</v>
      </c>
      <c r="B201" s="15"/>
      <c r="C201" s="15">
        <f>((C200*C195)+(C199*C194)+(C198*C193)+(C192*C197))*C190</f>
        <v>264909.55176690494</v>
      </c>
      <c r="D201" s="15">
        <f t="shared" ref="D201:L201" si="64">((D200*D195)+(D199*D194)+(D198*D193)+(D192*D197))*D190</f>
        <v>264909.55176690494</v>
      </c>
      <c r="E201" s="15">
        <f t="shared" si="64"/>
        <v>264909.55176690494</v>
      </c>
      <c r="F201" s="15">
        <f t="shared" si="64"/>
        <v>264909.55176690494</v>
      </c>
      <c r="G201" s="15">
        <f t="shared" si="64"/>
        <v>264909.55176690494</v>
      </c>
      <c r="H201" s="15">
        <f t="shared" si="64"/>
        <v>264909.55176690494</v>
      </c>
      <c r="I201" s="15">
        <f t="shared" si="64"/>
        <v>264909.55176690494</v>
      </c>
      <c r="J201" s="15">
        <f t="shared" si="64"/>
        <v>264909.55176690494</v>
      </c>
      <c r="K201" s="15">
        <f t="shared" si="64"/>
        <v>264909.55176690494</v>
      </c>
      <c r="L201" s="15">
        <f t="shared" si="64"/>
        <v>264909.55176690494</v>
      </c>
      <c r="M201" s="15">
        <f>+L201*10</f>
        <v>2649095.5176690496</v>
      </c>
      <c r="N201" s="177">
        <f>+M201</f>
        <v>2649095.5176690496</v>
      </c>
    </row>
    <row r="202" spans="1:14" ht="13.5" thickBot="1" x14ac:dyDescent="0.25">
      <c r="A202" s="16" t="s">
        <v>1227</v>
      </c>
      <c r="B202" s="40"/>
      <c r="C202" s="464">
        <f>+'Boat Costs'!I13</f>
        <v>126460.54807073955</v>
      </c>
      <c r="D202" s="465">
        <f>+C202</f>
        <v>126460.54807073955</v>
      </c>
      <c r="E202" s="465">
        <f t="shared" ref="E202:L202" si="65">+D202</f>
        <v>126460.54807073955</v>
      </c>
      <c r="F202" s="465">
        <f t="shared" si="65"/>
        <v>126460.54807073955</v>
      </c>
      <c r="G202" s="465">
        <f t="shared" si="65"/>
        <v>126460.54807073955</v>
      </c>
      <c r="H202" s="465">
        <f t="shared" si="65"/>
        <v>126460.54807073955</v>
      </c>
      <c r="I202" s="465">
        <f t="shared" si="65"/>
        <v>126460.54807073955</v>
      </c>
      <c r="J202" s="465">
        <f t="shared" si="65"/>
        <v>126460.54807073955</v>
      </c>
      <c r="K202" s="465">
        <f t="shared" si="65"/>
        <v>126460.54807073955</v>
      </c>
      <c r="L202" s="465">
        <f t="shared" si="65"/>
        <v>126460.54807073955</v>
      </c>
      <c r="M202" s="465">
        <f>+L202*10</f>
        <v>1264605.4807073954</v>
      </c>
      <c r="N202" s="466">
        <f>+M202</f>
        <v>1264605.4807073954</v>
      </c>
    </row>
    <row r="203" spans="1:14" ht="16.5" thickBot="1" x14ac:dyDescent="0.3">
      <c r="A203" s="1056" t="s">
        <v>124</v>
      </c>
      <c r="B203" s="1057"/>
      <c r="C203" s="1057"/>
      <c r="D203" s="1057"/>
      <c r="E203" s="1057"/>
      <c r="F203" s="1057"/>
      <c r="G203" s="1057"/>
      <c r="H203" s="1057"/>
      <c r="I203" s="1057"/>
      <c r="J203" s="1057"/>
      <c r="K203" s="1057"/>
      <c r="L203" s="215"/>
      <c r="M203" s="215"/>
      <c r="N203" s="216"/>
    </row>
    <row r="204" spans="1:14" ht="13.5" thickBot="1" x14ac:dyDescent="0.25">
      <c r="A204" s="217"/>
      <c r="B204" s="218" t="s">
        <v>125</v>
      </c>
      <c r="C204" s="219" t="s">
        <v>126</v>
      </c>
      <c r="D204" s="219" t="s">
        <v>127</v>
      </c>
      <c r="E204" s="219" t="s">
        <v>128</v>
      </c>
      <c r="F204" s="219" t="s">
        <v>129</v>
      </c>
      <c r="G204" s="219" t="s">
        <v>130</v>
      </c>
      <c r="H204" s="219" t="s">
        <v>131</v>
      </c>
      <c r="I204" s="219" t="s">
        <v>132</v>
      </c>
      <c r="J204" s="219" t="s">
        <v>133</v>
      </c>
      <c r="K204" s="219" t="s">
        <v>134</v>
      </c>
      <c r="L204" s="219" t="s">
        <v>135</v>
      </c>
      <c r="M204" s="219" t="s">
        <v>136</v>
      </c>
      <c r="N204" s="220" t="s">
        <v>137</v>
      </c>
    </row>
    <row r="205" spans="1:14" x14ac:dyDescent="0.2">
      <c r="A205" s="255" t="s">
        <v>1228</v>
      </c>
      <c r="B205" s="229"/>
      <c r="C205" s="233"/>
      <c r="D205" s="233"/>
      <c r="E205" s="233"/>
      <c r="F205" s="233"/>
      <c r="G205" s="233"/>
      <c r="H205" s="233"/>
      <c r="I205" s="233"/>
      <c r="J205" s="233"/>
      <c r="K205" s="233"/>
      <c r="L205" s="233"/>
      <c r="M205" s="233"/>
      <c r="N205" s="256"/>
    </row>
    <row r="206" spans="1:14" x14ac:dyDescent="0.2">
      <c r="A206" s="257" t="str">
        <f>A190</f>
        <v xml:space="preserve">  - Days</v>
      </c>
      <c r="B206" s="234"/>
      <c r="C206" s="225">
        <f>C190*(1+Assumptions!Q$6)</f>
        <v>87.15</v>
      </c>
      <c r="D206" s="225">
        <f t="shared" ref="D206:L206" si="66">C206</f>
        <v>87.15</v>
      </c>
      <c r="E206" s="225">
        <f t="shared" si="66"/>
        <v>87.15</v>
      </c>
      <c r="F206" s="225">
        <f t="shared" si="66"/>
        <v>87.15</v>
      </c>
      <c r="G206" s="225">
        <f t="shared" si="66"/>
        <v>87.15</v>
      </c>
      <c r="H206" s="225">
        <f t="shared" si="66"/>
        <v>87.15</v>
      </c>
      <c r="I206" s="225">
        <f t="shared" si="66"/>
        <v>87.15</v>
      </c>
      <c r="J206" s="225">
        <f t="shared" si="66"/>
        <v>87.15</v>
      </c>
      <c r="K206" s="225">
        <f t="shared" si="66"/>
        <v>87.15</v>
      </c>
      <c r="L206" s="225">
        <f t="shared" si="66"/>
        <v>87.15</v>
      </c>
      <c r="M206" s="225">
        <f>L206*10</f>
        <v>871.5</v>
      </c>
      <c r="N206" s="226">
        <f>M206</f>
        <v>871.5</v>
      </c>
    </row>
    <row r="207" spans="1:14" x14ac:dyDescent="0.2">
      <c r="A207" s="257" t="str">
        <f>A191</f>
        <v xml:space="preserve">  - Catch per boat trip in kg </v>
      </c>
      <c r="B207" s="234"/>
      <c r="C207" s="477">
        <f>+C191*(1+(Assumptions!$Q$8+Assumptions!B$30))</f>
        <v>80.605390704986945</v>
      </c>
      <c r="D207" s="477">
        <f>+D191*(1+(Assumptions!$Q$8+Assumptions!C$30))</f>
        <v>80.605390704986945</v>
      </c>
      <c r="E207" s="477">
        <f>+E191*(1+(Assumptions!$Q$8+Assumptions!D$30))</f>
        <v>80.605390704986945</v>
      </c>
      <c r="F207" s="477">
        <f>+F191*(1+(Assumptions!$Q$8+Assumptions!E$30))</f>
        <v>80.605390704986945</v>
      </c>
      <c r="G207" s="477">
        <f>+G191*(1+(Assumptions!$Q$8+Assumptions!F$30))</f>
        <v>80.605390704986945</v>
      </c>
      <c r="H207" s="477">
        <f>+H191*(1+(Assumptions!$Q$8+Assumptions!G$30))</f>
        <v>80.605390704986945</v>
      </c>
      <c r="I207" s="477">
        <f>+I191*(1+(Assumptions!$Q$8+Assumptions!H$30))</f>
        <v>80.605390704986945</v>
      </c>
      <c r="J207" s="477">
        <f>+J191*(1+(Assumptions!$Q$8+Assumptions!I$30))</f>
        <v>80.605390704986945</v>
      </c>
      <c r="K207" s="477">
        <f>+K191*(1+(Assumptions!$Q$8+Assumptions!J$30))</f>
        <v>80.605390704986945</v>
      </c>
      <c r="L207" s="477">
        <f>+L191*(1+(Assumptions!$Q$8+Assumptions!K$30))</f>
        <v>80.605390704986945</v>
      </c>
      <c r="M207" s="477">
        <f>+M191*(1+(Assumptions!$Q$8+Assumptions!L$30))</f>
        <v>80.605390704986945</v>
      </c>
      <c r="N207" s="477">
        <f>+N191*(1+(Assumptions!$Q$8+Assumptions!M$30))</f>
        <v>80.605390704986945</v>
      </c>
    </row>
    <row r="208" spans="1:14" x14ac:dyDescent="0.2">
      <c r="A208" s="451" t="s">
        <v>1221</v>
      </c>
      <c r="B208" s="234"/>
      <c r="C208" s="238"/>
      <c r="D208" s="225"/>
      <c r="E208" s="225"/>
      <c r="F208" s="225"/>
      <c r="G208" s="225"/>
      <c r="H208" s="225"/>
      <c r="I208" s="225"/>
      <c r="J208" s="225"/>
      <c r="K208" s="225"/>
      <c r="L208" s="225"/>
      <c r="M208" s="225"/>
      <c r="N208" s="226"/>
    </row>
    <row r="209" spans="1:14" x14ac:dyDescent="0.2">
      <c r="A209" s="451" t="s">
        <v>1222</v>
      </c>
      <c r="B209" s="234"/>
      <c r="C209" s="238"/>
      <c r="D209" s="238"/>
      <c r="E209" s="238"/>
      <c r="F209" s="238"/>
      <c r="G209" s="238"/>
      <c r="H209" s="238"/>
      <c r="I209" s="238"/>
      <c r="J209" s="238"/>
      <c r="K209" s="238"/>
      <c r="L209" s="238"/>
      <c r="M209" s="238"/>
      <c r="N209" s="259"/>
    </row>
    <row r="210" spans="1:14" x14ac:dyDescent="0.2">
      <c r="A210" s="451" t="s">
        <v>1225</v>
      </c>
      <c r="B210" s="234"/>
      <c r="C210" s="238"/>
      <c r="D210" s="238"/>
      <c r="E210" s="238"/>
      <c r="F210" s="238"/>
      <c r="G210" s="238"/>
      <c r="H210" s="238"/>
      <c r="I210" s="238"/>
      <c r="J210" s="238"/>
      <c r="K210" s="238"/>
      <c r="L210" s="238"/>
      <c r="M210" s="238"/>
      <c r="N210" s="259"/>
    </row>
    <row r="211" spans="1:14" x14ac:dyDescent="0.2">
      <c r="A211" s="451" t="s">
        <v>1199</v>
      </c>
      <c r="B211" s="234"/>
      <c r="C211" s="238"/>
      <c r="D211" s="238"/>
      <c r="E211" s="238"/>
      <c r="F211" s="238"/>
      <c r="G211" s="238"/>
      <c r="H211" s="238"/>
      <c r="I211" s="238"/>
      <c r="J211" s="238"/>
      <c r="K211" s="238"/>
      <c r="L211" s="238"/>
      <c r="M211" s="238"/>
      <c r="N211" s="259"/>
    </row>
    <row r="212" spans="1:14" x14ac:dyDescent="0.2">
      <c r="A212" s="257" t="str">
        <f>A196</f>
        <v xml:space="preserve">  - Average price of sales in dh/kg</v>
      </c>
      <c r="B212" s="234"/>
      <c r="C212" s="239">
        <f>+C196*(1+(Assumptions!$Q$7))</f>
        <v>40.38830337583844</v>
      </c>
      <c r="D212" s="239">
        <f>+D196*(1+(Assumptions!$Q$7))</f>
        <v>40.38830337583844</v>
      </c>
      <c r="E212" s="239">
        <f>+E196*(1+(Assumptions!$Q$7))</f>
        <v>40.38830337583844</v>
      </c>
      <c r="F212" s="239">
        <f>+F196*(1+(Assumptions!$Q$7))</f>
        <v>40.38830337583844</v>
      </c>
      <c r="G212" s="239">
        <f>+G196*(1+(Assumptions!$Q$7))</f>
        <v>40.38830337583844</v>
      </c>
      <c r="H212" s="239">
        <f>+H196*(1+(Assumptions!$Q$7))</f>
        <v>40.38830337583844</v>
      </c>
      <c r="I212" s="239">
        <f>+I196*(1+(Assumptions!$Q$7))</f>
        <v>40.38830337583844</v>
      </c>
      <c r="J212" s="239">
        <f>+J196*(1+(Assumptions!$Q$7))</f>
        <v>40.38830337583844</v>
      </c>
      <c r="K212" s="239">
        <f>+K196*(1+(Assumptions!$Q$7))</f>
        <v>40.38830337583844</v>
      </c>
      <c r="L212" s="239">
        <f>+L196*(1+(Assumptions!$Q$7))</f>
        <v>40.38830337583844</v>
      </c>
      <c r="M212" s="239">
        <f>+M196*(1+(Assumptions!$Q$7))</f>
        <v>40.38830337583844</v>
      </c>
      <c r="N212" s="239">
        <f>+N196*(1+(Assumptions!$Q$7))</f>
        <v>40.38830337583844</v>
      </c>
    </row>
    <row r="213" spans="1:14" x14ac:dyDescent="0.2">
      <c r="A213" s="451" t="s">
        <v>1221</v>
      </c>
      <c r="B213" s="236"/>
      <c r="C213" s="237"/>
      <c r="D213" s="237"/>
      <c r="E213" s="237"/>
      <c r="F213" s="237"/>
      <c r="G213" s="237"/>
      <c r="H213" s="237"/>
      <c r="I213" s="237"/>
      <c r="J213" s="237"/>
      <c r="K213" s="237"/>
      <c r="L213" s="237"/>
      <c r="M213" s="237"/>
      <c r="N213" s="258"/>
    </row>
    <row r="214" spans="1:14" x14ac:dyDescent="0.2">
      <c r="A214" s="451" t="s">
        <v>1222</v>
      </c>
      <c r="B214" s="236"/>
      <c r="C214" s="237"/>
      <c r="D214" s="237"/>
      <c r="E214" s="237"/>
      <c r="F214" s="237"/>
      <c r="G214" s="237"/>
      <c r="H214" s="237"/>
      <c r="I214" s="237"/>
      <c r="J214" s="237"/>
      <c r="K214" s="237"/>
      <c r="L214" s="237"/>
      <c r="M214" s="237"/>
      <c r="N214" s="258"/>
    </row>
    <row r="215" spans="1:14" x14ac:dyDescent="0.2">
      <c r="A215" s="451" t="s">
        <v>1225</v>
      </c>
      <c r="B215" s="236"/>
      <c r="C215" s="237"/>
      <c r="D215" s="237"/>
      <c r="E215" s="237"/>
      <c r="F215" s="237"/>
      <c r="G215" s="237"/>
      <c r="H215" s="237"/>
      <c r="I215" s="237"/>
      <c r="J215" s="237"/>
      <c r="K215" s="237"/>
      <c r="L215" s="237"/>
      <c r="M215" s="237"/>
      <c r="N215" s="258"/>
    </row>
    <row r="216" spans="1:14" ht="13.5" thickBot="1" x14ac:dyDescent="0.25">
      <c r="A216" s="451" t="s">
        <v>1199</v>
      </c>
      <c r="B216" s="236"/>
      <c r="C216" s="237"/>
      <c r="D216" s="237"/>
      <c r="E216" s="237"/>
      <c r="F216" s="237"/>
      <c r="G216" s="237"/>
      <c r="H216" s="237"/>
      <c r="I216" s="237"/>
      <c r="J216" s="237"/>
      <c r="K216" s="237"/>
      <c r="L216" s="237"/>
      <c r="M216" s="237"/>
      <c r="N216" s="258"/>
    </row>
    <row r="217" spans="1:14" x14ac:dyDescent="0.2">
      <c r="A217" s="230" t="s">
        <v>141</v>
      </c>
      <c r="B217" s="178"/>
      <c r="C217" s="178">
        <f>+C206*C207*C212</f>
        <v>283718.12994235521</v>
      </c>
      <c r="D217" s="178">
        <f t="shared" ref="D217:L217" si="67">+D206*D207*D212</f>
        <v>283718.12994235521</v>
      </c>
      <c r="E217" s="178">
        <f t="shared" si="67"/>
        <v>283718.12994235521</v>
      </c>
      <c r="F217" s="178">
        <f t="shared" si="67"/>
        <v>283718.12994235521</v>
      </c>
      <c r="G217" s="178">
        <f t="shared" si="67"/>
        <v>283718.12994235521</v>
      </c>
      <c r="H217" s="178">
        <f t="shared" si="67"/>
        <v>283718.12994235521</v>
      </c>
      <c r="I217" s="178">
        <f t="shared" si="67"/>
        <v>283718.12994235521</v>
      </c>
      <c r="J217" s="178">
        <f t="shared" si="67"/>
        <v>283718.12994235521</v>
      </c>
      <c r="K217" s="178">
        <f t="shared" si="67"/>
        <v>283718.12994235521</v>
      </c>
      <c r="L217" s="178">
        <f t="shared" si="67"/>
        <v>283718.12994235521</v>
      </c>
      <c r="M217" s="178">
        <f>+L217*10</f>
        <v>2837181.2994235521</v>
      </c>
      <c r="N217" s="179">
        <f>+M217</f>
        <v>2837181.2994235521</v>
      </c>
    </row>
    <row r="218" spans="1:14" x14ac:dyDescent="0.2">
      <c r="A218" s="453" t="s">
        <v>1227</v>
      </c>
      <c r="B218" s="212"/>
      <c r="C218" s="460">
        <f>+'Boat Costs'!I14</f>
        <v>131551.07551446944</v>
      </c>
      <c r="D218" s="456">
        <f>+C218</f>
        <v>131551.07551446944</v>
      </c>
      <c r="E218" s="456">
        <f t="shared" ref="E218:L218" si="68">+D218</f>
        <v>131551.07551446944</v>
      </c>
      <c r="F218" s="456">
        <f t="shared" si="68"/>
        <v>131551.07551446944</v>
      </c>
      <c r="G218" s="456">
        <f t="shared" si="68"/>
        <v>131551.07551446944</v>
      </c>
      <c r="H218" s="456">
        <f t="shared" si="68"/>
        <v>131551.07551446944</v>
      </c>
      <c r="I218" s="456">
        <f t="shared" si="68"/>
        <v>131551.07551446944</v>
      </c>
      <c r="J218" s="456">
        <f t="shared" si="68"/>
        <v>131551.07551446944</v>
      </c>
      <c r="K218" s="456">
        <f t="shared" si="68"/>
        <v>131551.07551446944</v>
      </c>
      <c r="L218" s="456">
        <f t="shared" si="68"/>
        <v>131551.07551446944</v>
      </c>
      <c r="M218" s="456">
        <f>+L218*10</f>
        <v>1315510.7551446944</v>
      </c>
      <c r="N218" s="457">
        <f>+M218</f>
        <v>1315510.7551446944</v>
      </c>
    </row>
    <row r="220" spans="1:14" ht="16.5" thickBot="1" x14ac:dyDescent="0.3">
      <c r="A220" s="373" t="s">
        <v>161</v>
      </c>
    </row>
    <row r="221" spans="1:14" ht="13.5" thickBot="1" x14ac:dyDescent="0.25">
      <c r="A221" s="232" t="s">
        <v>160</v>
      </c>
      <c r="B221" s="12"/>
      <c r="C221" s="12">
        <f>(C253-C254)-(C237-C238)</f>
        <v>-1110.1414497493679</v>
      </c>
      <c r="D221" s="12">
        <f t="shared" ref="D221:N221" si="69">(D253-D254)-(D237-D238)</f>
        <v>-1110.1414497493679</v>
      </c>
      <c r="E221" s="12">
        <f t="shared" si="69"/>
        <v>-1110.1414497493679</v>
      </c>
      <c r="F221" s="12">
        <f t="shared" si="69"/>
        <v>-1110.1414497493679</v>
      </c>
      <c r="G221" s="12">
        <f t="shared" si="69"/>
        <v>-1110.1414497493679</v>
      </c>
      <c r="H221" s="12">
        <f t="shared" si="69"/>
        <v>-1110.1414497493679</v>
      </c>
      <c r="I221" s="12">
        <f t="shared" si="69"/>
        <v>-1110.1414497493679</v>
      </c>
      <c r="J221" s="12">
        <f t="shared" si="69"/>
        <v>-1110.1414497493679</v>
      </c>
      <c r="K221" s="12">
        <f t="shared" si="69"/>
        <v>-1110.1414497493679</v>
      </c>
      <c r="L221" s="12">
        <f t="shared" si="69"/>
        <v>-1110.1414497493679</v>
      </c>
      <c r="M221" s="12">
        <f t="shared" si="69"/>
        <v>-11101.414497493999</v>
      </c>
      <c r="N221" s="12">
        <f t="shared" si="69"/>
        <v>-11101.414497493999</v>
      </c>
    </row>
    <row r="222" spans="1:14" x14ac:dyDescent="0.2">
      <c r="A222" s="16"/>
      <c r="B222" s="57"/>
      <c r="C222" s="57"/>
      <c r="D222" s="57"/>
      <c r="E222" s="57"/>
      <c r="F222" s="57"/>
      <c r="G222" s="57"/>
      <c r="H222" s="57"/>
      <c r="I222" s="57"/>
      <c r="J222" s="57"/>
      <c r="K222" s="57"/>
      <c r="L222" s="57"/>
      <c r="M222" s="57"/>
      <c r="N222" s="207"/>
    </row>
    <row r="223" spans="1:14" ht="16.5" thickBot="1" x14ac:dyDescent="0.3">
      <c r="A223" s="1054" t="s">
        <v>123</v>
      </c>
      <c r="B223" s="1055"/>
      <c r="C223" s="1055"/>
      <c r="D223" s="1055"/>
      <c r="E223" s="1055"/>
      <c r="F223" s="1055"/>
      <c r="G223" s="1055"/>
      <c r="H223" s="1055"/>
      <c r="I223" s="1055"/>
      <c r="J223" s="1055"/>
      <c r="K223" s="1055"/>
      <c r="L223" s="458"/>
      <c r="M223" s="458"/>
      <c r="N223" s="459"/>
    </row>
    <row r="224" spans="1:14" ht="13.5" thickBot="1" x14ac:dyDescent="0.25">
      <c r="A224" s="217"/>
      <c r="B224" s="218" t="s">
        <v>125</v>
      </c>
      <c r="C224" s="219" t="s">
        <v>126</v>
      </c>
      <c r="D224" s="219" t="s">
        <v>127</v>
      </c>
      <c r="E224" s="219" t="s">
        <v>128</v>
      </c>
      <c r="F224" s="219" t="s">
        <v>129</v>
      </c>
      <c r="G224" s="219" t="s">
        <v>130</v>
      </c>
      <c r="H224" s="219" t="s">
        <v>131</v>
      </c>
      <c r="I224" s="219" t="s">
        <v>132</v>
      </c>
      <c r="J224" s="219" t="s">
        <v>133</v>
      </c>
      <c r="K224" s="219" t="s">
        <v>134</v>
      </c>
      <c r="L224" s="219" t="s">
        <v>135</v>
      </c>
      <c r="M224" s="219" t="s">
        <v>136</v>
      </c>
      <c r="N224" s="220" t="s">
        <v>137</v>
      </c>
    </row>
    <row r="225" spans="1:14" x14ac:dyDescent="0.2">
      <c r="A225" s="255" t="s">
        <v>1228</v>
      </c>
      <c r="B225" s="229"/>
      <c r="C225" s="233"/>
      <c r="D225" s="233"/>
      <c r="E225" s="233"/>
      <c r="F225" s="233"/>
      <c r="G225" s="233"/>
      <c r="H225" s="233"/>
      <c r="I225" s="233"/>
      <c r="J225" s="233"/>
      <c r="K225" s="233"/>
      <c r="L225" s="233"/>
      <c r="M225" s="233"/>
      <c r="N225" s="256"/>
    </row>
    <row r="226" spans="1:14" x14ac:dyDescent="0.2">
      <c r="A226" s="257" t="s">
        <v>139</v>
      </c>
      <c r="B226" s="234"/>
      <c r="C226" s="225">
        <f>+R41</f>
        <v>158</v>
      </c>
      <c r="D226" s="225">
        <f t="shared" ref="D226:L226" si="70">C226</f>
        <v>158</v>
      </c>
      <c r="E226" s="225">
        <f t="shared" si="70"/>
        <v>158</v>
      </c>
      <c r="F226" s="225">
        <f t="shared" si="70"/>
        <v>158</v>
      </c>
      <c r="G226" s="225">
        <f t="shared" si="70"/>
        <v>158</v>
      </c>
      <c r="H226" s="225">
        <f t="shared" si="70"/>
        <v>158</v>
      </c>
      <c r="I226" s="225">
        <f t="shared" si="70"/>
        <v>158</v>
      </c>
      <c r="J226" s="225">
        <f t="shared" si="70"/>
        <v>158</v>
      </c>
      <c r="K226" s="225">
        <f t="shared" si="70"/>
        <v>158</v>
      </c>
      <c r="L226" s="225">
        <f t="shared" si="70"/>
        <v>158</v>
      </c>
      <c r="M226" s="225">
        <f>L226*10</f>
        <v>1580</v>
      </c>
      <c r="N226" s="226">
        <f>M226</f>
        <v>1580</v>
      </c>
    </row>
    <row r="227" spans="1:14" x14ac:dyDescent="0.2">
      <c r="A227" s="257" t="s">
        <v>138</v>
      </c>
      <c r="B227" s="234"/>
      <c r="C227" s="225">
        <f>SUM(C228:C231)</f>
        <v>18.461001061726687</v>
      </c>
      <c r="D227" s="225">
        <f t="shared" ref="D227:N227" si="71">SUM(D228:D231)</f>
        <v>18.461001061726687</v>
      </c>
      <c r="E227" s="225">
        <f t="shared" si="71"/>
        <v>18.461001061726687</v>
      </c>
      <c r="F227" s="225">
        <f t="shared" si="71"/>
        <v>18.461001061726687</v>
      </c>
      <c r="G227" s="225">
        <f t="shared" si="71"/>
        <v>18.461001061726687</v>
      </c>
      <c r="H227" s="225">
        <f t="shared" si="71"/>
        <v>18.461001061726687</v>
      </c>
      <c r="I227" s="225">
        <f t="shared" si="71"/>
        <v>18.461001061726687</v>
      </c>
      <c r="J227" s="225">
        <f t="shared" si="71"/>
        <v>18.461001061726687</v>
      </c>
      <c r="K227" s="225">
        <f t="shared" si="71"/>
        <v>18.461001061726687</v>
      </c>
      <c r="L227" s="225">
        <f t="shared" si="71"/>
        <v>18.461001061726687</v>
      </c>
      <c r="M227" s="225">
        <f t="shared" si="71"/>
        <v>18.461001061726687</v>
      </c>
      <c r="N227" s="226">
        <f t="shared" si="71"/>
        <v>18.461001061726687</v>
      </c>
    </row>
    <row r="228" spans="1:14" x14ac:dyDescent="0.2">
      <c r="A228" s="451" t="s">
        <v>1221</v>
      </c>
      <c r="B228" s="234"/>
      <c r="C228" s="369">
        <f>+Y25</f>
        <v>7.238485576175937</v>
      </c>
      <c r="D228" s="225">
        <f>+C228*Assumptions!F$22</f>
        <v>7.238485576175937</v>
      </c>
      <c r="E228" s="225">
        <f>+D228*Assumptions!G$22</f>
        <v>7.238485576175937</v>
      </c>
      <c r="F228" s="225">
        <f>+E228*Assumptions!H$22</f>
        <v>7.238485576175937</v>
      </c>
      <c r="G228" s="225">
        <f>+F228*Assumptions!I$22</f>
        <v>7.238485576175937</v>
      </c>
      <c r="H228" s="225">
        <f>+G228*Assumptions!J$22</f>
        <v>7.238485576175937</v>
      </c>
      <c r="I228" s="225">
        <f>+H228*Assumptions!K$22</f>
        <v>7.238485576175937</v>
      </c>
      <c r="J228" s="225">
        <f>+I228*Assumptions!L$22</f>
        <v>7.238485576175937</v>
      </c>
      <c r="K228" s="225">
        <f>+J228*Assumptions!M$22</f>
        <v>7.238485576175937</v>
      </c>
      <c r="L228" s="225">
        <f>+K228*Assumptions!N$22</f>
        <v>7.238485576175937</v>
      </c>
      <c r="M228" s="225">
        <f>+L228*Assumptions!O$22</f>
        <v>7.238485576175937</v>
      </c>
      <c r="N228" s="226">
        <f>+M228*Assumptions!P$22</f>
        <v>7.238485576175937</v>
      </c>
    </row>
    <row r="229" spans="1:14" x14ac:dyDescent="0.2">
      <c r="A229" s="451" t="s">
        <v>1222</v>
      </c>
      <c r="B229" s="234"/>
      <c r="C229" s="370">
        <f>+Z25</f>
        <v>0</v>
      </c>
      <c r="D229" s="225">
        <f>+C229*Assumptions!F$22</f>
        <v>0</v>
      </c>
      <c r="E229" s="225">
        <f>+D229*Assumptions!G$22</f>
        <v>0</v>
      </c>
      <c r="F229" s="225">
        <f>+E229*Assumptions!H$22</f>
        <v>0</v>
      </c>
      <c r="G229" s="225">
        <f>+F229*Assumptions!I$22</f>
        <v>0</v>
      </c>
      <c r="H229" s="225">
        <f>+G229*Assumptions!J$22</f>
        <v>0</v>
      </c>
      <c r="I229" s="225">
        <f>+H229*Assumptions!K$22</f>
        <v>0</v>
      </c>
      <c r="J229" s="225">
        <f>+I229*Assumptions!L$22</f>
        <v>0</v>
      </c>
      <c r="K229" s="225">
        <f>+J229*Assumptions!M$22</f>
        <v>0</v>
      </c>
      <c r="L229" s="225">
        <f>+K229*Assumptions!N$22</f>
        <v>0</v>
      </c>
      <c r="M229" s="225">
        <f>+L229*Assumptions!O$22</f>
        <v>0</v>
      </c>
      <c r="N229" s="226">
        <f>+M229*Assumptions!P$22</f>
        <v>0</v>
      </c>
    </row>
    <row r="230" spans="1:14" x14ac:dyDescent="0.2">
      <c r="A230" s="451" t="s">
        <v>1225</v>
      </c>
      <c r="B230" s="234"/>
      <c r="C230" s="370">
        <f>+AA25</f>
        <v>11.222515485550751</v>
      </c>
      <c r="D230" s="225">
        <f>+C230*Assumptions!F$22</f>
        <v>11.222515485550751</v>
      </c>
      <c r="E230" s="225">
        <f>+D230*Assumptions!G$22</f>
        <v>11.222515485550751</v>
      </c>
      <c r="F230" s="225">
        <f>+E230*Assumptions!H$22</f>
        <v>11.222515485550751</v>
      </c>
      <c r="G230" s="225">
        <f>+F230*Assumptions!I$22</f>
        <v>11.222515485550751</v>
      </c>
      <c r="H230" s="225">
        <f>+G230*Assumptions!J$22</f>
        <v>11.222515485550751</v>
      </c>
      <c r="I230" s="225">
        <f>+H230*Assumptions!K$22</f>
        <v>11.222515485550751</v>
      </c>
      <c r="J230" s="225">
        <f>+I230*Assumptions!L$22</f>
        <v>11.222515485550751</v>
      </c>
      <c r="K230" s="225">
        <f>+J230*Assumptions!M$22</f>
        <v>11.222515485550751</v>
      </c>
      <c r="L230" s="225">
        <f>+K230*Assumptions!N$22</f>
        <v>11.222515485550751</v>
      </c>
      <c r="M230" s="225">
        <f>+L230*Assumptions!O$22</f>
        <v>11.222515485550751</v>
      </c>
      <c r="N230" s="226">
        <f>+M230*Assumptions!P$22</f>
        <v>11.222515485550751</v>
      </c>
    </row>
    <row r="231" spans="1:14" x14ac:dyDescent="0.2">
      <c r="A231" s="451" t="s">
        <v>1199</v>
      </c>
      <c r="B231" s="234"/>
      <c r="C231" s="370">
        <f>+AB25</f>
        <v>0</v>
      </c>
      <c r="D231" s="225">
        <f>+C231*Assumptions!F$22</f>
        <v>0</v>
      </c>
      <c r="E231" s="225">
        <f>+D231*Assumptions!G$22</f>
        <v>0</v>
      </c>
      <c r="F231" s="225">
        <f>+E231*Assumptions!H$22</f>
        <v>0</v>
      </c>
      <c r="G231" s="225">
        <f>+F231*Assumptions!I$22</f>
        <v>0</v>
      </c>
      <c r="H231" s="225">
        <f>+G231*Assumptions!J$22</f>
        <v>0</v>
      </c>
      <c r="I231" s="225">
        <f>+H231*Assumptions!K$22</f>
        <v>0</v>
      </c>
      <c r="J231" s="225">
        <f>+I231*Assumptions!L$22</f>
        <v>0</v>
      </c>
      <c r="K231" s="225">
        <f>+J231*Assumptions!M$22</f>
        <v>0</v>
      </c>
      <c r="L231" s="225">
        <f>+K231*Assumptions!N$22</f>
        <v>0</v>
      </c>
      <c r="M231" s="225">
        <f>+L231*Assumptions!O$22</f>
        <v>0</v>
      </c>
      <c r="N231" s="226">
        <f>+M231*Assumptions!P$22</f>
        <v>0</v>
      </c>
    </row>
    <row r="232" spans="1:14" x14ac:dyDescent="0.2">
      <c r="A232" s="257" t="s">
        <v>140</v>
      </c>
      <c r="B232" s="234"/>
      <c r="C232" s="239">
        <f>((C233*C228)+(C234*C229)+(C230*C235)+(C231*C236))/SUM(C228:C231)</f>
        <v>41.431415842053923</v>
      </c>
      <c r="D232" s="239">
        <f t="shared" ref="D232:N232" si="72">C232</f>
        <v>41.431415842053923</v>
      </c>
      <c r="E232" s="239">
        <f t="shared" si="72"/>
        <v>41.431415842053923</v>
      </c>
      <c r="F232" s="239">
        <f t="shared" si="72"/>
        <v>41.431415842053923</v>
      </c>
      <c r="G232" s="239">
        <f t="shared" si="72"/>
        <v>41.431415842053923</v>
      </c>
      <c r="H232" s="239">
        <f t="shared" si="72"/>
        <v>41.431415842053923</v>
      </c>
      <c r="I232" s="239">
        <f t="shared" si="72"/>
        <v>41.431415842053923</v>
      </c>
      <c r="J232" s="239">
        <f t="shared" si="72"/>
        <v>41.431415842053923</v>
      </c>
      <c r="K232" s="239">
        <f t="shared" si="72"/>
        <v>41.431415842053923</v>
      </c>
      <c r="L232" s="239">
        <f t="shared" si="72"/>
        <v>41.431415842053923</v>
      </c>
      <c r="M232" s="239">
        <f t="shared" si="72"/>
        <v>41.431415842053923</v>
      </c>
      <c r="N232" s="260">
        <f t="shared" si="72"/>
        <v>41.431415842053923</v>
      </c>
    </row>
    <row r="233" spans="1:14" x14ac:dyDescent="0.2">
      <c r="A233" s="451" t="s">
        <v>1221</v>
      </c>
      <c r="B233" s="236"/>
      <c r="C233" s="371">
        <f>+$R$10</f>
        <v>52.122314049586777</v>
      </c>
      <c r="D233" s="363">
        <f>+C233</f>
        <v>52.122314049586777</v>
      </c>
      <c r="E233" s="363">
        <f t="shared" ref="E233:N233" si="73">D233</f>
        <v>52.122314049586777</v>
      </c>
      <c r="F233" s="363">
        <f t="shared" si="73"/>
        <v>52.122314049586777</v>
      </c>
      <c r="G233" s="363">
        <f t="shared" si="73"/>
        <v>52.122314049586777</v>
      </c>
      <c r="H233" s="363">
        <f t="shared" si="73"/>
        <v>52.122314049586777</v>
      </c>
      <c r="I233" s="363">
        <f t="shared" si="73"/>
        <v>52.122314049586777</v>
      </c>
      <c r="J233" s="363">
        <f t="shared" si="73"/>
        <v>52.122314049586777</v>
      </c>
      <c r="K233" s="363">
        <f t="shared" si="73"/>
        <v>52.122314049586777</v>
      </c>
      <c r="L233" s="363">
        <f t="shared" si="73"/>
        <v>52.122314049586777</v>
      </c>
      <c r="M233" s="363">
        <f t="shared" si="73"/>
        <v>52.122314049586777</v>
      </c>
      <c r="N233" s="364">
        <f t="shared" si="73"/>
        <v>52.122314049586777</v>
      </c>
    </row>
    <row r="234" spans="1:14" x14ac:dyDescent="0.2">
      <c r="A234" s="451" t="s">
        <v>1222</v>
      </c>
      <c r="B234" s="236"/>
      <c r="C234" s="371">
        <f>+$S$10</f>
        <v>77.720967741935482</v>
      </c>
      <c r="D234" s="237">
        <f>C234</f>
        <v>77.720967741935482</v>
      </c>
      <c r="E234" s="237">
        <f t="shared" ref="E234:N234" si="74">D234</f>
        <v>77.720967741935482</v>
      </c>
      <c r="F234" s="237">
        <f t="shared" si="74"/>
        <v>77.720967741935482</v>
      </c>
      <c r="G234" s="237">
        <f t="shared" si="74"/>
        <v>77.720967741935482</v>
      </c>
      <c r="H234" s="237">
        <f t="shared" si="74"/>
        <v>77.720967741935482</v>
      </c>
      <c r="I234" s="237">
        <f t="shared" si="74"/>
        <v>77.720967741935482</v>
      </c>
      <c r="J234" s="237">
        <f t="shared" si="74"/>
        <v>77.720967741935482</v>
      </c>
      <c r="K234" s="237">
        <f t="shared" si="74"/>
        <v>77.720967741935482</v>
      </c>
      <c r="L234" s="237">
        <f t="shared" si="74"/>
        <v>77.720967741935482</v>
      </c>
      <c r="M234" s="237">
        <f t="shared" si="74"/>
        <v>77.720967741935482</v>
      </c>
      <c r="N234" s="258">
        <f t="shared" si="74"/>
        <v>77.720967741935482</v>
      </c>
    </row>
    <row r="235" spans="1:14" x14ac:dyDescent="0.2">
      <c r="A235" s="451" t="s">
        <v>1225</v>
      </c>
      <c r="B235" s="236"/>
      <c r="C235" s="371">
        <f>+$T$8</f>
        <v>34.535821661655788</v>
      </c>
      <c r="D235" s="237">
        <f>C235</f>
        <v>34.535821661655788</v>
      </c>
      <c r="E235" s="237">
        <f t="shared" ref="E235:N235" si="75">D235</f>
        <v>34.535821661655788</v>
      </c>
      <c r="F235" s="237">
        <f t="shared" si="75"/>
        <v>34.535821661655788</v>
      </c>
      <c r="G235" s="237">
        <f t="shared" si="75"/>
        <v>34.535821661655788</v>
      </c>
      <c r="H235" s="237">
        <f t="shared" si="75"/>
        <v>34.535821661655788</v>
      </c>
      <c r="I235" s="237">
        <f t="shared" si="75"/>
        <v>34.535821661655788</v>
      </c>
      <c r="J235" s="237">
        <f t="shared" si="75"/>
        <v>34.535821661655788</v>
      </c>
      <c r="K235" s="237">
        <f t="shared" si="75"/>
        <v>34.535821661655788</v>
      </c>
      <c r="L235" s="237">
        <f t="shared" si="75"/>
        <v>34.535821661655788</v>
      </c>
      <c r="M235" s="237">
        <f t="shared" si="75"/>
        <v>34.535821661655788</v>
      </c>
      <c r="N235" s="258">
        <f t="shared" si="75"/>
        <v>34.535821661655788</v>
      </c>
    </row>
    <row r="236" spans="1:14" ht="13.5" thickBot="1" x14ac:dyDescent="0.25">
      <c r="A236" s="451" t="s">
        <v>1199</v>
      </c>
      <c r="B236" s="236"/>
      <c r="C236" s="371">
        <f>+$U$10</f>
        <v>3.2268578104271035</v>
      </c>
      <c r="D236" s="237">
        <f>C236</f>
        <v>3.2268578104271035</v>
      </c>
      <c r="E236" s="237">
        <f t="shared" ref="E236:N236" si="76">D236</f>
        <v>3.2268578104271035</v>
      </c>
      <c r="F236" s="237">
        <f t="shared" si="76"/>
        <v>3.2268578104271035</v>
      </c>
      <c r="G236" s="237">
        <f t="shared" si="76"/>
        <v>3.2268578104271035</v>
      </c>
      <c r="H236" s="237">
        <f t="shared" si="76"/>
        <v>3.2268578104271035</v>
      </c>
      <c r="I236" s="237">
        <f t="shared" si="76"/>
        <v>3.2268578104271035</v>
      </c>
      <c r="J236" s="237">
        <f t="shared" si="76"/>
        <v>3.2268578104271035</v>
      </c>
      <c r="K236" s="237">
        <f t="shared" si="76"/>
        <v>3.2268578104271035</v>
      </c>
      <c r="L236" s="237">
        <f t="shared" si="76"/>
        <v>3.2268578104271035</v>
      </c>
      <c r="M236" s="237">
        <f t="shared" si="76"/>
        <v>3.2268578104271035</v>
      </c>
      <c r="N236" s="258">
        <f t="shared" si="76"/>
        <v>3.2268578104271035</v>
      </c>
    </row>
    <row r="237" spans="1:14" ht="13.5" thickBot="1" x14ac:dyDescent="0.25">
      <c r="A237" s="221" t="s">
        <v>141</v>
      </c>
      <c r="B237" s="15"/>
      <c r="C237" s="15">
        <f>((C236*C231)+(C235*C230)+(C234*C229)+(C228*C233))*C226</f>
        <v>120848.73507214159</v>
      </c>
      <c r="D237" s="15">
        <f t="shared" ref="D237:L237" si="77">((D236*D231)+(D235*D230)+(D234*D229)+(D228*D233))*D226</f>
        <v>120848.73507214159</v>
      </c>
      <c r="E237" s="15">
        <f t="shared" si="77"/>
        <v>120848.73507214159</v>
      </c>
      <c r="F237" s="15">
        <f t="shared" si="77"/>
        <v>120848.73507214159</v>
      </c>
      <c r="G237" s="15">
        <f t="shared" si="77"/>
        <v>120848.73507214159</v>
      </c>
      <c r="H237" s="15">
        <f t="shared" si="77"/>
        <v>120848.73507214159</v>
      </c>
      <c r="I237" s="15">
        <f t="shared" si="77"/>
        <v>120848.73507214159</v>
      </c>
      <c r="J237" s="15">
        <f t="shared" si="77"/>
        <v>120848.73507214159</v>
      </c>
      <c r="K237" s="15">
        <f t="shared" si="77"/>
        <v>120848.73507214159</v>
      </c>
      <c r="L237" s="15">
        <f t="shared" si="77"/>
        <v>120848.73507214159</v>
      </c>
      <c r="M237" s="15">
        <f>+L237*10</f>
        <v>1208487.3507214158</v>
      </c>
      <c r="N237" s="177">
        <f>+M237</f>
        <v>1208487.3507214158</v>
      </c>
    </row>
    <row r="238" spans="1:14" ht="13.5" thickBot="1" x14ac:dyDescent="0.25">
      <c r="A238" s="16" t="s">
        <v>1227</v>
      </c>
      <c r="B238" s="40"/>
      <c r="C238" s="442">
        <f>+'Boat Costs'!J13</f>
        <v>240732.12765273309</v>
      </c>
      <c r="D238" s="443">
        <f>+C238</f>
        <v>240732.12765273309</v>
      </c>
      <c r="E238" s="443">
        <f t="shared" ref="E238:L238" si="78">+D238</f>
        <v>240732.12765273309</v>
      </c>
      <c r="F238" s="443">
        <f t="shared" si="78"/>
        <v>240732.12765273309</v>
      </c>
      <c r="G238" s="443">
        <f t="shared" si="78"/>
        <v>240732.12765273309</v>
      </c>
      <c r="H238" s="443">
        <f t="shared" si="78"/>
        <v>240732.12765273309</v>
      </c>
      <c r="I238" s="443">
        <f t="shared" si="78"/>
        <v>240732.12765273309</v>
      </c>
      <c r="J238" s="443">
        <f t="shared" si="78"/>
        <v>240732.12765273309</v>
      </c>
      <c r="K238" s="443">
        <f t="shared" si="78"/>
        <v>240732.12765273309</v>
      </c>
      <c r="L238" s="443">
        <f t="shared" si="78"/>
        <v>240732.12765273309</v>
      </c>
      <c r="M238" s="443">
        <f>+L238*10</f>
        <v>2407321.2765273307</v>
      </c>
      <c r="N238" s="461">
        <f>+M238</f>
        <v>2407321.2765273307</v>
      </c>
    </row>
    <row r="239" spans="1:14" ht="16.5" thickBot="1" x14ac:dyDescent="0.3">
      <c r="A239" s="1056" t="s">
        <v>124</v>
      </c>
      <c r="B239" s="1057"/>
      <c r="C239" s="1057"/>
      <c r="D239" s="1057"/>
      <c r="E239" s="1057"/>
      <c r="F239" s="1057"/>
      <c r="G239" s="1057"/>
      <c r="H239" s="1057"/>
      <c r="I239" s="1057"/>
      <c r="J239" s="1057"/>
      <c r="K239" s="1057"/>
      <c r="L239" s="215"/>
      <c r="M239" s="215"/>
      <c r="N239" s="216"/>
    </row>
    <row r="240" spans="1:14" ht="13.5" thickBot="1" x14ac:dyDescent="0.25">
      <c r="A240" s="217"/>
      <c r="B240" s="218" t="s">
        <v>125</v>
      </c>
      <c r="C240" s="219" t="s">
        <v>126</v>
      </c>
      <c r="D240" s="219" t="s">
        <v>127</v>
      </c>
      <c r="E240" s="219" t="s">
        <v>128</v>
      </c>
      <c r="F240" s="219" t="s">
        <v>129</v>
      </c>
      <c r="G240" s="219" t="s">
        <v>130</v>
      </c>
      <c r="H240" s="219" t="s">
        <v>131</v>
      </c>
      <c r="I240" s="219" t="s">
        <v>132</v>
      </c>
      <c r="J240" s="219" t="s">
        <v>133</v>
      </c>
      <c r="K240" s="219" t="s">
        <v>134</v>
      </c>
      <c r="L240" s="219" t="s">
        <v>135</v>
      </c>
      <c r="M240" s="219" t="s">
        <v>136</v>
      </c>
      <c r="N240" s="220" t="s">
        <v>137</v>
      </c>
    </row>
    <row r="241" spans="1:14" x14ac:dyDescent="0.2">
      <c r="A241" s="255" t="s">
        <v>1228</v>
      </c>
      <c r="B241" s="229"/>
      <c r="C241" s="233"/>
      <c r="D241" s="233"/>
      <c r="E241" s="233"/>
      <c r="F241" s="233"/>
      <c r="G241" s="233"/>
      <c r="H241" s="233"/>
      <c r="I241" s="233"/>
      <c r="J241" s="233"/>
      <c r="K241" s="233"/>
      <c r="L241" s="233"/>
      <c r="M241" s="233"/>
      <c r="N241" s="256"/>
    </row>
    <row r="242" spans="1:14" x14ac:dyDescent="0.2">
      <c r="A242" s="257" t="str">
        <f>A226</f>
        <v xml:space="preserve">  - Days</v>
      </c>
      <c r="B242" s="234"/>
      <c r="C242" s="225">
        <f>C226*(1+Assumptions!Q$6)</f>
        <v>165.9</v>
      </c>
      <c r="D242" s="225">
        <f t="shared" ref="D242:L242" si="79">C242</f>
        <v>165.9</v>
      </c>
      <c r="E242" s="225">
        <f t="shared" si="79"/>
        <v>165.9</v>
      </c>
      <c r="F242" s="225">
        <f t="shared" si="79"/>
        <v>165.9</v>
      </c>
      <c r="G242" s="225">
        <f t="shared" si="79"/>
        <v>165.9</v>
      </c>
      <c r="H242" s="225">
        <f t="shared" si="79"/>
        <v>165.9</v>
      </c>
      <c r="I242" s="225">
        <f t="shared" si="79"/>
        <v>165.9</v>
      </c>
      <c r="J242" s="225">
        <f t="shared" si="79"/>
        <v>165.9</v>
      </c>
      <c r="K242" s="225">
        <f t="shared" si="79"/>
        <v>165.9</v>
      </c>
      <c r="L242" s="225">
        <f t="shared" si="79"/>
        <v>165.9</v>
      </c>
      <c r="M242" s="225">
        <f>L242*10</f>
        <v>1659</v>
      </c>
      <c r="N242" s="226">
        <f>M242</f>
        <v>1659</v>
      </c>
    </row>
    <row r="243" spans="1:14" x14ac:dyDescent="0.2">
      <c r="A243" s="257" t="str">
        <f>A227</f>
        <v xml:space="preserve">  - Catch per boat trip in kg </v>
      </c>
      <c r="B243" s="234"/>
      <c r="C243" s="477">
        <f>+C227*(1+(Assumptions!$Q$8+Assumptions!B$30))</f>
        <v>18.461001061726687</v>
      </c>
      <c r="D243" s="477">
        <f>+D227*(1+(Assumptions!$Q$8+Assumptions!C$30))</f>
        <v>18.461001061726687</v>
      </c>
      <c r="E243" s="477">
        <f>+E227*(1+(Assumptions!$Q$8+Assumptions!D$30))</f>
        <v>18.461001061726687</v>
      </c>
      <c r="F243" s="477">
        <f>+F227*(1+(Assumptions!$Q$8+Assumptions!E$30))</f>
        <v>18.461001061726687</v>
      </c>
      <c r="G243" s="477">
        <f>+G227*(1+(Assumptions!$Q$8+Assumptions!F$30))</f>
        <v>18.461001061726687</v>
      </c>
      <c r="H243" s="477">
        <f>+H227*(1+(Assumptions!$Q$8+Assumptions!G$30))</f>
        <v>18.461001061726687</v>
      </c>
      <c r="I243" s="477">
        <f>+I227*(1+(Assumptions!$Q$8+Assumptions!H$30))</f>
        <v>18.461001061726687</v>
      </c>
      <c r="J243" s="477">
        <f>+J227*(1+(Assumptions!$Q$8+Assumptions!I$30))</f>
        <v>18.461001061726687</v>
      </c>
      <c r="K243" s="477">
        <f>+K227*(1+(Assumptions!$Q$8+Assumptions!J$30))</f>
        <v>18.461001061726687</v>
      </c>
      <c r="L243" s="477">
        <f>+L227*(1+(Assumptions!$Q$8+Assumptions!K$30))</f>
        <v>18.461001061726687</v>
      </c>
      <c r="M243" s="477">
        <f>+M227*(1+(Assumptions!$Q$8+Assumptions!L$30))</f>
        <v>18.461001061726687</v>
      </c>
      <c r="N243" s="477">
        <f>+N227*(1+(Assumptions!$Q$8+Assumptions!M$30))</f>
        <v>18.461001061726687</v>
      </c>
    </row>
    <row r="244" spans="1:14" x14ac:dyDescent="0.2">
      <c r="A244" s="451" t="s">
        <v>1221</v>
      </c>
      <c r="B244" s="234"/>
      <c r="C244" s="238"/>
      <c r="D244" s="225"/>
      <c r="E244" s="225"/>
      <c r="F244" s="225"/>
      <c r="G244" s="225"/>
      <c r="H244" s="225"/>
      <c r="I244" s="225"/>
      <c r="J244" s="225"/>
      <c r="K244" s="225"/>
      <c r="L244" s="225"/>
      <c r="M244" s="225"/>
      <c r="N244" s="226"/>
    </row>
    <row r="245" spans="1:14" x14ac:dyDescent="0.2">
      <c r="A245" s="451" t="s">
        <v>1222</v>
      </c>
      <c r="B245" s="234"/>
      <c r="C245" s="238"/>
      <c r="D245" s="238"/>
      <c r="E245" s="238"/>
      <c r="F245" s="238"/>
      <c r="G245" s="238"/>
      <c r="H245" s="238"/>
      <c r="I245" s="238"/>
      <c r="J245" s="238"/>
      <c r="K245" s="238"/>
      <c r="L245" s="238"/>
      <c r="M245" s="238"/>
      <c r="N245" s="259"/>
    </row>
    <row r="246" spans="1:14" x14ac:dyDescent="0.2">
      <c r="A246" s="451" t="s">
        <v>1225</v>
      </c>
      <c r="B246" s="234"/>
      <c r="C246" s="238"/>
      <c r="D246" s="238"/>
      <c r="E246" s="238"/>
      <c r="F246" s="238"/>
      <c r="G246" s="238"/>
      <c r="H246" s="238"/>
      <c r="I246" s="238"/>
      <c r="J246" s="238"/>
      <c r="K246" s="238"/>
      <c r="L246" s="238"/>
      <c r="M246" s="238"/>
      <c r="N246" s="259"/>
    </row>
    <row r="247" spans="1:14" x14ac:dyDescent="0.2">
      <c r="A247" s="451" t="s">
        <v>1199</v>
      </c>
      <c r="B247" s="234"/>
      <c r="C247" s="238"/>
      <c r="D247" s="238"/>
      <c r="E247" s="238"/>
      <c r="F247" s="238"/>
      <c r="G247" s="238"/>
      <c r="H247" s="238"/>
      <c r="I247" s="238"/>
      <c r="J247" s="238"/>
      <c r="K247" s="238"/>
      <c r="L247" s="238"/>
      <c r="M247" s="238"/>
      <c r="N247" s="259"/>
    </row>
    <row r="248" spans="1:14" x14ac:dyDescent="0.2">
      <c r="A248" s="257" t="str">
        <f>A232</f>
        <v xml:space="preserve">  - Average price of sales in dh/kg</v>
      </c>
      <c r="B248" s="234"/>
      <c r="C248" s="239">
        <f>+C232*(1+(Assumptions!$Q$7))</f>
        <v>42.260044158894999</v>
      </c>
      <c r="D248" s="239">
        <f>+D232*(1+(Assumptions!$Q$7))</f>
        <v>42.260044158894999</v>
      </c>
      <c r="E248" s="239">
        <f>+E232*(1+(Assumptions!$Q$7))</f>
        <v>42.260044158894999</v>
      </c>
      <c r="F248" s="239">
        <f>+F232*(1+(Assumptions!$Q$7))</f>
        <v>42.260044158894999</v>
      </c>
      <c r="G248" s="239">
        <f>+G232*(1+(Assumptions!$Q$7))</f>
        <v>42.260044158894999</v>
      </c>
      <c r="H248" s="239">
        <f>+H232*(1+(Assumptions!$Q$7))</f>
        <v>42.260044158894999</v>
      </c>
      <c r="I248" s="239">
        <f>+I232*(1+(Assumptions!$Q$7))</f>
        <v>42.260044158894999</v>
      </c>
      <c r="J248" s="239">
        <f>+J232*(1+(Assumptions!$Q$7))</f>
        <v>42.260044158894999</v>
      </c>
      <c r="K248" s="239">
        <f>+K232*(1+(Assumptions!$Q$7))</f>
        <v>42.260044158894999</v>
      </c>
      <c r="L248" s="239">
        <f>+L232*(1+(Assumptions!$Q$7))</f>
        <v>42.260044158894999</v>
      </c>
      <c r="M248" s="239">
        <f>+M232*(1+(Assumptions!$Q$7))</f>
        <v>42.260044158894999</v>
      </c>
      <c r="N248" s="239">
        <f>+N232*(1+(Assumptions!$Q$7))</f>
        <v>42.260044158894999</v>
      </c>
    </row>
    <row r="249" spans="1:14" x14ac:dyDescent="0.2">
      <c r="A249" s="451" t="s">
        <v>1221</v>
      </c>
      <c r="B249" s="236"/>
      <c r="C249" s="237"/>
      <c r="D249" s="237"/>
      <c r="E249" s="237"/>
      <c r="F249" s="237"/>
      <c r="G249" s="237"/>
      <c r="H249" s="237"/>
      <c r="I249" s="237"/>
      <c r="J249" s="237"/>
      <c r="K249" s="237"/>
      <c r="L249" s="237"/>
      <c r="M249" s="237"/>
      <c r="N249" s="258"/>
    </row>
    <row r="250" spans="1:14" x14ac:dyDescent="0.2">
      <c r="A250" s="451" t="s">
        <v>1222</v>
      </c>
      <c r="B250" s="236"/>
      <c r="C250" s="237"/>
      <c r="D250" s="237"/>
      <c r="E250" s="237"/>
      <c r="F250" s="237"/>
      <c r="G250" s="237"/>
      <c r="H250" s="237"/>
      <c r="I250" s="237"/>
      <c r="J250" s="237"/>
      <c r="K250" s="237"/>
      <c r="L250" s="237"/>
      <c r="M250" s="237"/>
      <c r="N250" s="258"/>
    </row>
    <row r="251" spans="1:14" x14ac:dyDescent="0.2">
      <c r="A251" s="451" t="s">
        <v>1225</v>
      </c>
      <c r="B251" s="236"/>
      <c r="C251" s="237"/>
      <c r="D251" s="237"/>
      <c r="E251" s="237"/>
      <c r="F251" s="237"/>
      <c r="G251" s="237"/>
      <c r="H251" s="237"/>
      <c r="I251" s="237"/>
      <c r="J251" s="237"/>
      <c r="K251" s="237"/>
      <c r="L251" s="237"/>
      <c r="M251" s="237"/>
      <c r="N251" s="258"/>
    </row>
    <row r="252" spans="1:14" ht="13.5" thickBot="1" x14ac:dyDescent="0.25">
      <c r="A252" s="451" t="s">
        <v>1199</v>
      </c>
      <c r="B252" s="236"/>
      <c r="C252" s="237"/>
      <c r="D252" s="237"/>
      <c r="E252" s="237"/>
      <c r="F252" s="237"/>
      <c r="G252" s="237"/>
      <c r="H252" s="237"/>
      <c r="I252" s="237"/>
      <c r="J252" s="237"/>
      <c r="K252" s="237"/>
      <c r="L252" s="237"/>
      <c r="M252" s="237"/>
      <c r="N252" s="258"/>
    </row>
    <row r="253" spans="1:14" x14ac:dyDescent="0.2">
      <c r="A253" s="230" t="s">
        <v>141</v>
      </c>
      <c r="B253" s="178"/>
      <c r="C253" s="178">
        <f>+C242*C243*C248</f>
        <v>129428.99526226363</v>
      </c>
      <c r="D253" s="178">
        <f t="shared" ref="D253:L253" si="80">+D242*D243*D248</f>
        <v>129428.99526226363</v>
      </c>
      <c r="E253" s="178">
        <f t="shared" si="80"/>
        <v>129428.99526226363</v>
      </c>
      <c r="F253" s="178">
        <f t="shared" si="80"/>
        <v>129428.99526226363</v>
      </c>
      <c r="G253" s="178">
        <f t="shared" si="80"/>
        <v>129428.99526226363</v>
      </c>
      <c r="H253" s="178">
        <f t="shared" si="80"/>
        <v>129428.99526226363</v>
      </c>
      <c r="I253" s="178">
        <f t="shared" si="80"/>
        <v>129428.99526226363</v>
      </c>
      <c r="J253" s="178">
        <f t="shared" si="80"/>
        <v>129428.99526226363</v>
      </c>
      <c r="K253" s="178">
        <f t="shared" si="80"/>
        <v>129428.99526226363</v>
      </c>
      <c r="L253" s="178">
        <f t="shared" si="80"/>
        <v>129428.99526226363</v>
      </c>
      <c r="M253" s="178">
        <f>+L253*10</f>
        <v>1294289.9526226362</v>
      </c>
      <c r="N253" s="179">
        <f>+M253</f>
        <v>1294289.9526226362</v>
      </c>
    </row>
    <row r="254" spans="1:14" x14ac:dyDescent="0.2">
      <c r="A254" s="453" t="s">
        <v>1227</v>
      </c>
      <c r="B254" s="212"/>
      <c r="C254" s="460">
        <f>+'Boat Costs'!J14</f>
        <v>250422.52929260451</v>
      </c>
      <c r="D254" s="456">
        <f>+C254</f>
        <v>250422.52929260451</v>
      </c>
      <c r="E254" s="456">
        <f t="shared" ref="E254:L254" si="81">+D254</f>
        <v>250422.52929260451</v>
      </c>
      <c r="F254" s="456">
        <f t="shared" si="81"/>
        <v>250422.52929260451</v>
      </c>
      <c r="G254" s="456">
        <f t="shared" si="81"/>
        <v>250422.52929260451</v>
      </c>
      <c r="H254" s="456">
        <f t="shared" si="81"/>
        <v>250422.52929260451</v>
      </c>
      <c r="I254" s="456">
        <f t="shared" si="81"/>
        <v>250422.52929260451</v>
      </c>
      <c r="J254" s="456">
        <f t="shared" si="81"/>
        <v>250422.52929260451</v>
      </c>
      <c r="K254" s="456">
        <f t="shared" si="81"/>
        <v>250422.52929260451</v>
      </c>
      <c r="L254" s="456">
        <f t="shared" si="81"/>
        <v>250422.52929260451</v>
      </c>
      <c r="M254" s="456">
        <f>+L254*10</f>
        <v>2504225.2929260451</v>
      </c>
      <c r="N254" s="457">
        <f>+M254</f>
        <v>2504225.2929260451</v>
      </c>
    </row>
    <row r="256" spans="1:14" ht="15.75" thickBot="1" x14ac:dyDescent="0.3">
      <c r="A256" s="372" t="s">
        <v>163</v>
      </c>
    </row>
    <row r="257" spans="1:14" ht="13.5" thickBot="1" x14ac:dyDescent="0.25">
      <c r="A257" s="232" t="s">
        <v>160</v>
      </c>
      <c r="B257" s="12"/>
      <c r="C257" s="12">
        <f>(C289-C290)-(C273-C274)</f>
        <v>9036.4355618437112</v>
      </c>
      <c r="D257" s="12">
        <f t="shared" ref="D257:N257" si="82">(D289-D290)-(D273-D274)</f>
        <v>9036.4355618437112</v>
      </c>
      <c r="E257" s="12">
        <f t="shared" si="82"/>
        <v>9036.4355618437112</v>
      </c>
      <c r="F257" s="12">
        <f t="shared" si="82"/>
        <v>9036.4355618437112</v>
      </c>
      <c r="G257" s="12">
        <f t="shared" si="82"/>
        <v>9036.4355618437112</v>
      </c>
      <c r="H257" s="12">
        <f t="shared" si="82"/>
        <v>9036.4355618437112</v>
      </c>
      <c r="I257" s="12">
        <f t="shared" si="82"/>
        <v>9036.4355618437112</v>
      </c>
      <c r="J257" s="12">
        <f t="shared" si="82"/>
        <v>9036.4355618437112</v>
      </c>
      <c r="K257" s="12">
        <f t="shared" si="82"/>
        <v>9036.4355618437112</v>
      </c>
      <c r="L257" s="12">
        <f t="shared" si="82"/>
        <v>9036.4355618437112</v>
      </c>
      <c r="M257" s="12">
        <f t="shared" si="82"/>
        <v>90364.355618436821</v>
      </c>
      <c r="N257" s="12">
        <f t="shared" si="82"/>
        <v>90364.355618436821</v>
      </c>
    </row>
    <row r="258" spans="1:14" x14ac:dyDescent="0.2">
      <c r="A258" s="16"/>
      <c r="B258" s="57"/>
      <c r="C258" s="57"/>
      <c r="D258" s="57"/>
      <c r="E258" s="57"/>
      <c r="F258" s="57"/>
      <c r="G258" s="57"/>
      <c r="H258" s="57"/>
      <c r="I258" s="57"/>
      <c r="J258" s="57"/>
      <c r="K258" s="57"/>
      <c r="L258" s="57"/>
      <c r="M258" s="57"/>
      <c r="N258" s="207"/>
    </row>
    <row r="259" spans="1:14" ht="16.5" thickBot="1" x14ac:dyDescent="0.3">
      <c r="A259" s="1054" t="s">
        <v>123</v>
      </c>
      <c r="B259" s="1055"/>
      <c r="C259" s="1055"/>
      <c r="D259" s="1055"/>
      <c r="E259" s="1055"/>
      <c r="F259" s="1055"/>
      <c r="G259" s="1055"/>
      <c r="H259" s="1055"/>
      <c r="I259" s="1055"/>
      <c r="J259" s="1055"/>
      <c r="K259" s="1055"/>
      <c r="L259" s="458"/>
      <c r="M259" s="458"/>
      <c r="N259" s="459"/>
    </row>
    <row r="260" spans="1:14" ht="13.5" thickBot="1" x14ac:dyDescent="0.25">
      <c r="A260" s="217"/>
      <c r="B260" s="218" t="s">
        <v>125</v>
      </c>
      <c r="C260" s="219" t="s">
        <v>126</v>
      </c>
      <c r="D260" s="219" t="s">
        <v>127</v>
      </c>
      <c r="E260" s="219" t="s">
        <v>128</v>
      </c>
      <c r="F260" s="219" t="s">
        <v>129</v>
      </c>
      <c r="G260" s="219" t="s">
        <v>130</v>
      </c>
      <c r="H260" s="219" t="s">
        <v>131</v>
      </c>
      <c r="I260" s="219" t="s">
        <v>132</v>
      </c>
      <c r="J260" s="219" t="s">
        <v>133</v>
      </c>
      <c r="K260" s="219" t="s">
        <v>134</v>
      </c>
      <c r="L260" s="219" t="s">
        <v>135</v>
      </c>
      <c r="M260" s="219" t="s">
        <v>136</v>
      </c>
      <c r="N260" s="220" t="s">
        <v>137</v>
      </c>
    </row>
    <row r="261" spans="1:14" x14ac:dyDescent="0.2">
      <c r="A261" s="255" t="s">
        <v>1228</v>
      </c>
      <c r="B261" s="229"/>
      <c r="C261" s="233"/>
      <c r="D261" s="233"/>
      <c r="E261" s="233"/>
      <c r="F261" s="233"/>
      <c r="G261" s="233"/>
      <c r="H261" s="233"/>
      <c r="I261" s="233"/>
      <c r="J261" s="233"/>
      <c r="K261" s="233"/>
      <c r="L261" s="233"/>
      <c r="M261" s="233"/>
      <c r="N261" s="256"/>
    </row>
    <row r="262" spans="1:14" x14ac:dyDescent="0.2">
      <c r="A262" s="257" t="s">
        <v>139</v>
      </c>
      <c r="B262" s="234"/>
      <c r="C262" s="225">
        <f>+R42</f>
        <v>161</v>
      </c>
      <c r="D262" s="225">
        <f t="shared" ref="D262:L262" si="83">C262</f>
        <v>161</v>
      </c>
      <c r="E262" s="225">
        <f t="shared" si="83"/>
        <v>161</v>
      </c>
      <c r="F262" s="225">
        <f t="shared" si="83"/>
        <v>161</v>
      </c>
      <c r="G262" s="225">
        <f t="shared" si="83"/>
        <v>161</v>
      </c>
      <c r="H262" s="225">
        <f t="shared" si="83"/>
        <v>161</v>
      </c>
      <c r="I262" s="225">
        <f t="shared" si="83"/>
        <v>161</v>
      </c>
      <c r="J262" s="225">
        <f t="shared" si="83"/>
        <v>161</v>
      </c>
      <c r="K262" s="225">
        <f t="shared" si="83"/>
        <v>161</v>
      </c>
      <c r="L262" s="225">
        <f t="shared" si="83"/>
        <v>161</v>
      </c>
      <c r="M262" s="225">
        <f>L262*10</f>
        <v>1610</v>
      </c>
      <c r="N262" s="226">
        <f>M262</f>
        <v>1610</v>
      </c>
    </row>
    <row r="263" spans="1:14" x14ac:dyDescent="0.2">
      <c r="A263" s="257" t="s">
        <v>138</v>
      </c>
      <c r="B263" s="234"/>
      <c r="C263" s="225">
        <f>SUM(C264:C267)</f>
        <v>77.675408192269131</v>
      </c>
      <c r="D263" s="225">
        <f t="shared" ref="D263:N263" si="84">SUM(D264:D267)</f>
        <v>77.675408192269131</v>
      </c>
      <c r="E263" s="225">
        <f t="shared" si="84"/>
        <v>77.675408192269131</v>
      </c>
      <c r="F263" s="225">
        <f t="shared" si="84"/>
        <v>77.675408192269131</v>
      </c>
      <c r="G263" s="225">
        <f t="shared" si="84"/>
        <v>77.675408192269131</v>
      </c>
      <c r="H263" s="225">
        <f t="shared" si="84"/>
        <v>77.675408192269131</v>
      </c>
      <c r="I263" s="225">
        <f t="shared" si="84"/>
        <v>77.675408192269131</v>
      </c>
      <c r="J263" s="225">
        <f t="shared" si="84"/>
        <v>77.675408192269131</v>
      </c>
      <c r="K263" s="225">
        <f t="shared" si="84"/>
        <v>77.675408192269131</v>
      </c>
      <c r="L263" s="225">
        <f t="shared" si="84"/>
        <v>77.675408192269131</v>
      </c>
      <c r="M263" s="225">
        <f t="shared" si="84"/>
        <v>77.675408192269131</v>
      </c>
      <c r="N263" s="226">
        <f t="shared" si="84"/>
        <v>77.675408192269131</v>
      </c>
    </row>
    <row r="264" spans="1:14" x14ac:dyDescent="0.2">
      <c r="A264" s="451" t="s">
        <v>1221</v>
      </c>
      <c r="B264" s="234"/>
      <c r="C264" s="369">
        <f>+Y26</f>
        <v>1.1788727412984061</v>
      </c>
      <c r="D264" s="225">
        <f>+C264*Assumptions!F$22</f>
        <v>1.1788727412984061</v>
      </c>
      <c r="E264" s="225">
        <f>+D264*Assumptions!G$22</f>
        <v>1.1788727412984061</v>
      </c>
      <c r="F264" s="225">
        <f>+E264*Assumptions!H$22</f>
        <v>1.1788727412984061</v>
      </c>
      <c r="G264" s="225">
        <f>+F264*Assumptions!I$22</f>
        <v>1.1788727412984061</v>
      </c>
      <c r="H264" s="225">
        <f>+G264*Assumptions!J$22</f>
        <v>1.1788727412984061</v>
      </c>
      <c r="I264" s="225">
        <f>+H264*Assumptions!K$22</f>
        <v>1.1788727412984061</v>
      </c>
      <c r="J264" s="225">
        <f>+I264*Assumptions!L$22</f>
        <v>1.1788727412984061</v>
      </c>
      <c r="K264" s="225">
        <f>+J264*Assumptions!M$22</f>
        <v>1.1788727412984061</v>
      </c>
      <c r="L264" s="225">
        <f>+K264*Assumptions!N$22</f>
        <v>1.1788727412984061</v>
      </c>
      <c r="M264" s="225">
        <f>+L264*Assumptions!O$22</f>
        <v>1.1788727412984061</v>
      </c>
      <c r="N264" s="226">
        <f>+M264*Assumptions!P$22</f>
        <v>1.1788727412984061</v>
      </c>
    </row>
    <row r="265" spans="1:14" x14ac:dyDescent="0.2">
      <c r="A265" s="451" t="s">
        <v>1222</v>
      </c>
      <c r="B265" s="234"/>
      <c r="C265" s="370">
        <f>+Z26</f>
        <v>3.3204863955374493</v>
      </c>
      <c r="D265" s="225">
        <f>+C265*Assumptions!F$22</f>
        <v>3.3204863955374493</v>
      </c>
      <c r="E265" s="225">
        <f>+D265*Assumptions!G$22</f>
        <v>3.3204863955374493</v>
      </c>
      <c r="F265" s="225">
        <f>+E265*Assumptions!H$22</f>
        <v>3.3204863955374493</v>
      </c>
      <c r="G265" s="225">
        <f>+F265*Assumptions!I$22</f>
        <v>3.3204863955374493</v>
      </c>
      <c r="H265" s="225">
        <f>+G265*Assumptions!J$22</f>
        <v>3.3204863955374493</v>
      </c>
      <c r="I265" s="225">
        <f>+H265*Assumptions!K$22</f>
        <v>3.3204863955374493</v>
      </c>
      <c r="J265" s="225">
        <f>+I265*Assumptions!L$22</f>
        <v>3.3204863955374493</v>
      </c>
      <c r="K265" s="225">
        <f>+J265*Assumptions!M$22</f>
        <v>3.3204863955374493</v>
      </c>
      <c r="L265" s="225">
        <f>+K265*Assumptions!N$22</f>
        <v>3.3204863955374493</v>
      </c>
      <c r="M265" s="225">
        <f>+L265*Assumptions!O$22</f>
        <v>3.3204863955374493</v>
      </c>
      <c r="N265" s="226">
        <f>+M265*Assumptions!P$22</f>
        <v>3.3204863955374493</v>
      </c>
    </row>
    <row r="266" spans="1:14" x14ac:dyDescent="0.2">
      <c r="A266" s="451" t="s">
        <v>1225</v>
      </c>
      <c r="B266" s="234"/>
      <c r="C266" s="370">
        <f>+AA26</f>
        <v>35.092204736107703</v>
      </c>
      <c r="D266" s="225">
        <f>+C266*Assumptions!F$22</f>
        <v>35.092204736107703</v>
      </c>
      <c r="E266" s="225">
        <f>+D266*Assumptions!G$22</f>
        <v>35.092204736107703</v>
      </c>
      <c r="F266" s="225">
        <f>+E266*Assumptions!H$22</f>
        <v>35.092204736107703</v>
      </c>
      <c r="G266" s="225">
        <f>+F266*Assumptions!I$22</f>
        <v>35.092204736107703</v>
      </c>
      <c r="H266" s="225">
        <f>+G266*Assumptions!J$22</f>
        <v>35.092204736107703</v>
      </c>
      <c r="I266" s="225">
        <f>+H266*Assumptions!K$22</f>
        <v>35.092204736107703</v>
      </c>
      <c r="J266" s="225">
        <f>+I266*Assumptions!L$22</f>
        <v>35.092204736107703</v>
      </c>
      <c r="K266" s="225">
        <f>+J266*Assumptions!M$22</f>
        <v>35.092204736107703</v>
      </c>
      <c r="L266" s="225">
        <f>+K266*Assumptions!N$22</f>
        <v>35.092204736107703</v>
      </c>
      <c r="M266" s="225">
        <f>+L266*Assumptions!O$22</f>
        <v>35.092204736107703</v>
      </c>
      <c r="N266" s="226">
        <f>+M266*Assumptions!P$22</f>
        <v>35.092204736107703</v>
      </c>
    </row>
    <row r="267" spans="1:14" x14ac:dyDescent="0.2">
      <c r="A267" s="451" t="s">
        <v>1199</v>
      </c>
      <c r="B267" s="234"/>
      <c r="C267" s="370">
        <f>+AB26</f>
        <v>38.083844319325571</v>
      </c>
      <c r="D267" s="225">
        <f>+C267*Assumptions!F$22</f>
        <v>38.083844319325571</v>
      </c>
      <c r="E267" s="225">
        <f>+D267*Assumptions!G$22</f>
        <v>38.083844319325571</v>
      </c>
      <c r="F267" s="225">
        <f>+E267*Assumptions!H$22</f>
        <v>38.083844319325571</v>
      </c>
      <c r="G267" s="225">
        <f>+F267*Assumptions!I$22</f>
        <v>38.083844319325571</v>
      </c>
      <c r="H267" s="225">
        <f>+G267*Assumptions!J$22</f>
        <v>38.083844319325571</v>
      </c>
      <c r="I267" s="225">
        <f>+H267*Assumptions!K$22</f>
        <v>38.083844319325571</v>
      </c>
      <c r="J267" s="225">
        <f>+I267*Assumptions!L$22</f>
        <v>38.083844319325571</v>
      </c>
      <c r="K267" s="225">
        <f>+J267*Assumptions!M$22</f>
        <v>38.083844319325571</v>
      </c>
      <c r="L267" s="225">
        <f>+K267*Assumptions!N$22</f>
        <v>38.083844319325571</v>
      </c>
      <c r="M267" s="225">
        <f>+L267*Assumptions!O$22</f>
        <v>38.083844319325571</v>
      </c>
      <c r="N267" s="226">
        <f>+M267*Assumptions!P$22</f>
        <v>38.083844319325571</v>
      </c>
    </row>
    <row r="268" spans="1:14" x14ac:dyDescent="0.2">
      <c r="A268" s="257" t="s">
        <v>140</v>
      </c>
      <c r="B268" s="234"/>
      <c r="C268" s="239">
        <f>((C269*C264)+(C270*C265)+(C266*C271)+(C267*C272))/SUM(C264:C267)</f>
        <v>21.298198551593089</v>
      </c>
      <c r="D268" s="239">
        <f t="shared" ref="D268:N269" si="85">C268</f>
        <v>21.298198551593089</v>
      </c>
      <c r="E268" s="239">
        <f t="shared" si="85"/>
        <v>21.298198551593089</v>
      </c>
      <c r="F268" s="239">
        <f t="shared" si="85"/>
        <v>21.298198551593089</v>
      </c>
      <c r="G268" s="239">
        <f t="shared" si="85"/>
        <v>21.298198551593089</v>
      </c>
      <c r="H268" s="239">
        <f t="shared" si="85"/>
        <v>21.298198551593089</v>
      </c>
      <c r="I268" s="239">
        <f t="shared" si="85"/>
        <v>21.298198551593089</v>
      </c>
      <c r="J268" s="239">
        <f t="shared" si="85"/>
        <v>21.298198551593089</v>
      </c>
      <c r="K268" s="239">
        <f t="shared" si="85"/>
        <v>21.298198551593089</v>
      </c>
      <c r="L268" s="239">
        <f t="shared" si="85"/>
        <v>21.298198551593089</v>
      </c>
      <c r="M268" s="239">
        <f t="shared" si="85"/>
        <v>21.298198551593089</v>
      </c>
      <c r="N268" s="260">
        <f t="shared" si="85"/>
        <v>21.298198551593089</v>
      </c>
    </row>
    <row r="269" spans="1:14" x14ac:dyDescent="0.2">
      <c r="A269" s="451" t="s">
        <v>1221</v>
      </c>
      <c r="B269" s="236"/>
      <c r="C269" s="371">
        <f>+$R$10</f>
        <v>52.122314049586777</v>
      </c>
      <c r="D269" s="237">
        <f t="shared" ref="D269:K272" si="86">C269</f>
        <v>52.122314049586777</v>
      </c>
      <c r="E269" s="237">
        <f t="shared" si="86"/>
        <v>52.122314049586777</v>
      </c>
      <c r="F269" s="237">
        <f t="shared" si="86"/>
        <v>52.122314049586777</v>
      </c>
      <c r="G269" s="237">
        <f t="shared" si="86"/>
        <v>52.122314049586777</v>
      </c>
      <c r="H269" s="237">
        <f t="shared" si="86"/>
        <v>52.122314049586777</v>
      </c>
      <c r="I269" s="237">
        <f t="shared" si="86"/>
        <v>52.122314049586777</v>
      </c>
      <c r="J269" s="237">
        <f t="shared" si="86"/>
        <v>52.122314049586777</v>
      </c>
      <c r="K269" s="237">
        <f t="shared" si="86"/>
        <v>52.122314049586777</v>
      </c>
      <c r="L269" s="237">
        <f t="shared" si="85"/>
        <v>52.122314049586777</v>
      </c>
      <c r="M269" s="237">
        <f t="shared" si="85"/>
        <v>52.122314049586777</v>
      </c>
      <c r="N269" s="237">
        <f t="shared" si="85"/>
        <v>52.122314049586777</v>
      </c>
    </row>
    <row r="270" spans="1:14" x14ac:dyDescent="0.2">
      <c r="A270" s="451" t="s">
        <v>1222</v>
      </c>
      <c r="B270" s="236"/>
      <c r="C270" s="371">
        <f>+$S$10</f>
        <v>77.720967741935482</v>
      </c>
      <c r="D270" s="237">
        <f t="shared" si="86"/>
        <v>77.720967741935482</v>
      </c>
      <c r="E270" s="237">
        <f t="shared" si="86"/>
        <v>77.720967741935482</v>
      </c>
      <c r="F270" s="237">
        <f t="shared" si="86"/>
        <v>77.720967741935482</v>
      </c>
      <c r="G270" s="237">
        <f t="shared" si="86"/>
        <v>77.720967741935482</v>
      </c>
      <c r="H270" s="237">
        <f t="shared" si="86"/>
        <v>77.720967741935482</v>
      </c>
      <c r="I270" s="237">
        <f t="shared" si="86"/>
        <v>77.720967741935482</v>
      </c>
      <c r="J270" s="237">
        <f t="shared" si="86"/>
        <v>77.720967741935482</v>
      </c>
      <c r="K270" s="237">
        <f t="shared" si="86"/>
        <v>77.720967741935482</v>
      </c>
      <c r="L270" s="237">
        <f t="shared" ref="L270:N272" si="87">K270</f>
        <v>77.720967741935482</v>
      </c>
      <c r="M270" s="237">
        <f t="shared" si="87"/>
        <v>77.720967741935482</v>
      </c>
      <c r="N270" s="258">
        <f t="shared" si="87"/>
        <v>77.720967741935482</v>
      </c>
    </row>
    <row r="271" spans="1:14" x14ac:dyDescent="0.2">
      <c r="A271" s="451" t="s">
        <v>1225</v>
      </c>
      <c r="B271" s="236"/>
      <c r="C271" s="371">
        <f>+$T$8</f>
        <v>34.535821661655788</v>
      </c>
      <c r="D271" s="237">
        <f t="shared" si="86"/>
        <v>34.535821661655788</v>
      </c>
      <c r="E271" s="237">
        <f t="shared" si="86"/>
        <v>34.535821661655788</v>
      </c>
      <c r="F271" s="237">
        <f t="shared" si="86"/>
        <v>34.535821661655788</v>
      </c>
      <c r="G271" s="237">
        <f t="shared" si="86"/>
        <v>34.535821661655788</v>
      </c>
      <c r="H271" s="237">
        <f t="shared" si="86"/>
        <v>34.535821661655788</v>
      </c>
      <c r="I271" s="237">
        <f t="shared" si="86"/>
        <v>34.535821661655788</v>
      </c>
      <c r="J271" s="237">
        <f t="shared" si="86"/>
        <v>34.535821661655788</v>
      </c>
      <c r="K271" s="237">
        <f t="shared" si="86"/>
        <v>34.535821661655788</v>
      </c>
      <c r="L271" s="237">
        <f t="shared" si="87"/>
        <v>34.535821661655788</v>
      </c>
      <c r="M271" s="237">
        <f t="shared" si="87"/>
        <v>34.535821661655788</v>
      </c>
      <c r="N271" s="258">
        <f t="shared" si="87"/>
        <v>34.535821661655788</v>
      </c>
    </row>
    <row r="272" spans="1:14" ht="13.5" thickBot="1" x14ac:dyDescent="0.25">
      <c r="A272" s="451" t="s">
        <v>1199</v>
      </c>
      <c r="B272" s="236"/>
      <c r="C272" s="371">
        <f>+$U$10</f>
        <v>3.2268578104271035</v>
      </c>
      <c r="D272" s="237">
        <f t="shared" si="86"/>
        <v>3.2268578104271035</v>
      </c>
      <c r="E272" s="237">
        <f t="shared" si="86"/>
        <v>3.2268578104271035</v>
      </c>
      <c r="F272" s="237">
        <f t="shared" si="86"/>
        <v>3.2268578104271035</v>
      </c>
      <c r="G272" s="237">
        <f t="shared" si="86"/>
        <v>3.2268578104271035</v>
      </c>
      <c r="H272" s="237">
        <f t="shared" si="86"/>
        <v>3.2268578104271035</v>
      </c>
      <c r="I272" s="237">
        <f t="shared" si="86"/>
        <v>3.2268578104271035</v>
      </c>
      <c r="J272" s="237">
        <f t="shared" si="86"/>
        <v>3.2268578104271035</v>
      </c>
      <c r="K272" s="237">
        <f t="shared" si="86"/>
        <v>3.2268578104271035</v>
      </c>
      <c r="L272" s="237">
        <f t="shared" si="87"/>
        <v>3.2268578104271035</v>
      </c>
      <c r="M272" s="237">
        <f t="shared" si="87"/>
        <v>3.2268578104271035</v>
      </c>
      <c r="N272" s="258">
        <f t="shared" si="87"/>
        <v>3.2268578104271035</v>
      </c>
    </row>
    <row r="273" spans="1:14" ht="13.5" thickBot="1" x14ac:dyDescent="0.25">
      <c r="A273" s="221" t="s">
        <v>141</v>
      </c>
      <c r="B273" s="15"/>
      <c r="C273" s="15">
        <f>((C272*C267)+(C271*C266)+(C270*C265)+(C264*C269))*C262</f>
        <v>266349.74886705313</v>
      </c>
      <c r="D273" s="15">
        <f t="shared" ref="D273:L273" si="88">((D272*D267)+(D271*D266)+(D270*D265)+(D264*D269))*D262</f>
        <v>266349.74886705313</v>
      </c>
      <c r="E273" s="15">
        <f t="shared" si="88"/>
        <v>266349.74886705313</v>
      </c>
      <c r="F273" s="15">
        <f t="shared" si="88"/>
        <v>266349.74886705313</v>
      </c>
      <c r="G273" s="15">
        <f t="shared" si="88"/>
        <v>266349.74886705313</v>
      </c>
      <c r="H273" s="15">
        <f t="shared" si="88"/>
        <v>266349.74886705313</v>
      </c>
      <c r="I273" s="15">
        <f t="shared" si="88"/>
        <v>266349.74886705313</v>
      </c>
      <c r="J273" s="15">
        <f t="shared" si="88"/>
        <v>266349.74886705313</v>
      </c>
      <c r="K273" s="15">
        <f t="shared" si="88"/>
        <v>266349.74886705313</v>
      </c>
      <c r="L273" s="15">
        <f t="shared" si="88"/>
        <v>266349.74886705313</v>
      </c>
      <c r="M273" s="15">
        <f>+L273*10</f>
        <v>2663497.4886705312</v>
      </c>
      <c r="N273" s="177">
        <f>+M273</f>
        <v>2663497.4886705312</v>
      </c>
    </row>
    <row r="274" spans="1:14" ht="13.5" thickBot="1" x14ac:dyDescent="0.25">
      <c r="A274" s="16" t="s">
        <v>1227</v>
      </c>
      <c r="B274" s="40"/>
      <c r="C274" s="442">
        <f>+'Boat Costs'!K13</f>
        <v>245302.99083601285</v>
      </c>
      <c r="D274" s="443">
        <f>+C274</f>
        <v>245302.99083601285</v>
      </c>
      <c r="E274" s="443">
        <f t="shared" ref="E274:L274" si="89">+D274</f>
        <v>245302.99083601285</v>
      </c>
      <c r="F274" s="443">
        <f t="shared" si="89"/>
        <v>245302.99083601285</v>
      </c>
      <c r="G274" s="443">
        <f t="shared" si="89"/>
        <v>245302.99083601285</v>
      </c>
      <c r="H274" s="443">
        <f t="shared" si="89"/>
        <v>245302.99083601285</v>
      </c>
      <c r="I274" s="443">
        <f t="shared" si="89"/>
        <v>245302.99083601285</v>
      </c>
      <c r="J274" s="443">
        <f t="shared" si="89"/>
        <v>245302.99083601285</v>
      </c>
      <c r="K274" s="443">
        <f t="shared" si="89"/>
        <v>245302.99083601285</v>
      </c>
      <c r="L274" s="443">
        <f t="shared" si="89"/>
        <v>245302.99083601285</v>
      </c>
      <c r="M274" s="443">
        <f>+L274*10</f>
        <v>2453029.9083601283</v>
      </c>
      <c r="N274" s="461">
        <f>+M274</f>
        <v>2453029.9083601283</v>
      </c>
    </row>
    <row r="275" spans="1:14" ht="16.5" thickBot="1" x14ac:dyDescent="0.3">
      <c r="A275" s="1056" t="s">
        <v>124</v>
      </c>
      <c r="B275" s="1057"/>
      <c r="C275" s="1057"/>
      <c r="D275" s="1057"/>
      <c r="E275" s="1057"/>
      <c r="F275" s="1057"/>
      <c r="G275" s="1057"/>
      <c r="H275" s="1057"/>
      <c r="I275" s="1057"/>
      <c r="J275" s="1057"/>
      <c r="K275" s="1057"/>
      <c r="L275" s="215"/>
      <c r="M275" s="215"/>
      <c r="N275" s="216"/>
    </row>
    <row r="276" spans="1:14" ht="13.5" thickBot="1" x14ac:dyDescent="0.25">
      <c r="A276" s="217"/>
      <c r="B276" s="218" t="s">
        <v>125</v>
      </c>
      <c r="C276" s="219" t="s">
        <v>126</v>
      </c>
      <c r="D276" s="219" t="s">
        <v>127</v>
      </c>
      <c r="E276" s="219" t="s">
        <v>128</v>
      </c>
      <c r="F276" s="219" t="s">
        <v>129</v>
      </c>
      <c r="G276" s="219" t="s">
        <v>130</v>
      </c>
      <c r="H276" s="219" t="s">
        <v>131</v>
      </c>
      <c r="I276" s="219" t="s">
        <v>132</v>
      </c>
      <c r="J276" s="219" t="s">
        <v>133</v>
      </c>
      <c r="K276" s="219" t="s">
        <v>134</v>
      </c>
      <c r="L276" s="219" t="s">
        <v>135</v>
      </c>
      <c r="M276" s="219" t="s">
        <v>136</v>
      </c>
      <c r="N276" s="220" t="s">
        <v>137</v>
      </c>
    </row>
    <row r="277" spans="1:14" x14ac:dyDescent="0.2">
      <c r="A277" s="255" t="s">
        <v>1228</v>
      </c>
      <c r="B277" s="229"/>
      <c r="C277" s="233"/>
      <c r="D277" s="233"/>
      <c r="E277" s="233"/>
      <c r="F277" s="233"/>
      <c r="G277" s="233"/>
      <c r="H277" s="233"/>
      <c r="I277" s="233"/>
      <c r="J277" s="233"/>
      <c r="K277" s="233"/>
      <c r="L277" s="233"/>
      <c r="M277" s="233"/>
      <c r="N277" s="256"/>
    </row>
    <row r="278" spans="1:14" x14ac:dyDescent="0.2">
      <c r="A278" s="257" t="str">
        <f>A262</f>
        <v xml:space="preserve">  - Days</v>
      </c>
      <c r="B278" s="234"/>
      <c r="C278" s="225">
        <f>C262*(1+Assumptions!Q$6)</f>
        <v>169.05</v>
      </c>
      <c r="D278" s="225">
        <f t="shared" ref="D278:L278" si="90">C278</f>
        <v>169.05</v>
      </c>
      <c r="E278" s="225">
        <f t="shared" si="90"/>
        <v>169.05</v>
      </c>
      <c r="F278" s="225">
        <f t="shared" si="90"/>
        <v>169.05</v>
      </c>
      <c r="G278" s="225">
        <f t="shared" si="90"/>
        <v>169.05</v>
      </c>
      <c r="H278" s="225">
        <f t="shared" si="90"/>
        <v>169.05</v>
      </c>
      <c r="I278" s="225">
        <f t="shared" si="90"/>
        <v>169.05</v>
      </c>
      <c r="J278" s="225">
        <f t="shared" si="90"/>
        <v>169.05</v>
      </c>
      <c r="K278" s="225">
        <f t="shared" si="90"/>
        <v>169.05</v>
      </c>
      <c r="L278" s="225">
        <f t="shared" si="90"/>
        <v>169.05</v>
      </c>
      <c r="M278" s="225">
        <f>L278*10</f>
        <v>1690.5</v>
      </c>
      <c r="N278" s="226">
        <f>M278</f>
        <v>1690.5</v>
      </c>
    </row>
    <row r="279" spans="1:14" x14ac:dyDescent="0.2">
      <c r="A279" s="257" t="str">
        <f>A263</f>
        <v xml:space="preserve">  - Catch per boat trip in kg </v>
      </c>
      <c r="B279" s="234"/>
      <c r="C279" s="477">
        <f>+C263*(1+(Assumptions!$Q$8+Assumptions!B$30))</f>
        <v>77.675408192269131</v>
      </c>
      <c r="D279" s="477">
        <f>+D263*(1+(Assumptions!$Q$8+Assumptions!C$30))</f>
        <v>77.675408192269131</v>
      </c>
      <c r="E279" s="477">
        <f>+E263*(1+(Assumptions!$Q$8+Assumptions!D$30))</f>
        <v>77.675408192269131</v>
      </c>
      <c r="F279" s="477">
        <f>+F263*(1+(Assumptions!$Q$8+Assumptions!E$30))</f>
        <v>77.675408192269131</v>
      </c>
      <c r="G279" s="477">
        <f>+G263*(1+(Assumptions!$Q$8+Assumptions!F$30))</f>
        <v>77.675408192269131</v>
      </c>
      <c r="H279" s="477">
        <f>+H263*(1+(Assumptions!$Q$8+Assumptions!G$30))</f>
        <v>77.675408192269131</v>
      </c>
      <c r="I279" s="477">
        <f>+I263*(1+(Assumptions!$Q$8+Assumptions!H$30))</f>
        <v>77.675408192269131</v>
      </c>
      <c r="J279" s="477">
        <f>+J263*(1+(Assumptions!$Q$8+Assumptions!I$30))</f>
        <v>77.675408192269131</v>
      </c>
      <c r="K279" s="477">
        <f>+K263*(1+(Assumptions!$Q$8+Assumptions!J$30))</f>
        <v>77.675408192269131</v>
      </c>
      <c r="L279" s="477">
        <f>+L263*(1+(Assumptions!$Q$8+Assumptions!K$30))</f>
        <v>77.675408192269131</v>
      </c>
      <c r="M279" s="477">
        <f>+M263*(1+(Assumptions!$Q$8+Assumptions!L$30))</f>
        <v>77.675408192269131</v>
      </c>
      <c r="N279" s="477">
        <f>+N263*(1+(Assumptions!$Q$8+Assumptions!M$30))</f>
        <v>77.675408192269131</v>
      </c>
    </row>
    <row r="280" spans="1:14" x14ac:dyDescent="0.2">
      <c r="A280" s="451" t="s">
        <v>1221</v>
      </c>
      <c r="B280" s="234"/>
      <c r="C280" s="238"/>
      <c r="D280" s="225"/>
      <c r="E280" s="225"/>
      <c r="F280" s="225"/>
      <c r="G280" s="225"/>
      <c r="H280" s="225"/>
      <c r="I280" s="225"/>
      <c r="J280" s="225"/>
      <c r="K280" s="225"/>
      <c r="L280" s="225"/>
      <c r="M280" s="225"/>
      <c r="N280" s="226"/>
    </row>
    <row r="281" spans="1:14" x14ac:dyDescent="0.2">
      <c r="A281" s="451" t="s">
        <v>1222</v>
      </c>
      <c r="B281" s="234"/>
      <c r="C281" s="238"/>
      <c r="D281" s="238"/>
      <c r="E281" s="238"/>
      <c r="F281" s="238"/>
      <c r="G281" s="238"/>
      <c r="H281" s="238"/>
      <c r="I281" s="238"/>
      <c r="J281" s="238"/>
      <c r="K281" s="238"/>
      <c r="L281" s="238"/>
      <c r="M281" s="238"/>
      <c r="N281" s="259"/>
    </row>
    <row r="282" spans="1:14" x14ac:dyDescent="0.2">
      <c r="A282" s="451" t="s">
        <v>1225</v>
      </c>
      <c r="B282" s="234"/>
      <c r="C282" s="238"/>
      <c r="D282" s="238"/>
      <c r="E282" s="238"/>
      <c r="F282" s="238"/>
      <c r="G282" s="238"/>
      <c r="H282" s="238"/>
      <c r="I282" s="238"/>
      <c r="J282" s="238"/>
      <c r="K282" s="238"/>
      <c r="L282" s="238"/>
      <c r="M282" s="238"/>
      <c r="N282" s="259"/>
    </row>
    <row r="283" spans="1:14" x14ac:dyDescent="0.2">
      <c r="A283" s="451" t="s">
        <v>1199</v>
      </c>
      <c r="B283" s="234"/>
      <c r="C283" s="238"/>
      <c r="D283" s="238"/>
      <c r="E283" s="238"/>
      <c r="F283" s="238"/>
      <c r="G283" s="238"/>
      <c r="H283" s="238"/>
      <c r="I283" s="238"/>
      <c r="J283" s="238"/>
      <c r="K283" s="238"/>
      <c r="L283" s="238"/>
      <c r="M283" s="238"/>
      <c r="N283" s="259"/>
    </row>
    <row r="284" spans="1:14" x14ac:dyDescent="0.2">
      <c r="A284" s="257" t="str">
        <f>A268</f>
        <v xml:space="preserve">  - Average price of sales in dh/kg</v>
      </c>
      <c r="B284" s="234"/>
      <c r="C284" s="239">
        <f>+C268*(1+(Assumptions!$Q$7))</f>
        <v>21.724162522624951</v>
      </c>
      <c r="D284" s="239">
        <f>+D268*(1+(Assumptions!$Q$7))</f>
        <v>21.724162522624951</v>
      </c>
      <c r="E284" s="239">
        <f>+E268*(1+(Assumptions!$Q$7))</f>
        <v>21.724162522624951</v>
      </c>
      <c r="F284" s="239">
        <f>+F268*(1+(Assumptions!$Q$7))</f>
        <v>21.724162522624951</v>
      </c>
      <c r="G284" s="239">
        <f>+G268*(1+(Assumptions!$Q$7))</f>
        <v>21.724162522624951</v>
      </c>
      <c r="H284" s="239">
        <f>+H268*(1+(Assumptions!$Q$7))</f>
        <v>21.724162522624951</v>
      </c>
      <c r="I284" s="239">
        <f>+I268*(1+(Assumptions!$Q$7))</f>
        <v>21.724162522624951</v>
      </c>
      <c r="J284" s="239">
        <f>+J268*(1+(Assumptions!$Q$7))</f>
        <v>21.724162522624951</v>
      </c>
      <c r="K284" s="239">
        <f>+K268*(1+(Assumptions!$Q$7))</f>
        <v>21.724162522624951</v>
      </c>
      <c r="L284" s="239">
        <f>+L268*(1+(Assumptions!$Q$7))</f>
        <v>21.724162522624951</v>
      </c>
      <c r="M284" s="239">
        <f>+M268*(1+(Assumptions!$Q$7))</f>
        <v>21.724162522624951</v>
      </c>
      <c r="N284" s="239">
        <f>+N268*(1+(Assumptions!$Q$7))</f>
        <v>21.724162522624951</v>
      </c>
    </row>
    <row r="285" spans="1:14" x14ac:dyDescent="0.2">
      <c r="A285" s="451" t="s">
        <v>1221</v>
      </c>
      <c r="B285" s="236"/>
      <c r="C285" s="237"/>
      <c r="D285" s="237"/>
      <c r="E285" s="237"/>
      <c r="F285" s="237"/>
      <c r="G285" s="237"/>
      <c r="H285" s="237"/>
      <c r="I285" s="237"/>
      <c r="J285" s="237"/>
      <c r="K285" s="237"/>
      <c r="L285" s="237"/>
      <c r="M285" s="237"/>
      <c r="N285" s="258"/>
    </row>
    <row r="286" spans="1:14" x14ac:dyDescent="0.2">
      <c r="A286" s="451" t="s">
        <v>1222</v>
      </c>
      <c r="B286" s="236"/>
      <c r="C286" s="237"/>
      <c r="D286" s="237"/>
      <c r="E286" s="237"/>
      <c r="F286" s="237"/>
      <c r="G286" s="237"/>
      <c r="H286" s="237"/>
      <c r="I286" s="237"/>
      <c r="J286" s="237"/>
      <c r="K286" s="237"/>
      <c r="L286" s="237"/>
      <c r="M286" s="237"/>
      <c r="N286" s="258"/>
    </row>
    <row r="287" spans="1:14" x14ac:dyDescent="0.2">
      <c r="A287" s="451" t="s">
        <v>1225</v>
      </c>
      <c r="B287" s="236"/>
      <c r="C287" s="237"/>
      <c r="D287" s="237"/>
      <c r="E287" s="237"/>
      <c r="F287" s="237"/>
      <c r="G287" s="237"/>
      <c r="H287" s="237"/>
      <c r="I287" s="237"/>
      <c r="J287" s="237"/>
      <c r="K287" s="237"/>
      <c r="L287" s="237"/>
      <c r="M287" s="237"/>
      <c r="N287" s="258"/>
    </row>
    <row r="288" spans="1:14" ht="13.5" thickBot="1" x14ac:dyDescent="0.25">
      <c r="A288" s="451" t="s">
        <v>1199</v>
      </c>
      <c r="B288" s="236"/>
      <c r="C288" s="237"/>
      <c r="D288" s="237"/>
      <c r="E288" s="237"/>
      <c r="F288" s="237"/>
      <c r="G288" s="237"/>
      <c r="H288" s="237"/>
      <c r="I288" s="237"/>
      <c r="J288" s="237"/>
      <c r="K288" s="237"/>
      <c r="L288" s="237"/>
      <c r="M288" s="237"/>
      <c r="N288" s="258"/>
    </row>
    <row r="289" spans="1:14" x14ac:dyDescent="0.2">
      <c r="A289" s="230" t="s">
        <v>141</v>
      </c>
      <c r="B289" s="178"/>
      <c r="C289" s="178">
        <f>+C278*C279*C284</f>
        <v>285260.5810366139</v>
      </c>
      <c r="D289" s="178">
        <f t="shared" ref="D289:L289" si="91">+D278*D279*D284</f>
        <v>285260.5810366139</v>
      </c>
      <c r="E289" s="178">
        <f t="shared" si="91"/>
        <v>285260.5810366139</v>
      </c>
      <c r="F289" s="178">
        <f t="shared" si="91"/>
        <v>285260.5810366139</v>
      </c>
      <c r="G289" s="178">
        <f t="shared" si="91"/>
        <v>285260.5810366139</v>
      </c>
      <c r="H289" s="178">
        <f t="shared" si="91"/>
        <v>285260.5810366139</v>
      </c>
      <c r="I289" s="178">
        <f t="shared" si="91"/>
        <v>285260.5810366139</v>
      </c>
      <c r="J289" s="178">
        <f t="shared" si="91"/>
        <v>285260.5810366139</v>
      </c>
      <c r="K289" s="178">
        <f t="shared" si="91"/>
        <v>285260.5810366139</v>
      </c>
      <c r="L289" s="178">
        <f t="shared" si="91"/>
        <v>285260.5810366139</v>
      </c>
      <c r="M289" s="178">
        <f>+L289*10</f>
        <v>2852605.8103661388</v>
      </c>
      <c r="N289" s="179">
        <f>+M289</f>
        <v>2852605.8103661388</v>
      </c>
    </row>
    <row r="290" spans="1:14" x14ac:dyDescent="0.2">
      <c r="A290" s="453" t="s">
        <v>1227</v>
      </c>
      <c r="B290" s="212"/>
      <c r="C290" s="460">
        <f>+'Boat Costs'!K14</f>
        <v>255177.38744372991</v>
      </c>
      <c r="D290" s="456">
        <f>+C290</f>
        <v>255177.38744372991</v>
      </c>
      <c r="E290" s="456">
        <f t="shared" ref="E290:L290" si="92">+D290</f>
        <v>255177.38744372991</v>
      </c>
      <c r="F290" s="456">
        <f t="shared" si="92"/>
        <v>255177.38744372991</v>
      </c>
      <c r="G290" s="456">
        <f t="shared" si="92"/>
        <v>255177.38744372991</v>
      </c>
      <c r="H290" s="456">
        <f t="shared" si="92"/>
        <v>255177.38744372991</v>
      </c>
      <c r="I290" s="456">
        <f t="shared" si="92"/>
        <v>255177.38744372991</v>
      </c>
      <c r="J290" s="456">
        <f t="shared" si="92"/>
        <v>255177.38744372991</v>
      </c>
      <c r="K290" s="456">
        <f t="shared" si="92"/>
        <v>255177.38744372991</v>
      </c>
      <c r="L290" s="456">
        <f t="shared" si="92"/>
        <v>255177.38744372991</v>
      </c>
      <c r="M290" s="456">
        <f>+L290*10</f>
        <v>2551773.8744372991</v>
      </c>
      <c r="N290" s="457">
        <f>+M290</f>
        <v>2551773.8744372991</v>
      </c>
    </row>
    <row r="292" spans="1:14" ht="16.5" thickBot="1" x14ac:dyDescent="0.3">
      <c r="A292" s="373" t="s">
        <v>185</v>
      </c>
    </row>
    <row r="293" spans="1:14" ht="13.5" thickBot="1" x14ac:dyDescent="0.25">
      <c r="A293" s="232" t="s">
        <v>160</v>
      </c>
      <c r="B293" s="12"/>
      <c r="C293" s="12">
        <f>(C325-C326)-(C309-C310)</f>
        <v>368.0918703720381</v>
      </c>
      <c r="D293" s="12">
        <f t="shared" ref="D293:N293" si="93">(D325-D326)-(D309-D310)</f>
        <v>368.0918703720381</v>
      </c>
      <c r="E293" s="12">
        <f t="shared" si="93"/>
        <v>368.0918703720381</v>
      </c>
      <c r="F293" s="12">
        <f t="shared" si="93"/>
        <v>368.0918703720381</v>
      </c>
      <c r="G293" s="12">
        <f t="shared" si="93"/>
        <v>368.0918703720381</v>
      </c>
      <c r="H293" s="12">
        <f t="shared" si="93"/>
        <v>368.0918703720381</v>
      </c>
      <c r="I293" s="12">
        <f t="shared" si="93"/>
        <v>368.0918703720381</v>
      </c>
      <c r="J293" s="12">
        <f t="shared" si="93"/>
        <v>368.0918703720381</v>
      </c>
      <c r="K293" s="12">
        <f t="shared" si="93"/>
        <v>368.0918703720381</v>
      </c>
      <c r="L293" s="12">
        <f t="shared" si="93"/>
        <v>368.0918703720381</v>
      </c>
      <c r="M293" s="12">
        <f t="shared" si="93"/>
        <v>3680.9187037204392</v>
      </c>
      <c r="N293" s="12">
        <f t="shared" si="93"/>
        <v>3680.9187037204392</v>
      </c>
    </row>
    <row r="294" spans="1:14" x14ac:dyDescent="0.2">
      <c r="A294" s="16"/>
      <c r="B294" s="57"/>
      <c r="C294" s="57"/>
      <c r="D294" s="57"/>
      <c r="E294" s="57"/>
      <c r="F294" s="57"/>
      <c r="G294" s="57"/>
      <c r="H294" s="57"/>
      <c r="I294" s="57"/>
      <c r="J294" s="57"/>
      <c r="K294" s="57"/>
      <c r="L294" s="57"/>
      <c r="M294" s="57"/>
      <c r="N294" s="207"/>
    </row>
    <row r="295" spans="1:14" ht="16.5" thickBot="1" x14ac:dyDescent="0.3">
      <c r="A295" s="1054" t="s">
        <v>123</v>
      </c>
      <c r="B295" s="1055"/>
      <c r="C295" s="1055"/>
      <c r="D295" s="1055"/>
      <c r="E295" s="1055"/>
      <c r="F295" s="1055"/>
      <c r="G295" s="1055"/>
      <c r="H295" s="1055"/>
      <c r="I295" s="1055"/>
      <c r="J295" s="1055"/>
      <c r="K295" s="1055"/>
      <c r="L295" s="458"/>
      <c r="M295" s="458"/>
      <c r="N295" s="459"/>
    </row>
    <row r="296" spans="1:14" ht="13.5" thickBot="1" x14ac:dyDescent="0.25">
      <c r="A296" s="217"/>
      <c r="B296" s="218" t="s">
        <v>125</v>
      </c>
      <c r="C296" s="219" t="s">
        <v>126</v>
      </c>
      <c r="D296" s="219" t="s">
        <v>127</v>
      </c>
      <c r="E296" s="219" t="s">
        <v>128</v>
      </c>
      <c r="F296" s="219" t="s">
        <v>129</v>
      </c>
      <c r="G296" s="219" t="s">
        <v>130</v>
      </c>
      <c r="H296" s="219" t="s">
        <v>131</v>
      </c>
      <c r="I296" s="219" t="s">
        <v>132</v>
      </c>
      <c r="J296" s="219" t="s">
        <v>133</v>
      </c>
      <c r="K296" s="219" t="s">
        <v>134</v>
      </c>
      <c r="L296" s="219" t="s">
        <v>135</v>
      </c>
      <c r="M296" s="219" t="s">
        <v>136</v>
      </c>
      <c r="N296" s="220" t="s">
        <v>137</v>
      </c>
    </row>
    <row r="297" spans="1:14" x14ac:dyDescent="0.2">
      <c r="A297" s="255" t="s">
        <v>1228</v>
      </c>
      <c r="B297" s="229"/>
      <c r="C297" s="233"/>
      <c r="D297" s="233"/>
      <c r="E297" s="233"/>
      <c r="F297" s="233"/>
      <c r="G297" s="233"/>
      <c r="H297" s="233"/>
      <c r="I297" s="233"/>
      <c r="J297" s="233"/>
      <c r="K297" s="233"/>
      <c r="L297" s="233"/>
      <c r="M297" s="233"/>
      <c r="N297" s="256"/>
    </row>
    <row r="298" spans="1:14" x14ac:dyDescent="0.2">
      <c r="A298" s="257" t="s">
        <v>139</v>
      </c>
      <c r="B298" s="234"/>
      <c r="C298" s="225">
        <f>+R43</f>
        <v>181</v>
      </c>
      <c r="D298" s="225">
        <f t="shared" ref="D298:L298" si="94">C298</f>
        <v>181</v>
      </c>
      <c r="E298" s="225">
        <f t="shared" si="94"/>
        <v>181</v>
      </c>
      <c r="F298" s="225">
        <f t="shared" si="94"/>
        <v>181</v>
      </c>
      <c r="G298" s="225">
        <f t="shared" si="94"/>
        <v>181</v>
      </c>
      <c r="H298" s="225">
        <f t="shared" si="94"/>
        <v>181</v>
      </c>
      <c r="I298" s="225">
        <f t="shared" si="94"/>
        <v>181</v>
      </c>
      <c r="J298" s="225">
        <f t="shared" si="94"/>
        <v>181</v>
      </c>
      <c r="K298" s="225">
        <f t="shared" si="94"/>
        <v>181</v>
      </c>
      <c r="L298" s="225">
        <f t="shared" si="94"/>
        <v>181</v>
      </c>
      <c r="M298" s="225">
        <f>L298*10</f>
        <v>1810</v>
      </c>
      <c r="N298" s="226">
        <f>M298</f>
        <v>1810</v>
      </c>
    </row>
    <row r="299" spans="1:14" x14ac:dyDescent="0.2">
      <c r="A299" s="257" t="s">
        <v>138</v>
      </c>
      <c r="B299" s="234"/>
      <c r="C299" s="225">
        <f>SUM(C300:C303)</f>
        <v>67.231023042769209</v>
      </c>
      <c r="D299" s="225">
        <f t="shared" ref="D299:N299" si="95">SUM(D300:D303)</f>
        <v>67.231023042769209</v>
      </c>
      <c r="E299" s="225">
        <f t="shared" si="95"/>
        <v>67.231023042769209</v>
      </c>
      <c r="F299" s="225">
        <f t="shared" si="95"/>
        <v>67.231023042769209</v>
      </c>
      <c r="G299" s="225">
        <f t="shared" si="95"/>
        <v>67.231023042769209</v>
      </c>
      <c r="H299" s="225">
        <f t="shared" si="95"/>
        <v>67.231023042769209</v>
      </c>
      <c r="I299" s="225">
        <f t="shared" si="95"/>
        <v>67.231023042769209</v>
      </c>
      <c r="J299" s="225">
        <f t="shared" si="95"/>
        <v>67.231023042769209</v>
      </c>
      <c r="K299" s="225">
        <f t="shared" si="95"/>
        <v>67.231023042769209</v>
      </c>
      <c r="L299" s="225">
        <f t="shared" si="95"/>
        <v>67.231023042769209</v>
      </c>
      <c r="M299" s="225">
        <f t="shared" si="95"/>
        <v>67.231023042769209</v>
      </c>
      <c r="N299" s="226">
        <f t="shared" si="95"/>
        <v>67.231023042769209</v>
      </c>
    </row>
    <row r="300" spans="1:14" x14ac:dyDescent="0.2">
      <c r="A300" s="451" t="s">
        <v>1221</v>
      </c>
      <c r="B300" s="234"/>
      <c r="C300" s="369">
        <f>+Y27</f>
        <v>3.623491913298043</v>
      </c>
      <c r="D300" s="225">
        <f>+C300*Assumptions!F$22</f>
        <v>3.623491913298043</v>
      </c>
      <c r="E300" s="225">
        <f>+D300*Assumptions!G$22</f>
        <v>3.623491913298043</v>
      </c>
      <c r="F300" s="225">
        <f>+E300*Assumptions!H$22</f>
        <v>3.623491913298043</v>
      </c>
      <c r="G300" s="225">
        <f>+F300*Assumptions!I$22</f>
        <v>3.623491913298043</v>
      </c>
      <c r="H300" s="225">
        <f>+G300*Assumptions!J$22</f>
        <v>3.623491913298043</v>
      </c>
      <c r="I300" s="225">
        <f>+H300*Assumptions!K$22</f>
        <v>3.623491913298043</v>
      </c>
      <c r="J300" s="225">
        <f>+I300*Assumptions!L$22</f>
        <v>3.623491913298043</v>
      </c>
      <c r="K300" s="225">
        <f>+J300*Assumptions!M$22</f>
        <v>3.623491913298043</v>
      </c>
      <c r="L300" s="225">
        <f>+K300*Assumptions!N$22</f>
        <v>3.623491913298043</v>
      </c>
      <c r="M300" s="225">
        <f>+L300*Assumptions!O$22</f>
        <v>3.623491913298043</v>
      </c>
      <c r="N300" s="226">
        <f>+M300*Assumptions!P$22</f>
        <v>3.623491913298043</v>
      </c>
    </row>
    <row r="301" spans="1:14" x14ac:dyDescent="0.2">
      <c r="A301" s="451" t="s">
        <v>1222</v>
      </c>
      <c r="B301" s="234"/>
      <c r="C301" s="370">
        <f>+Z27</f>
        <v>0</v>
      </c>
      <c r="D301" s="225">
        <f>+C301*Assumptions!F$22</f>
        <v>0</v>
      </c>
      <c r="E301" s="225">
        <f>+D301*Assumptions!G$22</f>
        <v>0</v>
      </c>
      <c r="F301" s="225">
        <f>+E301*Assumptions!H$22</f>
        <v>0</v>
      </c>
      <c r="G301" s="225">
        <f>+F301*Assumptions!I$22</f>
        <v>0</v>
      </c>
      <c r="H301" s="225">
        <f>+G301*Assumptions!J$22</f>
        <v>0</v>
      </c>
      <c r="I301" s="225">
        <f>+H301*Assumptions!K$22</f>
        <v>0</v>
      </c>
      <c r="J301" s="225">
        <f>+I301*Assumptions!L$22</f>
        <v>0</v>
      </c>
      <c r="K301" s="225">
        <f>+J301*Assumptions!M$22</f>
        <v>0</v>
      </c>
      <c r="L301" s="225">
        <f>+K301*Assumptions!N$22</f>
        <v>0</v>
      </c>
      <c r="M301" s="225">
        <f>+L301*Assumptions!O$22</f>
        <v>0</v>
      </c>
      <c r="N301" s="226">
        <f>+M301*Assumptions!P$22</f>
        <v>0</v>
      </c>
    </row>
    <row r="302" spans="1:14" x14ac:dyDescent="0.2">
      <c r="A302" s="451" t="s">
        <v>1225</v>
      </c>
      <c r="B302" s="234"/>
      <c r="C302" s="370">
        <f>+AA27</f>
        <v>15.917229107612346</v>
      </c>
      <c r="D302" s="225">
        <f>+C302*Assumptions!F$22</f>
        <v>15.917229107612346</v>
      </c>
      <c r="E302" s="225">
        <f>+D302*Assumptions!G$22</f>
        <v>15.917229107612346</v>
      </c>
      <c r="F302" s="225">
        <f>+E302*Assumptions!H$22</f>
        <v>15.917229107612346</v>
      </c>
      <c r="G302" s="225">
        <f>+F302*Assumptions!I$22</f>
        <v>15.917229107612346</v>
      </c>
      <c r="H302" s="225">
        <f>+G302*Assumptions!J$22</f>
        <v>15.917229107612346</v>
      </c>
      <c r="I302" s="225">
        <f>+H302*Assumptions!K$22</f>
        <v>15.917229107612346</v>
      </c>
      <c r="J302" s="225">
        <f>+I302*Assumptions!L$22</f>
        <v>15.917229107612346</v>
      </c>
      <c r="K302" s="225">
        <f>+J302*Assumptions!M$22</f>
        <v>15.917229107612346</v>
      </c>
      <c r="L302" s="225">
        <f>+K302*Assumptions!N$22</f>
        <v>15.917229107612346</v>
      </c>
      <c r="M302" s="225">
        <f>+L302*Assumptions!O$22</f>
        <v>15.917229107612346</v>
      </c>
      <c r="N302" s="226">
        <f>+M302*Assumptions!P$22</f>
        <v>15.917229107612346</v>
      </c>
    </row>
    <row r="303" spans="1:14" x14ac:dyDescent="0.2">
      <c r="A303" s="451" t="s">
        <v>1199</v>
      </c>
      <c r="B303" s="234"/>
      <c r="C303" s="370">
        <f>+AB27</f>
        <v>47.69030202185882</v>
      </c>
      <c r="D303" s="225">
        <f>+C303*Assumptions!F$22</f>
        <v>47.69030202185882</v>
      </c>
      <c r="E303" s="225">
        <f>+D303*Assumptions!G$22</f>
        <v>47.69030202185882</v>
      </c>
      <c r="F303" s="225">
        <f>+E303*Assumptions!H$22</f>
        <v>47.69030202185882</v>
      </c>
      <c r="G303" s="225">
        <f>+F303*Assumptions!I$22</f>
        <v>47.69030202185882</v>
      </c>
      <c r="H303" s="225">
        <f>+G303*Assumptions!J$22</f>
        <v>47.69030202185882</v>
      </c>
      <c r="I303" s="225">
        <f>+H303*Assumptions!K$22</f>
        <v>47.69030202185882</v>
      </c>
      <c r="J303" s="225">
        <f>+I303*Assumptions!L$22</f>
        <v>47.69030202185882</v>
      </c>
      <c r="K303" s="225">
        <f>+J303*Assumptions!M$22</f>
        <v>47.69030202185882</v>
      </c>
      <c r="L303" s="225">
        <f>+K303*Assumptions!N$22</f>
        <v>47.69030202185882</v>
      </c>
      <c r="M303" s="225">
        <f>+L303*Assumptions!O$22</f>
        <v>47.69030202185882</v>
      </c>
      <c r="N303" s="226">
        <f>+M303*Assumptions!P$22</f>
        <v>47.69030202185882</v>
      </c>
    </row>
    <row r="304" spans="1:14" x14ac:dyDescent="0.2">
      <c r="A304" s="257" t="s">
        <v>140</v>
      </c>
      <c r="B304" s="234"/>
      <c r="C304" s="239">
        <f>((C305*C300)+(C306*C301)+(C302*C307)+(C303*C308))/SUM(C300:C303)</f>
        <v>13.274663279515931</v>
      </c>
      <c r="D304" s="239">
        <f t="shared" ref="D304:N305" si="96">C304</f>
        <v>13.274663279515931</v>
      </c>
      <c r="E304" s="239">
        <f t="shared" si="96"/>
        <v>13.274663279515931</v>
      </c>
      <c r="F304" s="239">
        <f t="shared" si="96"/>
        <v>13.274663279515931</v>
      </c>
      <c r="G304" s="239">
        <f t="shared" si="96"/>
        <v>13.274663279515931</v>
      </c>
      <c r="H304" s="239">
        <f t="shared" si="96"/>
        <v>13.274663279515931</v>
      </c>
      <c r="I304" s="239">
        <f t="shared" si="96"/>
        <v>13.274663279515931</v>
      </c>
      <c r="J304" s="239">
        <f t="shared" si="96"/>
        <v>13.274663279515931</v>
      </c>
      <c r="K304" s="239">
        <f t="shared" si="96"/>
        <v>13.274663279515931</v>
      </c>
      <c r="L304" s="239">
        <f t="shared" si="96"/>
        <v>13.274663279515931</v>
      </c>
      <c r="M304" s="239">
        <f t="shared" si="96"/>
        <v>13.274663279515931</v>
      </c>
      <c r="N304" s="260">
        <f t="shared" si="96"/>
        <v>13.274663279515931</v>
      </c>
    </row>
    <row r="305" spans="1:14" x14ac:dyDescent="0.2">
      <c r="A305" s="451" t="s">
        <v>1221</v>
      </c>
      <c r="B305" s="236"/>
      <c r="C305" s="371">
        <f>+$R$10</f>
        <v>52.122314049586777</v>
      </c>
      <c r="D305" s="237">
        <f t="shared" ref="D305:K308" si="97">C305</f>
        <v>52.122314049586777</v>
      </c>
      <c r="E305" s="237">
        <f t="shared" si="97"/>
        <v>52.122314049586777</v>
      </c>
      <c r="F305" s="237">
        <f t="shared" si="97"/>
        <v>52.122314049586777</v>
      </c>
      <c r="G305" s="237">
        <f t="shared" si="97"/>
        <v>52.122314049586777</v>
      </c>
      <c r="H305" s="237">
        <f t="shared" si="97"/>
        <v>52.122314049586777</v>
      </c>
      <c r="I305" s="237">
        <f t="shared" si="97"/>
        <v>52.122314049586777</v>
      </c>
      <c r="J305" s="237">
        <f t="shared" si="97"/>
        <v>52.122314049586777</v>
      </c>
      <c r="K305" s="237">
        <f t="shared" si="97"/>
        <v>52.122314049586777</v>
      </c>
      <c r="L305" s="237">
        <f t="shared" si="96"/>
        <v>52.122314049586777</v>
      </c>
      <c r="M305" s="237">
        <f t="shared" si="96"/>
        <v>52.122314049586777</v>
      </c>
      <c r="N305" s="237">
        <f t="shared" si="96"/>
        <v>52.122314049586777</v>
      </c>
    </row>
    <row r="306" spans="1:14" x14ac:dyDescent="0.2">
      <c r="A306" s="451" t="s">
        <v>1222</v>
      </c>
      <c r="B306" s="236"/>
      <c r="C306" s="371">
        <f>+$S$10</f>
        <v>77.720967741935482</v>
      </c>
      <c r="D306" s="237">
        <f t="shared" si="97"/>
        <v>77.720967741935482</v>
      </c>
      <c r="E306" s="237">
        <f t="shared" si="97"/>
        <v>77.720967741935482</v>
      </c>
      <c r="F306" s="237">
        <f t="shared" si="97"/>
        <v>77.720967741935482</v>
      </c>
      <c r="G306" s="237">
        <f t="shared" si="97"/>
        <v>77.720967741935482</v>
      </c>
      <c r="H306" s="237">
        <f t="shared" si="97"/>
        <v>77.720967741935482</v>
      </c>
      <c r="I306" s="237">
        <f t="shared" si="97"/>
        <v>77.720967741935482</v>
      </c>
      <c r="J306" s="237">
        <f t="shared" si="97"/>
        <v>77.720967741935482</v>
      </c>
      <c r="K306" s="237">
        <f t="shared" si="97"/>
        <v>77.720967741935482</v>
      </c>
      <c r="L306" s="237">
        <f t="shared" ref="L306:N308" si="98">K306</f>
        <v>77.720967741935482</v>
      </c>
      <c r="M306" s="237">
        <f t="shared" si="98"/>
        <v>77.720967741935482</v>
      </c>
      <c r="N306" s="258">
        <f t="shared" si="98"/>
        <v>77.720967741935482</v>
      </c>
    </row>
    <row r="307" spans="1:14" x14ac:dyDescent="0.2">
      <c r="A307" s="451" t="s">
        <v>1225</v>
      </c>
      <c r="B307" s="236"/>
      <c r="C307" s="371">
        <f>+$T$8</f>
        <v>34.535821661655788</v>
      </c>
      <c r="D307" s="237">
        <f t="shared" si="97"/>
        <v>34.535821661655788</v>
      </c>
      <c r="E307" s="237">
        <f t="shared" si="97"/>
        <v>34.535821661655788</v>
      </c>
      <c r="F307" s="237">
        <f t="shared" si="97"/>
        <v>34.535821661655788</v>
      </c>
      <c r="G307" s="237">
        <f t="shared" si="97"/>
        <v>34.535821661655788</v>
      </c>
      <c r="H307" s="237">
        <f t="shared" si="97"/>
        <v>34.535821661655788</v>
      </c>
      <c r="I307" s="237">
        <f t="shared" si="97"/>
        <v>34.535821661655788</v>
      </c>
      <c r="J307" s="237">
        <f t="shared" si="97"/>
        <v>34.535821661655788</v>
      </c>
      <c r="K307" s="237">
        <f t="shared" si="97"/>
        <v>34.535821661655788</v>
      </c>
      <c r="L307" s="237">
        <f t="shared" si="98"/>
        <v>34.535821661655788</v>
      </c>
      <c r="M307" s="237">
        <f t="shared" si="98"/>
        <v>34.535821661655788</v>
      </c>
      <c r="N307" s="258">
        <f t="shared" si="98"/>
        <v>34.535821661655788</v>
      </c>
    </row>
    <row r="308" spans="1:14" ht="13.5" thickBot="1" x14ac:dyDescent="0.25">
      <c r="A308" s="451" t="s">
        <v>1199</v>
      </c>
      <c r="B308" s="236"/>
      <c r="C308" s="371">
        <f>+$U$10</f>
        <v>3.2268578104271035</v>
      </c>
      <c r="D308" s="237">
        <f t="shared" si="97"/>
        <v>3.2268578104271035</v>
      </c>
      <c r="E308" s="237">
        <f t="shared" si="97"/>
        <v>3.2268578104271035</v>
      </c>
      <c r="F308" s="237">
        <f t="shared" si="97"/>
        <v>3.2268578104271035</v>
      </c>
      <c r="G308" s="237">
        <f t="shared" si="97"/>
        <v>3.2268578104271035</v>
      </c>
      <c r="H308" s="237">
        <f t="shared" si="97"/>
        <v>3.2268578104271035</v>
      </c>
      <c r="I308" s="237">
        <f t="shared" si="97"/>
        <v>3.2268578104271035</v>
      </c>
      <c r="J308" s="237">
        <f t="shared" si="97"/>
        <v>3.2268578104271035</v>
      </c>
      <c r="K308" s="237">
        <f t="shared" si="97"/>
        <v>3.2268578104271035</v>
      </c>
      <c r="L308" s="237">
        <f t="shared" si="98"/>
        <v>3.2268578104271035</v>
      </c>
      <c r="M308" s="237">
        <f t="shared" si="98"/>
        <v>3.2268578104271035</v>
      </c>
      <c r="N308" s="258">
        <f t="shared" si="98"/>
        <v>3.2268578104271035</v>
      </c>
    </row>
    <row r="309" spans="1:14" ht="13.5" thickBot="1" x14ac:dyDescent="0.25">
      <c r="A309" s="221" t="s">
        <v>141</v>
      </c>
      <c r="B309" s="15"/>
      <c r="C309" s="15">
        <f>((C308*C303)+(C307*C302)+(C306*C301)+(C300*C305))*C298</f>
        <v>161536.92390225493</v>
      </c>
      <c r="D309" s="15">
        <f t="shared" ref="D309:L309" si="99">((D308*D303)+(D307*D302)+(D306*D301)+(D300*D305))*D298</f>
        <v>161536.92390225493</v>
      </c>
      <c r="E309" s="15">
        <f t="shared" si="99"/>
        <v>161536.92390225493</v>
      </c>
      <c r="F309" s="15">
        <f t="shared" si="99"/>
        <v>161536.92390225493</v>
      </c>
      <c r="G309" s="15">
        <f t="shared" si="99"/>
        <v>161536.92390225493</v>
      </c>
      <c r="H309" s="15">
        <f t="shared" si="99"/>
        <v>161536.92390225493</v>
      </c>
      <c r="I309" s="15">
        <f t="shared" si="99"/>
        <v>161536.92390225493</v>
      </c>
      <c r="J309" s="15">
        <f t="shared" si="99"/>
        <v>161536.92390225493</v>
      </c>
      <c r="K309" s="15">
        <f t="shared" si="99"/>
        <v>161536.92390225493</v>
      </c>
      <c r="L309" s="15">
        <f t="shared" si="99"/>
        <v>161536.92390225493</v>
      </c>
      <c r="M309" s="15">
        <f>+L309*10</f>
        <v>1615369.2390225492</v>
      </c>
      <c r="N309" s="177">
        <f>+M309</f>
        <v>1615369.2390225492</v>
      </c>
    </row>
    <row r="310" spans="1:14" ht="13.5" thickBot="1" x14ac:dyDescent="0.25">
      <c r="A310" s="16" t="s">
        <v>1227</v>
      </c>
      <c r="B310" s="40"/>
      <c r="C310" s="442">
        <f>+'Boat Costs'!L13</f>
        <v>275775.41205787775</v>
      </c>
      <c r="D310" s="443">
        <f>+C310</f>
        <v>275775.41205787775</v>
      </c>
      <c r="E310" s="443">
        <f t="shared" ref="E310:L310" si="100">+D310</f>
        <v>275775.41205787775</v>
      </c>
      <c r="F310" s="443">
        <f t="shared" si="100"/>
        <v>275775.41205787775</v>
      </c>
      <c r="G310" s="443">
        <f t="shared" si="100"/>
        <v>275775.41205787775</v>
      </c>
      <c r="H310" s="443">
        <f t="shared" si="100"/>
        <v>275775.41205787775</v>
      </c>
      <c r="I310" s="443">
        <f t="shared" si="100"/>
        <v>275775.41205787775</v>
      </c>
      <c r="J310" s="443">
        <f t="shared" si="100"/>
        <v>275775.41205787775</v>
      </c>
      <c r="K310" s="443">
        <f t="shared" si="100"/>
        <v>275775.41205787775</v>
      </c>
      <c r="L310" s="443">
        <f t="shared" si="100"/>
        <v>275775.41205787775</v>
      </c>
      <c r="M310" s="443">
        <f>+L310*10</f>
        <v>2757754.1205787775</v>
      </c>
      <c r="N310" s="461">
        <f>+M310</f>
        <v>2757754.1205787775</v>
      </c>
    </row>
    <row r="311" spans="1:14" ht="16.5" thickBot="1" x14ac:dyDescent="0.3">
      <c r="A311" s="1056" t="s">
        <v>124</v>
      </c>
      <c r="B311" s="1057"/>
      <c r="C311" s="1057"/>
      <c r="D311" s="1057"/>
      <c r="E311" s="1057"/>
      <c r="F311" s="1057"/>
      <c r="G311" s="1057"/>
      <c r="H311" s="1057"/>
      <c r="I311" s="1057"/>
      <c r="J311" s="1057"/>
      <c r="K311" s="1057"/>
      <c r="L311" s="215"/>
      <c r="M311" s="215"/>
      <c r="N311" s="216"/>
    </row>
    <row r="312" spans="1:14" ht="13.5" thickBot="1" x14ac:dyDescent="0.25">
      <c r="A312" s="217"/>
      <c r="B312" s="218" t="s">
        <v>125</v>
      </c>
      <c r="C312" s="219" t="s">
        <v>126</v>
      </c>
      <c r="D312" s="219" t="s">
        <v>127</v>
      </c>
      <c r="E312" s="219" t="s">
        <v>128</v>
      </c>
      <c r="F312" s="219" t="s">
        <v>129</v>
      </c>
      <c r="G312" s="219" t="s">
        <v>130</v>
      </c>
      <c r="H312" s="219" t="s">
        <v>131</v>
      </c>
      <c r="I312" s="219" t="s">
        <v>132</v>
      </c>
      <c r="J312" s="219" t="s">
        <v>133</v>
      </c>
      <c r="K312" s="219" t="s">
        <v>134</v>
      </c>
      <c r="L312" s="219" t="s">
        <v>135</v>
      </c>
      <c r="M312" s="219" t="s">
        <v>136</v>
      </c>
      <c r="N312" s="220" t="s">
        <v>137</v>
      </c>
    </row>
    <row r="313" spans="1:14" x14ac:dyDescent="0.2">
      <c r="A313" s="255" t="s">
        <v>1228</v>
      </c>
      <c r="B313" s="229"/>
      <c r="C313" s="233"/>
      <c r="D313" s="233"/>
      <c r="E313" s="233"/>
      <c r="F313" s="233"/>
      <c r="G313" s="233"/>
      <c r="H313" s="233"/>
      <c r="I313" s="233"/>
      <c r="J313" s="233"/>
      <c r="K313" s="233"/>
      <c r="L313" s="233"/>
      <c r="M313" s="233"/>
      <c r="N313" s="256"/>
    </row>
    <row r="314" spans="1:14" x14ac:dyDescent="0.2">
      <c r="A314" s="257" t="str">
        <f>A298</f>
        <v xml:space="preserve">  - Days</v>
      </c>
      <c r="B314" s="234"/>
      <c r="C314" s="225">
        <f>C298*(1+Assumptions!Q$6)</f>
        <v>190.05</v>
      </c>
      <c r="D314" s="225">
        <f t="shared" ref="D314:L314" si="101">C314</f>
        <v>190.05</v>
      </c>
      <c r="E314" s="225">
        <f t="shared" si="101"/>
        <v>190.05</v>
      </c>
      <c r="F314" s="225">
        <f t="shared" si="101"/>
        <v>190.05</v>
      </c>
      <c r="G314" s="225">
        <f t="shared" si="101"/>
        <v>190.05</v>
      </c>
      <c r="H314" s="225">
        <f t="shared" si="101"/>
        <v>190.05</v>
      </c>
      <c r="I314" s="225">
        <f t="shared" si="101"/>
        <v>190.05</v>
      </c>
      <c r="J314" s="225">
        <f t="shared" si="101"/>
        <v>190.05</v>
      </c>
      <c r="K314" s="225">
        <f t="shared" si="101"/>
        <v>190.05</v>
      </c>
      <c r="L314" s="225">
        <f t="shared" si="101"/>
        <v>190.05</v>
      </c>
      <c r="M314" s="225">
        <f>L314*10</f>
        <v>1900.5</v>
      </c>
      <c r="N314" s="226">
        <f>M314</f>
        <v>1900.5</v>
      </c>
    </row>
    <row r="315" spans="1:14" x14ac:dyDescent="0.2">
      <c r="A315" s="257" t="str">
        <f>A299</f>
        <v xml:space="preserve">  - Catch per boat trip in kg </v>
      </c>
      <c r="B315" s="234"/>
      <c r="C315" s="477">
        <f>+C299*(1+(Assumptions!$Q$8+Assumptions!B$30))</f>
        <v>67.231023042769209</v>
      </c>
      <c r="D315" s="477">
        <f>+D299*(1+(Assumptions!$Q$8+Assumptions!C$30))</f>
        <v>67.231023042769209</v>
      </c>
      <c r="E315" s="477">
        <f>+E299*(1+(Assumptions!$Q$8+Assumptions!D$30))</f>
        <v>67.231023042769209</v>
      </c>
      <c r="F315" s="477">
        <f>+F299*(1+(Assumptions!$Q$8+Assumptions!E$30))</f>
        <v>67.231023042769209</v>
      </c>
      <c r="G315" s="477">
        <f>+G299*(1+(Assumptions!$Q$8+Assumptions!F$30))</f>
        <v>67.231023042769209</v>
      </c>
      <c r="H315" s="477">
        <f>+H299*(1+(Assumptions!$Q$8+Assumptions!G$30))</f>
        <v>67.231023042769209</v>
      </c>
      <c r="I315" s="477">
        <f>+I299*(1+(Assumptions!$Q$8+Assumptions!H$30))</f>
        <v>67.231023042769209</v>
      </c>
      <c r="J315" s="477">
        <f>+J299*(1+(Assumptions!$Q$8+Assumptions!I$30))</f>
        <v>67.231023042769209</v>
      </c>
      <c r="K315" s="477">
        <f>+K299*(1+(Assumptions!$Q$8+Assumptions!J$30))</f>
        <v>67.231023042769209</v>
      </c>
      <c r="L315" s="477">
        <f>+L299*(1+(Assumptions!$Q$8+Assumptions!K$30))</f>
        <v>67.231023042769209</v>
      </c>
      <c r="M315" s="477">
        <f>+M299*(1+(Assumptions!$Q$8+Assumptions!L$30))</f>
        <v>67.231023042769209</v>
      </c>
      <c r="N315" s="477">
        <f>+N299*(1+(Assumptions!$Q$8+Assumptions!M$30))</f>
        <v>67.231023042769209</v>
      </c>
    </row>
    <row r="316" spans="1:14" x14ac:dyDescent="0.2">
      <c r="A316" s="451" t="s">
        <v>1221</v>
      </c>
      <c r="B316" s="234"/>
      <c r="C316" s="238"/>
      <c r="D316" s="225"/>
      <c r="E316" s="225"/>
      <c r="F316" s="225"/>
      <c r="G316" s="225"/>
      <c r="H316" s="225"/>
      <c r="I316" s="225"/>
      <c r="J316" s="225"/>
      <c r="K316" s="225"/>
      <c r="L316" s="225"/>
      <c r="M316" s="225"/>
      <c r="N316" s="226"/>
    </row>
    <row r="317" spans="1:14" x14ac:dyDescent="0.2">
      <c r="A317" s="451" t="s">
        <v>1222</v>
      </c>
      <c r="B317" s="234"/>
      <c r="C317" s="238"/>
      <c r="D317" s="238"/>
      <c r="E317" s="238"/>
      <c r="F317" s="238"/>
      <c r="G317" s="238"/>
      <c r="H317" s="238"/>
      <c r="I317" s="238"/>
      <c r="J317" s="238"/>
      <c r="K317" s="238"/>
      <c r="L317" s="238"/>
      <c r="M317" s="238"/>
      <c r="N317" s="259"/>
    </row>
    <row r="318" spans="1:14" x14ac:dyDescent="0.2">
      <c r="A318" s="451" t="s">
        <v>1225</v>
      </c>
      <c r="B318" s="234"/>
      <c r="C318" s="238"/>
      <c r="D318" s="238"/>
      <c r="E318" s="238"/>
      <c r="F318" s="238"/>
      <c r="G318" s="238"/>
      <c r="H318" s="238"/>
      <c r="I318" s="238"/>
      <c r="J318" s="238"/>
      <c r="K318" s="238"/>
      <c r="L318" s="238"/>
      <c r="M318" s="238"/>
      <c r="N318" s="259"/>
    </row>
    <row r="319" spans="1:14" x14ac:dyDescent="0.2">
      <c r="A319" s="451" t="s">
        <v>1199</v>
      </c>
      <c r="B319" s="234"/>
      <c r="C319" s="238"/>
      <c r="D319" s="238"/>
      <c r="E319" s="238"/>
      <c r="F319" s="238"/>
      <c r="G319" s="238"/>
      <c r="H319" s="238"/>
      <c r="I319" s="238"/>
      <c r="J319" s="238"/>
      <c r="K319" s="238"/>
      <c r="L319" s="238"/>
      <c r="M319" s="238"/>
      <c r="N319" s="259"/>
    </row>
    <row r="320" spans="1:14" x14ac:dyDescent="0.2">
      <c r="A320" s="257" t="str">
        <f>A304</f>
        <v xml:space="preserve">  - Average price of sales in dh/kg</v>
      </c>
      <c r="B320" s="234"/>
      <c r="C320" s="239">
        <f>+C304*(1+(Assumptions!$Q$7))</f>
        <v>13.54015654510625</v>
      </c>
      <c r="D320" s="239">
        <f>+D304*(1+(Assumptions!$Q$7))</f>
        <v>13.54015654510625</v>
      </c>
      <c r="E320" s="239">
        <f>+E304*(1+(Assumptions!$Q$7))</f>
        <v>13.54015654510625</v>
      </c>
      <c r="F320" s="239">
        <f>+F304*(1+(Assumptions!$Q$7))</f>
        <v>13.54015654510625</v>
      </c>
      <c r="G320" s="239">
        <f>+G304*(1+(Assumptions!$Q$7))</f>
        <v>13.54015654510625</v>
      </c>
      <c r="H320" s="239">
        <f>+H304*(1+(Assumptions!$Q$7))</f>
        <v>13.54015654510625</v>
      </c>
      <c r="I320" s="239">
        <f>+I304*(1+(Assumptions!$Q$7))</f>
        <v>13.54015654510625</v>
      </c>
      <c r="J320" s="239">
        <f>+J304*(1+(Assumptions!$Q$7))</f>
        <v>13.54015654510625</v>
      </c>
      <c r="K320" s="239">
        <f>+K304*(1+(Assumptions!$Q$7))</f>
        <v>13.54015654510625</v>
      </c>
      <c r="L320" s="239">
        <f>+L304*(1+(Assumptions!$Q$7))</f>
        <v>13.54015654510625</v>
      </c>
      <c r="M320" s="239">
        <f>+M304*(1+(Assumptions!$Q$7))</f>
        <v>13.54015654510625</v>
      </c>
      <c r="N320" s="239">
        <f>+N304*(1+(Assumptions!$Q$7))</f>
        <v>13.54015654510625</v>
      </c>
    </row>
    <row r="321" spans="1:14" x14ac:dyDescent="0.2">
      <c r="A321" s="451" t="s">
        <v>1221</v>
      </c>
      <c r="B321" s="236"/>
      <c r="C321" s="237"/>
      <c r="D321" s="237"/>
      <c r="E321" s="237"/>
      <c r="F321" s="237"/>
      <c r="G321" s="237"/>
      <c r="H321" s="237"/>
      <c r="I321" s="237"/>
      <c r="J321" s="237"/>
      <c r="K321" s="237"/>
      <c r="L321" s="237"/>
      <c r="M321" s="237"/>
      <c r="N321" s="258"/>
    </row>
    <row r="322" spans="1:14" x14ac:dyDescent="0.2">
      <c r="A322" s="451" t="s">
        <v>1222</v>
      </c>
      <c r="B322" s="236"/>
      <c r="C322" s="237"/>
      <c r="D322" s="237"/>
      <c r="E322" s="237"/>
      <c r="F322" s="237"/>
      <c r="G322" s="237"/>
      <c r="H322" s="237"/>
      <c r="I322" s="237"/>
      <c r="J322" s="237"/>
      <c r="K322" s="237"/>
      <c r="L322" s="237"/>
      <c r="M322" s="237"/>
      <c r="N322" s="258"/>
    </row>
    <row r="323" spans="1:14" x14ac:dyDescent="0.2">
      <c r="A323" s="451" t="s">
        <v>1225</v>
      </c>
      <c r="B323" s="236"/>
      <c r="C323" s="237"/>
      <c r="D323" s="237"/>
      <c r="E323" s="237"/>
      <c r="F323" s="237"/>
      <c r="G323" s="237"/>
      <c r="H323" s="237"/>
      <c r="I323" s="237"/>
      <c r="J323" s="237"/>
      <c r="K323" s="237"/>
      <c r="L323" s="237"/>
      <c r="M323" s="237"/>
      <c r="N323" s="258"/>
    </row>
    <row r="324" spans="1:14" ht="13.5" thickBot="1" x14ac:dyDescent="0.25">
      <c r="A324" s="451" t="s">
        <v>1199</v>
      </c>
      <c r="B324" s="236"/>
      <c r="C324" s="237"/>
      <c r="D324" s="237"/>
      <c r="E324" s="237"/>
      <c r="F324" s="237"/>
      <c r="G324" s="237"/>
      <c r="H324" s="237"/>
      <c r="I324" s="237"/>
      <c r="J324" s="237"/>
      <c r="K324" s="237"/>
      <c r="L324" s="237"/>
      <c r="M324" s="237"/>
      <c r="N324" s="258"/>
    </row>
    <row r="325" spans="1:14" x14ac:dyDescent="0.2">
      <c r="A325" s="230" t="s">
        <v>141</v>
      </c>
      <c r="B325" s="178"/>
      <c r="C325" s="178">
        <f>+C314*C315*C320</f>
        <v>173006.04549931508</v>
      </c>
      <c r="D325" s="178">
        <f t="shared" ref="D325:L325" si="102">+D314*D315*D320</f>
        <v>173006.04549931508</v>
      </c>
      <c r="E325" s="178">
        <f t="shared" si="102"/>
        <v>173006.04549931508</v>
      </c>
      <c r="F325" s="178">
        <f t="shared" si="102"/>
        <v>173006.04549931508</v>
      </c>
      <c r="G325" s="178">
        <f t="shared" si="102"/>
        <v>173006.04549931508</v>
      </c>
      <c r="H325" s="178">
        <f t="shared" si="102"/>
        <v>173006.04549931508</v>
      </c>
      <c r="I325" s="178">
        <f t="shared" si="102"/>
        <v>173006.04549931508</v>
      </c>
      <c r="J325" s="178">
        <f t="shared" si="102"/>
        <v>173006.04549931508</v>
      </c>
      <c r="K325" s="178">
        <f t="shared" si="102"/>
        <v>173006.04549931508</v>
      </c>
      <c r="L325" s="178">
        <f t="shared" si="102"/>
        <v>173006.04549931508</v>
      </c>
      <c r="M325" s="178">
        <f>+L325*10</f>
        <v>1730060.4549931507</v>
      </c>
      <c r="N325" s="179">
        <f>+M325</f>
        <v>1730060.4549931507</v>
      </c>
    </row>
    <row r="326" spans="1:14" x14ac:dyDescent="0.2">
      <c r="A326" s="453" t="s">
        <v>1227</v>
      </c>
      <c r="B326" s="212"/>
      <c r="C326" s="460">
        <f>+'Boat Costs'!L14</f>
        <v>286876.44178456586</v>
      </c>
      <c r="D326" s="456">
        <f>+C326</f>
        <v>286876.44178456586</v>
      </c>
      <c r="E326" s="456">
        <f t="shared" ref="E326:L326" si="103">+D326</f>
        <v>286876.44178456586</v>
      </c>
      <c r="F326" s="456">
        <f t="shared" si="103"/>
        <v>286876.44178456586</v>
      </c>
      <c r="G326" s="456">
        <f t="shared" si="103"/>
        <v>286876.44178456586</v>
      </c>
      <c r="H326" s="456">
        <f t="shared" si="103"/>
        <v>286876.44178456586</v>
      </c>
      <c r="I326" s="456">
        <f t="shared" si="103"/>
        <v>286876.44178456586</v>
      </c>
      <c r="J326" s="456">
        <f t="shared" si="103"/>
        <v>286876.44178456586</v>
      </c>
      <c r="K326" s="456">
        <f t="shared" si="103"/>
        <v>286876.44178456586</v>
      </c>
      <c r="L326" s="456">
        <f t="shared" si="103"/>
        <v>286876.44178456586</v>
      </c>
      <c r="M326" s="456">
        <f>+L326*10</f>
        <v>2868764.4178456585</v>
      </c>
      <c r="N326" s="457">
        <f>+M326</f>
        <v>2868764.4178456585</v>
      </c>
    </row>
    <row r="328" spans="1:14" ht="16.5" thickBot="1" x14ac:dyDescent="0.3">
      <c r="A328" s="373" t="s">
        <v>162</v>
      </c>
    </row>
    <row r="329" spans="1:14" ht="13.5" thickBot="1" x14ac:dyDescent="0.25">
      <c r="A329" s="232" t="s">
        <v>160</v>
      </c>
      <c r="B329" s="12"/>
      <c r="C329" s="12">
        <f>(C361-C362)-(C345-C346)</f>
        <v>-4311.6799129060819</v>
      </c>
      <c r="D329" s="12">
        <f t="shared" ref="D329:N329" si="104">(D361-D362)-(D345-D346)</f>
        <v>-4311.6799129060819</v>
      </c>
      <c r="E329" s="12">
        <f t="shared" si="104"/>
        <v>-4311.6799129060819</v>
      </c>
      <c r="F329" s="12">
        <f t="shared" si="104"/>
        <v>-4311.6799129060819</v>
      </c>
      <c r="G329" s="12">
        <f t="shared" si="104"/>
        <v>-4311.6799129060819</v>
      </c>
      <c r="H329" s="12">
        <f t="shared" si="104"/>
        <v>-4311.6799129060819</v>
      </c>
      <c r="I329" s="12">
        <f t="shared" si="104"/>
        <v>-4311.6799129060819</v>
      </c>
      <c r="J329" s="12">
        <f t="shared" si="104"/>
        <v>-4311.6799129060819</v>
      </c>
      <c r="K329" s="12">
        <f t="shared" si="104"/>
        <v>-4311.6799129060819</v>
      </c>
      <c r="L329" s="12">
        <f t="shared" si="104"/>
        <v>-4311.6799129060819</v>
      </c>
      <c r="M329" s="12">
        <f t="shared" si="104"/>
        <v>-43116.799129060702</v>
      </c>
      <c r="N329" s="12">
        <f t="shared" si="104"/>
        <v>-43116.799129060702</v>
      </c>
    </row>
    <row r="330" spans="1:14" x14ac:dyDescent="0.2">
      <c r="A330" s="16"/>
      <c r="B330" s="57"/>
      <c r="C330" s="57"/>
      <c r="D330" s="57"/>
      <c r="E330" s="57"/>
      <c r="F330" s="57"/>
      <c r="G330" s="57"/>
      <c r="H330" s="57"/>
      <c r="I330" s="57"/>
      <c r="J330" s="57"/>
      <c r="K330" s="57"/>
      <c r="L330" s="57"/>
      <c r="M330" s="57"/>
      <c r="N330" s="207"/>
    </row>
    <row r="331" spans="1:14" ht="16.5" thickBot="1" x14ac:dyDescent="0.3">
      <c r="A331" s="1054" t="s">
        <v>123</v>
      </c>
      <c r="B331" s="1055"/>
      <c r="C331" s="1055"/>
      <c r="D331" s="1055"/>
      <c r="E331" s="1055"/>
      <c r="F331" s="1055"/>
      <c r="G331" s="1055"/>
      <c r="H331" s="1055"/>
      <c r="I331" s="1055"/>
      <c r="J331" s="1055"/>
      <c r="K331" s="1055"/>
      <c r="L331" s="458"/>
      <c r="M331" s="458"/>
      <c r="N331" s="459"/>
    </row>
    <row r="332" spans="1:14" ht="13.5" thickBot="1" x14ac:dyDescent="0.25">
      <c r="A332" s="217"/>
      <c r="B332" s="218" t="s">
        <v>125</v>
      </c>
      <c r="C332" s="219" t="s">
        <v>126</v>
      </c>
      <c r="D332" s="219" t="s">
        <v>127</v>
      </c>
      <c r="E332" s="219" t="s">
        <v>128</v>
      </c>
      <c r="F332" s="219" t="s">
        <v>129</v>
      </c>
      <c r="G332" s="219" t="s">
        <v>130</v>
      </c>
      <c r="H332" s="219" t="s">
        <v>131</v>
      </c>
      <c r="I332" s="219" t="s">
        <v>132</v>
      </c>
      <c r="J332" s="219" t="s">
        <v>133</v>
      </c>
      <c r="K332" s="219" t="s">
        <v>134</v>
      </c>
      <c r="L332" s="219" t="s">
        <v>135</v>
      </c>
      <c r="M332" s="219" t="s">
        <v>136</v>
      </c>
      <c r="N332" s="220" t="s">
        <v>137</v>
      </c>
    </row>
    <row r="333" spans="1:14" x14ac:dyDescent="0.2">
      <c r="A333" s="255" t="s">
        <v>1228</v>
      </c>
      <c r="B333" s="229"/>
      <c r="C333" s="233"/>
      <c r="D333" s="233"/>
      <c r="E333" s="233"/>
      <c r="F333" s="233"/>
      <c r="G333" s="233"/>
      <c r="H333" s="233"/>
      <c r="I333" s="233"/>
      <c r="J333" s="233"/>
      <c r="K333" s="233"/>
      <c r="L333" s="233"/>
      <c r="M333" s="233"/>
      <c r="N333" s="256"/>
    </row>
    <row r="334" spans="1:14" x14ac:dyDescent="0.2">
      <c r="A334" s="257" t="s">
        <v>139</v>
      </c>
      <c r="B334" s="234"/>
      <c r="C334" s="225">
        <f>+R44</f>
        <v>192</v>
      </c>
      <c r="D334" s="225">
        <f t="shared" ref="D334:L334" si="105">C334</f>
        <v>192</v>
      </c>
      <c r="E334" s="225">
        <f t="shared" si="105"/>
        <v>192</v>
      </c>
      <c r="F334" s="225">
        <f t="shared" si="105"/>
        <v>192</v>
      </c>
      <c r="G334" s="225">
        <f t="shared" si="105"/>
        <v>192</v>
      </c>
      <c r="H334" s="225">
        <f t="shared" si="105"/>
        <v>192</v>
      </c>
      <c r="I334" s="225">
        <f t="shared" si="105"/>
        <v>192</v>
      </c>
      <c r="J334" s="225">
        <f t="shared" si="105"/>
        <v>192</v>
      </c>
      <c r="K334" s="225">
        <f t="shared" si="105"/>
        <v>192</v>
      </c>
      <c r="L334" s="225">
        <f t="shared" si="105"/>
        <v>192</v>
      </c>
      <c r="M334" s="225">
        <f>L334*10</f>
        <v>1920</v>
      </c>
      <c r="N334" s="226">
        <f>M334</f>
        <v>1920</v>
      </c>
    </row>
    <row r="335" spans="1:14" x14ac:dyDescent="0.2">
      <c r="A335" s="257" t="s">
        <v>138</v>
      </c>
      <c r="B335" s="234"/>
      <c r="C335" s="225">
        <f>SUM(C336:C339)</f>
        <v>26.356103776864881</v>
      </c>
      <c r="D335" s="225">
        <f t="shared" ref="D335:N335" si="106">SUM(D336:D339)</f>
        <v>26.356103776864881</v>
      </c>
      <c r="E335" s="225">
        <f t="shared" si="106"/>
        <v>26.356103776864881</v>
      </c>
      <c r="F335" s="225">
        <f t="shared" si="106"/>
        <v>26.356103776864881</v>
      </c>
      <c r="G335" s="225">
        <f t="shared" si="106"/>
        <v>26.356103776864881</v>
      </c>
      <c r="H335" s="225">
        <f t="shared" si="106"/>
        <v>26.356103776864881</v>
      </c>
      <c r="I335" s="225">
        <f t="shared" si="106"/>
        <v>26.356103776864881</v>
      </c>
      <c r="J335" s="225">
        <f t="shared" si="106"/>
        <v>26.356103776864881</v>
      </c>
      <c r="K335" s="225">
        <f t="shared" si="106"/>
        <v>26.356103776864881</v>
      </c>
      <c r="L335" s="225">
        <f t="shared" si="106"/>
        <v>26.356103776864881</v>
      </c>
      <c r="M335" s="225">
        <f t="shared" si="106"/>
        <v>26.356103776864881</v>
      </c>
      <c r="N335" s="226">
        <f t="shared" si="106"/>
        <v>26.356103776864881</v>
      </c>
    </row>
    <row r="336" spans="1:14" x14ac:dyDescent="0.2">
      <c r="A336" s="451" t="s">
        <v>1221</v>
      </c>
      <c r="B336" s="234"/>
      <c r="C336" s="369">
        <f>+Y28</f>
        <v>6.6355125985103873</v>
      </c>
      <c r="D336" s="225">
        <f>+C336*Assumptions!F$22</f>
        <v>6.6355125985103873</v>
      </c>
      <c r="E336" s="225">
        <f>+D336*Assumptions!G$22</f>
        <v>6.6355125985103873</v>
      </c>
      <c r="F336" s="225">
        <f>+E336*Assumptions!H$22</f>
        <v>6.6355125985103873</v>
      </c>
      <c r="G336" s="225">
        <f>+F336*Assumptions!I$22</f>
        <v>6.6355125985103873</v>
      </c>
      <c r="H336" s="225">
        <f>+G336*Assumptions!J$22</f>
        <v>6.6355125985103873</v>
      </c>
      <c r="I336" s="225">
        <f>+H336*Assumptions!K$22</f>
        <v>6.6355125985103873</v>
      </c>
      <c r="J336" s="225">
        <f>+I336*Assumptions!L$22</f>
        <v>6.6355125985103873</v>
      </c>
      <c r="K336" s="225">
        <f>+J336*Assumptions!M$22</f>
        <v>6.6355125985103873</v>
      </c>
      <c r="L336" s="225">
        <f>+K336*Assumptions!N$22</f>
        <v>6.6355125985103873</v>
      </c>
      <c r="M336" s="225">
        <f>+L336*Assumptions!O$22</f>
        <v>6.6355125985103873</v>
      </c>
      <c r="N336" s="226">
        <f>+M336*Assumptions!P$22</f>
        <v>6.6355125985103873</v>
      </c>
    </row>
    <row r="337" spans="1:14" x14ac:dyDescent="0.2">
      <c r="A337" s="451" t="s">
        <v>1222</v>
      </c>
      <c r="B337" s="234"/>
      <c r="C337" s="370">
        <f>+Z28</f>
        <v>0</v>
      </c>
      <c r="D337" s="225">
        <f>+C337*Assumptions!F$22</f>
        <v>0</v>
      </c>
      <c r="E337" s="225">
        <f>+D337*Assumptions!G$22</f>
        <v>0</v>
      </c>
      <c r="F337" s="225">
        <f>+E337*Assumptions!H$22</f>
        <v>0</v>
      </c>
      <c r="G337" s="225">
        <f>+F337*Assumptions!I$22</f>
        <v>0</v>
      </c>
      <c r="H337" s="225">
        <f>+G337*Assumptions!J$22</f>
        <v>0</v>
      </c>
      <c r="I337" s="225">
        <f>+H337*Assumptions!K$22</f>
        <v>0</v>
      </c>
      <c r="J337" s="225">
        <f>+I337*Assumptions!L$22</f>
        <v>0</v>
      </c>
      <c r="K337" s="225">
        <f>+J337*Assumptions!M$22</f>
        <v>0</v>
      </c>
      <c r="L337" s="225">
        <f>+K337*Assumptions!N$22</f>
        <v>0</v>
      </c>
      <c r="M337" s="225">
        <f>+L337*Assumptions!O$22</f>
        <v>0</v>
      </c>
      <c r="N337" s="226">
        <f>+M337*Assumptions!P$22</f>
        <v>0</v>
      </c>
    </row>
    <row r="338" spans="1:14" x14ac:dyDescent="0.2">
      <c r="A338" s="451" t="s">
        <v>1225</v>
      </c>
      <c r="B338" s="234"/>
      <c r="C338" s="370">
        <f>+AA28</f>
        <v>4.4090009539590511</v>
      </c>
      <c r="D338" s="225">
        <f>+C338*Assumptions!F$22</f>
        <v>4.4090009539590511</v>
      </c>
      <c r="E338" s="225">
        <f>+D338*Assumptions!G$22</f>
        <v>4.4090009539590511</v>
      </c>
      <c r="F338" s="225">
        <f>+E338*Assumptions!H$22</f>
        <v>4.4090009539590511</v>
      </c>
      <c r="G338" s="225">
        <f>+F338*Assumptions!I$22</f>
        <v>4.4090009539590511</v>
      </c>
      <c r="H338" s="225">
        <f>+G338*Assumptions!J$22</f>
        <v>4.4090009539590511</v>
      </c>
      <c r="I338" s="225">
        <f>+H338*Assumptions!K$22</f>
        <v>4.4090009539590511</v>
      </c>
      <c r="J338" s="225">
        <f>+I338*Assumptions!L$22</f>
        <v>4.4090009539590511</v>
      </c>
      <c r="K338" s="225">
        <f>+J338*Assumptions!M$22</f>
        <v>4.4090009539590511</v>
      </c>
      <c r="L338" s="225">
        <f>+K338*Assumptions!N$22</f>
        <v>4.4090009539590511</v>
      </c>
      <c r="M338" s="225">
        <f>+L338*Assumptions!O$22</f>
        <v>4.4090009539590511</v>
      </c>
      <c r="N338" s="226">
        <f>+M338*Assumptions!P$22</f>
        <v>4.4090009539590511</v>
      </c>
    </row>
    <row r="339" spans="1:14" x14ac:dyDescent="0.2">
      <c r="A339" s="451" t="s">
        <v>1199</v>
      </c>
      <c r="B339" s="234"/>
      <c r="C339" s="370">
        <f>+AB28</f>
        <v>15.311590224395442</v>
      </c>
      <c r="D339" s="225">
        <f>+C339*Assumptions!F$22</f>
        <v>15.311590224395442</v>
      </c>
      <c r="E339" s="225">
        <f>+D339*Assumptions!G$22</f>
        <v>15.311590224395442</v>
      </c>
      <c r="F339" s="225">
        <f>+E339*Assumptions!H$22</f>
        <v>15.311590224395442</v>
      </c>
      <c r="G339" s="225">
        <f>+F339*Assumptions!I$22</f>
        <v>15.311590224395442</v>
      </c>
      <c r="H339" s="225">
        <f>+G339*Assumptions!J$22</f>
        <v>15.311590224395442</v>
      </c>
      <c r="I339" s="225">
        <f>+H339*Assumptions!K$22</f>
        <v>15.311590224395442</v>
      </c>
      <c r="J339" s="225">
        <f>+I339*Assumptions!L$22</f>
        <v>15.311590224395442</v>
      </c>
      <c r="K339" s="225">
        <f>+J339*Assumptions!M$22</f>
        <v>15.311590224395442</v>
      </c>
      <c r="L339" s="225">
        <f>+K339*Assumptions!N$22</f>
        <v>15.311590224395442</v>
      </c>
      <c r="M339" s="225">
        <f>+L339*Assumptions!O$22</f>
        <v>15.311590224395442</v>
      </c>
      <c r="N339" s="226">
        <f>+M339*Assumptions!P$22</f>
        <v>15.311590224395442</v>
      </c>
    </row>
    <row r="340" spans="1:14" x14ac:dyDescent="0.2">
      <c r="A340" s="257" t="s">
        <v>140</v>
      </c>
      <c r="B340" s="234"/>
      <c r="C340" s="239">
        <f>((C341*C336)+(C342*C337)+(C338*C343)+(C339*C344))/SUM(C336:C339)</f>
        <v>20.77450716284622</v>
      </c>
      <c r="D340" s="239">
        <f t="shared" ref="D340:N340" si="107">C340</f>
        <v>20.77450716284622</v>
      </c>
      <c r="E340" s="239">
        <f t="shared" si="107"/>
        <v>20.77450716284622</v>
      </c>
      <c r="F340" s="239">
        <f t="shared" si="107"/>
        <v>20.77450716284622</v>
      </c>
      <c r="G340" s="239">
        <f t="shared" si="107"/>
        <v>20.77450716284622</v>
      </c>
      <c r="H340" s="239">
        <f t="shared" si="107"/>
        <v>20.77450716284622</v>
      </c>
      <c r="I340" s="239">
        <f t="shared" si="107"/>
        <v>20.77450716284622</v>
      </c>
      <c r="J340" s="239">
        <f t="shared" si="107"/>
        <v>20.77450716284622</v>
      </c>
      <c r="K340" s="239">
        <f t="shared" si="107"/>
        <v>20.77450716284622</v>
      </c>
      <c r="L340" s="239">
        <f t="shared" si="107"/>
        <v>20.77450716284622</v>
      </c>
      <c r="M340" s="239">
        <f t="shared" si="107"/>
        <v>20.77450716284622</v>
      </c>
      <c r="N340" s="260">
        <f t="shared" si="107"/>
        <v>20.77450716284622</v>
      </c>
    </row>
    <row r="341" spans="1:14" x14ac:dyDescent="0.2">
      <c r="A341" s="451" t="s">
        <v>1221</v>
      </c>
      <c r="B341" s="236"/>
      <c r="C341" s="371">
        <f>+$R$10</f>
        <v>52.122314049586777</v>
      </c>
      <c r="D341" s="237">
        <f t="shared" ref="D341:N341" si="108">C341</f>
        <v>52.122314049586777</v>
      </c>
      <c r="E341" s="237">
        <f t="shared" si="108"/>
        <v>52.122314049586777</v>
      </c>
      <c r="F341" s="237">
        <f t="shared" si="108"/>
        <v>52.122314049586777</v>
      </c>
      <c r="G341" s="237">
        <f t="shared" si="108"/>
        <v>52.122314049586777</v>
      </c>
      <c r="H341" s="237">
        <f t="shared" si="108"/>
        <v>52.122314049586777</v>
      </c>
      <c r="I341" s="237">
        <f t="shared" si="108"/>
        <v>52.122314049586777</v>
      </c>
      <c r="J341" s="237">
        <f t="shared" si="108"/>
        <v>52.122314049586777</v>
      </c>
      <c r="K341" s="237">
        <f t="shared" si="108"/>
        <v>52.122314049586777</v>
      </c>
      <c r="L341" s="237">
        <f t="shared" si="108"/>
        <v>52.122314049586777</v>
      </c>
      <c r="M341" s="237">
        <f t="shared" si="108"/>
        <v>52.122314049586777</v>
      </c>
      <c r="N341" s="258">
        <f t="shared" si="108"/>
        <v>52.122314049586777</v>
      </c>
    </row>
    <row r="342" spans="1:14" x14ac:dyDescent="0.2">
      <c r="A342" s="451" t="s">
        <v>1222</v>
      </c>
      <c r="B342" s="236"/>
      <c r="C342" s="371">
        <f>+$S$10</f>
        <v>77.720967741935482</v>
      </c>
      <c r="D342" s="237">
        <f t="shared" ref="D342:N342" si="109">C342</f>
        <v>77.720967741935482</v>
      </c>
      <c r="E342" s="237">
        <f t="shared" si="109"/>
        <v>77.720967741935482</v>
      </c>
      <c r="F342" s="237">
        <f t="shared" si="109"/>
        <v>77.720967741935482</v>
      </c>
      <c r="G342" s="237">
        <f t="shared" si="109"/>
        <v>77.720967741935482</v>
      </c>
      <c r="H342" s="237">
        <f t="shared" si="109"/>
        <v>77.720967741935482</v>
      </c>
      <c r="I342" s="237">
        <f t="shared" si="109"/>
        <v>77.720967741935482</v>
      </c>
      <c r="J342" s="237">
        <f t="shared" si="109"/>
        <v>77.720967741935482</v>
      </c>
      <c r="K342" s="237">
        <f t="shared" si="109"/>
        <v>77.720967741935482</v>
      </c>
      <c r="L342" s="237">
        <f t="shared" si="109"/>
        <v>77.720967741935482</v>
      </c>
      <c r="M342" s="237">
        <f t="shared" si="109"/>
        <v>77.720967741935482</v>
      </c>
      <c r="N342" s="258">
        <f t="shared" si="109"/>
        <v>77.720967741935482</v>
      </c>
    </row>
    <row r="343" spans="1:14" x14ac:dyDescent="0.2">
      <c r="A343" s="451" t="s">
        <v>1225</v>
      </c>
      <c r="B343" s="236"/>
      <c r="C343" s="371">
        <f>+$T$8</f>
        <v>34.535821661655788</v>
      </c>
      <c r="D343" s="237">
        <f t="shared" ref="D343:N343" si="110">C343</f>
        <v>34.535821661655788</v>
      </c>
      <c r="E343" s="237">
        <f t="shared" si="110"/>
        <v>34.535821661655788</v>
      </c>
      <c r="F343" s="237">
        <f t="shared" si="110"/>
        <v>34.535821661655788</v>
      </c>
      <c r="G343" s="237">
        <f t="shared" si="110"/>
        <v>34.535821661655788</v>
      </c>
      <c r="H343" s="237">
        <f t="shared" si="110"/>
        <v>34.535821661655788</v>
      </c>
      <c r="I343" s="237">
        <f t="shared" si="110"/>
        <v>34.535821661655788</v>
      </c>
      <c r="J343" s="237">
        <f t="shared" si="110"/>
        <v>34.535821661655788</v>
      </c>
      <c r="K343" s="237">
        <f t="shared" si="110"/>
        <v>34.535821661655788</v>
      </c>
      <c r="L343" s="237">
        <f t="shared" si="110"/>
        <v>34.535821661655788</v>
      </c>
      <c r="M343" s="237">
        <f t="shared" si="110"/>
        <v>34.535821661655788</v>
      </c>
      <c r="N343" s="258">
        <f t="shared" si="110"/>
        <v>34.535821661655788</v>
      </c>
    </row>
    <row r="344" spans="1:14" ht="13.5" thickBot="1" x14ac:dyDescent="0.25">
      <c r="A344" s="451" t="s">
        <v>1199</v>
      </c>
      <c r="B344" s="236"/>
      <c r="C344" s="371">
        <f>+$U$10</f>
        <v>3.2268578104271035</v>
      </c>
      <c r="D344" s="237">
        <f t="shared" ref="D344:N344" si="111">C344</f>
        <v>3.2268578104271035</v>
      </c>
      <c r="E344" s="237">
        <f t="shared" si="111"/>
        <v>3.2268578104271035</v>
      </c>
      <c r="F344" s="237">
        <f t="shared" si="111"/>
        <v>3.2268578104271035</v>
      </c>
      <c r="G344" s="237">
        <f t="shared" si="111"/>
        <v>3.2268578104271035</v>
      </c>
      <c r="H344" s="237">
        <f t="shared" si="111"/>
        <v>3.2268578104271035</v>
      </c>
      <c r="I344" s="237">
        <f t="shared" si="111"/>
        <v>3.2268578104271035</v>
      </c>
      <c r="J344" s="237">
        <f t="shared" si="111"/>
        <v>3.2268578104271035</v>
      </c>
      <c r="K344" s="237">
        <f t="shared" si="111"/>
        <v>3.2268578104271035</v>
      </c>
      <c r="L344" s="237">
        <f t="shared" si="111"/>
        <v>3.2268578104271035</v>
      </c>
      <c r="M344" s="237">
        <f t="shared" si="111"/>
        <v>3.2268578104271035</v>
      </c>
      <c r="N344" s="258">
        <f t="shared" si="111"/>
        <v>3.2268578104271035</v>
      </c>
    </row>
    <row r="345" spans="1:14" ht="13.5" thickBot="1" x14ac:dyDescent="0.25">
      <c r="A345" s="221" t="s">
        <v>141</v>
      </c>
      <c r="B345" s="15"/>
      <c r="C345" s="15">
        <f>((C344*C339)+(C343*C338)+(C342*C337)+(C336*C341))*C334</f>
        <v>105126.73280586198</v>
      </c>
      <c r="D345" s="15">
        <f t="shared" ref="D345:L345" si="112">((D344*D339)+(D343*D338)+(D342*D337)+(D336*D341))*D334</f>
        <v>105126.73280586198</v>
      </c>
      <c r="E345" s="15">
        <f t="shared" si="112"/>
        <v>105126.73280586198</v>
      </c>
      <c r="F345" s="15">
        <f t="shared" si="112"/>
        <v>105126.73280586198</v>
      </c>
      <c r="G345" s="15">
        <f t="shared" si="112"/>
        <v>105126.73280586198</v>
      </c>
      <c r="H345" s="15">
        <f t="shared" si="112"/>
        <v>105126.73280586198</v>
      </c>
      <c r="I345" s="15">
        <f t="shared" si="112"/>
        <v>105126.73280586198</v>
      </c>
      <c r="J345" s="15">
        <f t="shared" si="112"/>
        <v>105126.73280586198</v>
      </c>
      <c r="K345" s="15">
        <f t="shared" si="112"/>
        <v>105126.73280586198</v>
      </c>
      <c r="L345" s="15">
        <f t="shared" si="112"/>
        <v>105126.73280586198</v>
      </c>
      <c r="M345" s="15">
        <f>+L345*10</f>
        <v>1051267.3280586198</v>
      </c>
      <c r="N345" s="177">
        <f>+M345</f>
        <v>1051267.3280586198</v>
      </c>
    </row>
    <row r="346" spans="1:14" ht="13.5" thickBot="1" x14ac:dyDescent="0.25">
      <c r="A346" s="16" t="s">
        <v>1227</v>
      </c>
      <c r="B346" s="40"/>
      <c r="C346" s="442">
        <f>+'Boat Costs'!M13</f>
        <v>292535.24372990348</v>
      </c>
      <c r="D346" s="443">
        <f>+C346</f>
        <v>292535.24372990348</v>
      </c>
      <c r="E346" s="443">
        <f t="shared" ref="E346:L346" si="113">+D346</f>
        <v>292535.24372990348</v>
      </c>
      <c r="F346" s="443">
        <f t="shared" si="113"/>
        <v>292535.24372990348</v>
      </c>
      <c r="G346" s="443">
        <f t="shared" si="113"/>
        <v>292535.24372990348</v>
      </c>
      <c r="H346" s="443">
        <f t="shared" si="113"/>
        <v>292535.24372990348</v>
      </c>
      <c r="I346" s="443">
        <f t="shared" si="113"/>
        <v>292535.24372990348</v>
      </c>
      <c r="J346" s="443">
        <f t="shared" si="113"/>
        <v>292535.24372990348</v>
      </c>
      <c r="K346" s="443">
        <f t="shared" si="113"/>
        <v>292535.24372990348</v>
      </c>
      <c r="L346" s="443">
        <f t="shared" si="113"/>
        <v>292535.24372990348</v>
      </c>
      <c r="M346" s="443">
        <f>+L346*10</f>
        <v>2925352.4372990346</v>
      </c>
      <c r="N346" s="461">
        <f>+M346</f>
        <v>2925352.4372990346</v>
      </c>
    </row>
    <row r="347" spans="1:14" ht="16.5" thickBot="1" x14ac:dyDescent="0.3">
      <c r="A347" s="1056" t="s">
        <v>124</v>
      </c>
      <c r="B347" s="1057"/>
      <c r="C347" s="1057"/>
      <c r="D347" s="1057"/>
      <c r="E347" s="1057"/>
      <c r="F347" s="1057"/>
      <c r="G347" s="1057"/>
      <c r="H347" s="1057"/>
      <c r="I347" s="1057"/>
      <c r="J347" s="1057"/>
      <c r="K347" s="1057"/>
      <c r="L347" s="215"/>
      <c r="M347" s="215"/>
      <c r="N347" s="216"/>
    </row>
    <row r="348" spans="1:14" ht="13.5" thickBot="1" x14ac:dyDescent="0.25">
      <c r="A348" s="217"/>
      <c r="B348" s="218" t="s">
        <v>125</v>
      </c>
      <c r="C348" s="219" t="s">
        <v>126</v>
      </c>
      <c r="D348" s="219" t="s">
        <v>127</v>
      </c>
      <c r="E348" s="219" t="s">
        <v>128</v>
      </c>
      <c r="F348" s="219" t="s">
        <v>129</v>
      </c>
      <c r="G348" s="219" t="s">
        <v>130</v>
      </c>
      <c r="H348" s="219" t="s">
        <v>131</v>
      </c>
      <c r="I348" s="219" t="s">
        <v>132</v>
      </c>
      <c r="J348" s="219" t="s">
        <v>133</v>
      </c>
      <c r="K348" s="219" t="s">
        <v>134</v>
      </c>
      <c r="L348" s="219" t="s">
        <v>135</v>
      </c>
      <c r="M348" s="219" t="s">
        <v>136</v>
      </c>
      <c r="N348" s="220" t="s">
        <v>137</v>
      </c>
    </row>
    <row r="349" spans="1:14" x14ac:dyDescent="0.2">
      <c r="A349" s="255" t="s">
        <v>1228</v>
      </c>
      <c r="B349" s="229"/>
      <c r="C349" s="233"/>
      <c r="D349" s="233"/>
      <c r="E349" s="233"/>
      <c r="F349" s="233"/>
      <c r="G349" s="233"/>
      <c r="H349" s="233"/>
      <c r="I349" s="233"/>
      <c r="J349" s="233"/>
      <c r="K349" s="233"/>
      <c r="L349" s="233"/>
      <c r="M349" s="233"/>
      <c r="N349" s="256"/>
    </row>
    <row r="350" spans="1:14" x14ac:dyDescent="0.2">
      <c r="A350" s="257" t="str">
        <f>A334</f>
        <v xml:space="preserve">  - Days</v>
      </c>
      <c r="B350" s="234"/>
      <c r="C350" s="225">
        <f>C334*(1+Assumptions!Q$6)</f>
        <v>201.60000000000002</v>
      </c>
      <c r="D350" s="225">
        <f t="shared" ref="D350:L350" si="114">C350</f>
        <v>201.60000000000002</v>
      </c>
      <c r="E350" s="225">
        <f t="shared" si="114"/>
        <v>201.60000000000002</v>
      </c>
      <c r="F350" s="225">
        <f t="shared" si="114"/>
        <v>201.60000000000002</v>
      </c>
      <c r="G350" s="225">
        <f t="shared" si="114"/>
        <v>201.60000000000002</v>
      </c>
      <c r="H350" s="225">
        <f t="shared" si="114"/>
        <v>201.60000000000002</v>
      </c>
      <c r="I350" s="225">
        <f t="shared" si="114"/>
        <v>201.60000000000002</v>
      </c>
      <c r="J350" s="225">
        <f t="shared" si="114"/>
        <v>201.60000000000002</v>
      </c>
      <c r="K350" s="225">
        <f t="shared" si="114"/>
        <v>201.60000000000002</v>
      </c>
      <c r="L350" s="225">
        <f t="shared" si="114"/>
        <v>201.60000000000002</v>
      </c>
      <c r="M350" s="225">
        <f>L350*10</f>
        <v>2016.0000000000002</v>
      </c>
      <c r="N350" s="226">
        <f>M350</f>
        <v>2016.0000000000002</v>
      </c>
    </row>
    <row r="351" spans="1:14" x14ac:dyDescent="0.2">
      <c r="A351" s="257" t="str">
        <f>A335</f>
        <v xml:space="preserve">  - Catch per boat trip in kg </v>
      </c>
      <c r="B351" s="234"/>
      <c r="C351" s="477">
        <f>+C335*(1+(Assumptions!$Q$8+Assumptions!B$30))</f>
        <v>26.356103776864881</v>
      </c>
      <c r="D351" s="477">
        <f>+D335*(1+(Assumptions!$Q$8+Assumptions!C$30))</f>
        <v>26.356103776864881</v>
      </c>
      <c r="E351" s="477">
        <f>+E335*(1+(Assumptions!$Q$8+Assumptions!D$30))</f>
        <v>26.356103776864881</v>
      </c>
      <c r="F351" s="477">
        <f>+F335*(1+(Assumptions!$Q$8+Assumptions!E$30))</f>
        <v>26.356103776864881</v>
      </c>
      <c r="G351" s="477">
        <f>+G335*(1+(Assumptions!$Q$8+Assumptions!F$30))</f>
        <v>26.356103776864881</v>
      </c>
      <c r="H351" s="477">
        <f>+H335*(1+(Assumptions!$Q$8+Assumptions!G$30))</f>
        <v>26.356103776864881</v>
      </c>
      <c r="I351" s="477">
        <f>+I335*(1+(Assumptions!$Q$8+Assumptions!H$30))</f>
        <v>26.356103776864881</v>
      </c>
      <c r="J351" s="477">
        <f>+J335*(1+(Assumptions!$Q$8+Assumptions!I$30))</f>
        <v>26.356103776864881</v>
      </c>
      <c r="K351" s="477">
        <f>+K335*(1+(Assumptions!$Q$8+Assumptions!J$30))</f>
        <v>26.356103776864881</v>
      </c>
      <c r="L351" s="477">
        <f>+L335*(1+(Assumptions!$Q$8+Assumptions!K$30))</f>
        <v>26.356103776864881</v>
      </c>
      <c r="M351" s="477">
        <f>+M335*(1+(Assumptions!$Q$8+Assumptions!L$30))</f>
        <v>26.356103776864881</v>
      </c>
      <c r="N351" s="477">
        <f>+N335*(1+(Assumptions!$Q$8+Assumptions!M$30))</f>
        <v>26.356103776864881</v>
      </c>
    </row>
    <row r="352" spans="1:14" x14ac:dyDescent="0.2">
      <c r="A352" s="451" t="s">
        <v>1221</v>
      </c>
      <c r="B352" s="234"/>
      <c r="C352" s="238"/>
      <c r="D352" s="225"/>
      <c r="E352" s="225"/>
      <c r="F352" s="225"/>
      <c r="G352" s="225"/>
      <c r="H352" s="225"/>
      <c r="I352" s="225"/>
      <c r="J352" s="225"/>
      <c r="K352" s="225"/>
      <c r="L352" s="225"/>
      <c r="M352" s="225"/>
      <c r="N352" s="226"/>
    </row>
    <row r="353" spans="1:14" x14ac:dyDescent="0.2">
      <c r="A353" s="451" t="s">
        <v>1222</v>
      </c>
      <c r="B353" s="234"/>
      <c r="C353" s="238"/>
      <c r="D353" s="238"/>
      <c r="E353" s="238"/>
      <c r="F353" s="238"/>
      <c r="G353" s="238"/>
      <c r="H353" s="238"/>
      <c r="I353" s="238"/>
      <c r="J353" s="238"/>
      <c r="K353" s="238"/>
      <c r="L353" s="238"/>
      <c r="M353" s="238"/>
      <c r="N353" s="259"/>
    </row>
    <row r="354" spans="1:14" x14ac:dyDescent="0.2">
      <c r="A354" s="451" t="s">
        <v>1225</v>
      </c>
      <c r="B354" s="234"/>
      <c r="C354" s="238"/>
      <c r="D354" s="238"/>
      <c r="E354" s="238"/>
      <c r="F354" s="238"/>
      <c r="G354" s="238"/>
      <c r="H354" s="238"/>
      <c r="I354" s="238"/>
      <c r="J354" s="238"/>
      <c r="K354" s="238"/>
      <c r="L354" s="238"/>
      <c r="M354" s="238"/>
      <c r="N354" s="259"/>
    </row>
    <row r="355" spans="1:14" x14ac:dyDescent="0.2">
      <c r="A355" s="451" t="s">
        <v>1199</v>
      </c>
      <c r="B355" s="234"/>
      <c r="C355" s="238"/>
      <c r="D355" s="238"/>
      <c r="E355" s="238"/>
      <c r="F355" s="238"/>
      <c r="G355" s="238"/>
      <c r="H355" s="238"/>
      <c r="I355" s="238"/>
      <c r="J355" s="238"/>
      <c r="K355" s="238"/>
      <c r="L355" s="238"/>
      <c r="M355" s="238"/>
      <c r="N355" s="259"/>
    </row>
    <row r="356" spans="1:14" x14ac:dyDescent="0.2">
      <c r="A356" s="257" t="str">
        <f>A340</f>
        <v xml:space="preserve">  - Average price of sales in dh/kg</v>
      </c>
      <c r="B356" s="234"/>
      <c r="C356" s="239">
        <f>+C340*(1+(Assumptions!$Q$7))</f>
        <v>21.189997306103145</v>
      </c>
      <c r="D356" s="239">
        <f>+D340*(1+(Assumptions!$Q$7))</f>
        <v>21.189997306103145</v>
      </c>
      <c r="E356" s="239">
        <f>+E340*(1+(Assumptions!$Q$7))</f>
        <v>21.189997306103145</v>
      </c>
      <c r="F356" s="239">
        <f>+F340*(1+(Assumptions!$Q$7))</f>
        <v>21.189997306103145</v>
      </c>
      <c r="G356" s="239">
        <f>+G340*(1+(Assumptions!$Q$7))</f>
        <v>21.189997306103145</v>
      </c>
      <c r="H356" s="239">
        <f>+H340*(1+(Assumptions!$Q$7))</f>
        <v>21.189997306103145</v>
      </c>
      <c r="I356" s="239">
        <f>+I340*(1+(Assumptions!$Q$7))</f>
        <v>21.189997306103145</v>
      </c>
      <c r="J356" s="239">
        <f>+J340*(1+(Assumptions!$Q$7))</f>
        <v>21.189997306103145</v>
      </c>
      <c r="K356" s="239">
        <f>+K340*(1+(Assumptions!$Q$7))</f>
        <v>21.189997306103145</v>
      </c>
      <c r="L356" s="239">
        <f>+L340*(1+(Assumptions!$Q$7))</f>
        <v>21.189997306103145</v>
      </c>
      <c r="M356" s="239">
        <f>+M340*(1+(Assumptions!$Q$7))</f>
        <v>21.189997306103145</v>
      </c>
      <c r="N356" s="239">
        <f>+N340*(1+(Assumptions!$Q$7))</f>
        <v>21.189997306103145</v>
      </c>
    </row>
    <row r="357" spans="1:14" x14ac:dyDescent="0.2">
      <c r="A357" s="451" t="s">
        <v>1221</v>
      </c>
      <c r="B357" s="236"/>
      <c r="C357" s="237"/>
      <c r="D357" s="237"/>
      <c r="E357" s="237"/>
      <c r="F357" s="237"/>
      <c r="G357" s="237"/>
      <c r="H357" s="237"/>
      <c r="I357" s="237"/>
      <c r="J357" s="237"/>
      <c r="K357" s="237"/>
      <c r="L357" s="237"/>
      <c r="M357" s="237"/>
      <c r="N357" s="258"/>
    </row>
    <row r="358" spans="1:14" x14ac:dyDescent="0.2">
      <c r="A358" s="451" t="s">
        <v>1222</v>
      </c>
      <c r="B358" s="236"/>
      <c r="C358" s="237"/>
      <c r="D358" s="237"/>
      <c r="E358" s="237"/>
      <c r="F358" s="237"/>
      <c r="G358" s="237"/>
      <c r="H358" s="237"/>
      <c r="I358" s="237"/>
      <c r="J358" s="237"/>
      <c r="K358" s="237"/>
      <c r="L358" s="237"/>
      <c r="M358" s="237"/>
      <c r="N358" s="258"/>
    </row>
    <row r="359" spans="1:14" x14ac:dyDescent="0.2">
      <c r="A359" s="451" t="s">
        <v>1225</v>
      </c>
      <c r="B359" s="236"/>
      <c r="C359" s="237"/>
      <c r="D359" s="237"/>
      <c r="E359" s="237"/>
      <c r="F359" s="237"/>
      <c r="G359" s="237"/>
      <c r="H359" s="237"/>
      <c r="I359" s="237"/>
      <c r="J359" s="237"/>
      <c r="K359" s="237"/>
      <c r="L359" s="237"/>
      <c r="M359" s="237"/>
      <c r="N359" s="258"/>
    </row>
    <row r="360" spans="1:14" ht="13.5" thickBot="1" x14ac:dyDescent="0.25">
      <c r="A360" s="451" t="s">
        <v>1199</v>
      </c>
      <c r="B360" s="236"/>
      <c r="C360" s="237"/>
      <c r="D360" s="237"/>
      <c r="E360" s="237"/>
      <c r="F360" s="237"/>
      <c r="G360" s="237"/>
      <c r="H360" s="237"/>
      <c r="I360" s="237"/>
      <c r="J360" s="237"/>
      <c r="K360" s="237"/>
      <c r="L360" s="237"/>
      <c r="M360" s="237"/>
      <c r="N360" s="258"/>
    </row>
    <row r="361" spans="1:14" x14ac:dyDescent="0.2">
      <c r="A361" s="230" t="s">
        <v>141</v>
      </c>
      <c r="B361" s="178"/>
      <c r="C361" s="178">
        <f>+C350*C351*C356</f>
        <v>112590.73083507818</v>
      </c>
      <c r="D361" s="178">
        <f t="shared" ref="D361:L361" si="115">+D350*D351*D356</f>
        <v>112590.73083507818</v>
      </c>
      <c r="E361" s="178">
        <f t="shared" si="115"/>
        <v>112590.73083507818</v>
      </c>
      <c r="F361" s="178">
        <f t="shared" si="115"/>
        <v>112590.73083507818</v>
      </c>
      <c r="G361" s="178">
        <f t="shared" si="115"/>
        <v>112590.73083507818</v>
      </c>
      <c r="H361" s="178">
        <f t="shared" si="115"/>
        <v>112590.73083507818</v>
      </c>
      <c r="I361" s="178">
        <f t="shared" si="115"/>
        <v>112590.73083507818</v>
      </c>
      <c r="J361" s="178">
        <f t="shared" si="115"/>
        <v>112590.73083507818</v>
      </c>
      <c r="K361" s="178">
        <f t="shared" si="115"/>
        <v>112590.73083507818</v>
      </c>
      <c r="L361" s="178">
        <f t="shared" si="115"/>
        <v>112590.73083507818</v>
      </c>
      <c r="M361" s="178">
        <f>+L361*10</f>
        <v>1125907.3083507819</v>
      </c>
      <c r="N361" s="179">
        <f>+M361</f>
        <v>1125907.3083507819</v>
      </c>
    </row>
    <row r="362" spans="1:14" x14ac:dyDescent="0.2">
      <c r="A362" s="453" t="s">
        <v>1227</v>
      </c>
      <c r="B362" s="212"/>
      <c r="C362" s="460">
        <f>+'Boat Costs'!M14</f>
        <v>304310.92167202575</v>
      </c>
      <c r="D362" s="456">
        <f>+C362</f>
        <v>304310.92167202575</v>
      </c>
      <c r="E362" s="456">
        <f t="shared" ref="E362:L362" si="116">+D362</f>
        <v>304310.92167202575</v>
      </c>
      <c r="F362" s="456">
        <f t="shared" si="116"/>
        <v>304310.92167202575</v>
      </c>
      <c r="G362" s="456">
        <f t="shared" si="116"/>
        <v>304310.92167202575</v>
      </c>
      <c r="H362" s="456">
        <f t="shared" si="116"/>
        <v>304310.92167202575</v>
      </c>
      <c r="I362" s="456">
        <f t="shared" si="116"/>
        <v>304310.92167202575</v>
      </c>
      <c r="J362" s="456">
        <f t="shared" si="116"/>
        <v>304310.92167202575</v>
      </c>
      <c r="K362" s="456">
        <f t="shared" si="116"/>
        <v>304310.92167202575</v>
      </c>
      <c r="L362" s="456">
        <f t="shared" si="116"/>
        <v>304310.92167202575</v>
      </c>
      <c r="M362" s="456">
        <f>+L362*10</f>
        <v>3043109.2167202574</v>
      </c>
      <c r="N362" s="457">
        <f>+M362</f>
        <v>3043109.2167202574</v>
      </c>
    </row>
    <row r="363" spans="1:14" x14ac:dyDescent="0.2">
      <c r="A363" s="40"/>
      <c r="B363" s="57"/>
      <c r="C363" s="164"/>
      <c r="D363" s="443"/>
      <c r="E363" s="443"/>
      <c r="F363" s="443"/>
      <c r="G363" s="443"/>
      <c r="H363" s="443"/>
      <c r="I363" s="443"/>
      <c r="J363" s="443"/>
      <c r="K363" s="443"/>
      <c r="L363" s="443"/>
      <c r="M363" s="443"/>
      <c r="N363" s="443"/>
    </row>
    <row r="364" spans="1:14" ht="15.75" thickBot="1" x14ac:dyDescent="0.25">
      <c r="A364" s="375" t="s">
        <v>164</v>
      </c>
    </row>
    <row r="365" spans="1:14" ht="13.5" thickBot="1" x14ac:dyDescent="0.25">
      <c r="A365" s="232" t="s">
        <v>160</v>
      </c>
      <c r="B365" s="12"/>
      <c r="C365" s="12">
        <f>(C397-C398)-(C381-C382)</f>
        <v>10421.968139342149</v>
      </c>
      <c r="D365" s="12">
        <f t="shared" ref="D365:N365" si="117">(D397-D398)-(D381-D382)</f>
        <v>10421.968139342149</v>
      </c>
      <c r="E365" s="12">
        <f t="shared" si="117"/>
        <v>10421.968139342149</v>
      </c>
      <c r="F365" s="12">
        <f t="shared" si="117"/>
        <v>10421.968139342149</v>
      </c>
      <c r="G365" s="12">
        <f t="shared" si="117"/>
        <v>10421.968139342149</v>
      </c>
      <c r="H365" s="12">
        <f t="shared" si="117"/>
        <v>10421.968139342149</v>
      </c>
      <c r="I365" s="12">
        <f>(I397-I398)-(I381-I382)</f>
        <v>10421.968139342149</v>
      </c>
      <c r="J365" s="12">
        <f t="shared" si="117"/>
        <v>10421.968139342149</v>
      </c>
      <c r="K365" s="12">
        <f t="shared" si="117"/>
        <v>10421.968139342149</v>
      </c>
      <c r="L365" s="12">
        <f t="shared" si="117"/>
        <v>10421.968139342149</v>
      </c>
      <c r="M365" s="12">
        <f t="shared" si="117"/>
        <v>104219.68139342079</v>
      </c>
      <c r="N365" s="12">
        <f t="shared" si="117"/>
        <v>104219.68139342079</v>
      </c>
    </row>
    <row r="366" spans="1:14" x14ac:dyDescent="0.2">
      <c r="A366" s="16"/>
      <c r="B366" s="57"/>
      <c r="C366" s="57"/>
      <c r="D366" s="57"/>
      <c r="E366" s="57"/>
      <c r="F366" s="57"/>
      <c r="G366" s="57"/>
      <c r="H366" s="57"/>
      <c r="I366" s="57"/>
      <c r="J366" s="57"/>
      <c r="K366" s="57"/>
      <c r="L366" s="57"/>
      <c r="M366" s="57"/>
      <c r="N366" s="207"/>
    </row>
    <row r="367" spans="1:14" ht="16.5" thickBot="1" x14ac:dyDescent="0.3">
      <c r="A367" s="1054" t="s">
        <v>123</v>
      </c>
      <c r="B367" s="1055"/>
      <c r="C367" s="1055"/>
      <c r="D367" s="1055"/>
      <c r="E367" s="1055"/>
      <c r="F367" s="1055"/>
      <c r="G367" s="1055"/>
      <c r="H367" s="1055"/>
      <c r="I367" s="1055"/>
      <c r="J367" s="1055"/>
      <c r="K367" s="1055"/>
      <c r="L367" s="462"/>
      <c r="M367" s="462"/>
      <c r="N367" s="463"/>
    </row>
    <row r="368" spans="1:14" ht="13.5" thickBot="1" x14ac:dyDescent="0.25">
      <c r="A368" s="217"/>
      <c r="B368" s="218" t="s">
        <v>125</v>
      </c>
      <c r="C368" s="219" t="s">
        <v>126</v>
      </c>
      <c r="D368" s="219" t="s">
        <v>127</v>
      </c>
      <c r="E368" s="219" t="s">
        <v>128</v>
      </c>
      <c r="F368" s="219" t="s">
        <v>129</v>
      </c>
      <c r="G368" s="219" t="s">
        <v>130</v>
      </c>
      <c r="H368" s="219" t="s">
        <v>131</v>
      </c>
      <c r="I368" s="219" t="s">
        <v>132</v>
      </c>
      <c r="J368" s="219" t="s">
        <v>133</v>
      </c>
      <c r="K368" s="219" t="s">
        <v>134</v>
      </c>
      <c r="L368" s="219" t="s">
        <v>135</v>
      </c>
      <c r="M368" s="219" t="s">
        <v>136</v>
      </c>
      <c r="N368" s="220" t="s">
        <v>137</v>
      </c>
    </row>
    <row r="369" spans="1:14" x14ac:dyDescent="0.2">
      <c r="A369" s="255" t="s">
        <v>1228</v>
      </c>
      <c r="B369" s="229"/>
      <c r="C369" s="233"/>
      <c r="D369" s="233"/>
      <c r="E369" s="233"/>
      <c r="F369" s="233"/>
      <c r="G369" s="233"/>
      <c r="H369" s="233"/>
      <c r="I369" s="233"/>
      <c r="J369" s="233"/>
      <c r="K369" s="233"/>
      <c r="L369" s="233"/>
      <c r="M369" s="233"/>
      <c r="N369" s="256"/>
    </row>
    <row r="370" spans="1:14" x14ac:dyDescent="0.2">
      <c r="A370" s="257" t="s">
        <v>139</v>
      </c>
      <c r="B370" s="234"/>
      <c r="C370" s="225">
        <f>+R45</f>
        <v>137</v>
      </c>
      <c r="D370" s="225">
        <f t="shared" ref="D370:L370" si="118">C370</f>
        <v>137</v>
      </c>
      <c r="E370" s="225">
        <f t="shared" si="118"/>
        <v>137</v>
      </c>
      <c r="F370" s="225">
        <f t="shared" si="118"/>
        <v>137</v>
      </c>
      <c r="G370" s="225">
        <f t="shared" si="118"/>
        <v>137</v>
      </c>
      <c r="H370" s="225">
        <f t="shared" si="118"/>
        <v>137</v>
      </c>
      <c r="I370" s="225">
        <f t="shared" si="118"/>
        <v>137</v>
      </c>
      <c r="J370" s="225">
        <f t="shared" si="118"/>
        <v>137</v>
      </c>
      <c r="K370" s="225">
        <f t="shared" si="118"/>
        <v>137</v>
      </c>
      <c r="L370" s="225">
        <f t="shared" si="118"/>
        <v>137</v>
      </c>
      <c r="M370" s="225">
        <f>L370*10</f>
        <v>1370</v>
      </c>
      <c r="N370" s="226">
        <f>M370</f>
        <v>1370</v>
      </c>
    </row>
    <row r="371" spans="1:14" x14ac:dyDescent="0.2">
      <c r="A371" s="257" t="s">
        <v>138</v>
      </c>
      <c r="B371" s="234"/>
      <c r="C371" s="225">
        <f>SUM(C372:C375)</f>
        <v>139.28172698208954</v>
      </c>
      <c r="D371" s="225">
        <f t="shared" ref="D371:N371" si="119">SUM(D372:D375)</f>
        <v>139.28172698208954</v>
      </c>
      <c r="E371" s="225">
        <f t="shared" si="119"/>
        <v>139.28172698208954</v>
      </c>
      <c r="F371" s="225">
        <f t="shared" si="119"/>
        <v>139.28172698208954</v>
      </c>
      <c r="G371" s="225">
        <f t="shared" si="119"/>
        <v>139.28172698208954</v>
      </c>
      <c r="H371" s="225">
        <f t="shared" si="119"/>
        <v>139.28172698208954</v>
      </c>
      <c r="I371" s="225">
        <f t="shared" si="119"/>
        <v>139.28172698208954</v>
      </c>
      <c r="J371" s="225">
        <f t="shared" si="119"/>
        <v>139.28172698208954</v>
      </c>
      <c r="K371" s="225">
        <f t="shared" si="119"/>
        <v>139.28172698208954</v>
      </c>
      <c r="L371" s="225">
        <f t="shared" si="119"/>
        <v>139.28172698208954</v>
      </c>
      <c r="M371" s="225">
        <f t="shared" si="119"/>
        <v>139.28172698208954</v>
      </c>
      <c r="N371" s="226">
        <f t="shared" si="119"/>
        <v>139.28172698208954</v>
      </c>
    </row>
    <row r="372" spans="1:14" x14ac:dyDescent="0.2">
      <c r="A372" s="451" t="s">
        <v>1221</v>
      </c>
      <c r="B372" s="234"/>
      <c r="C372" s="369">
        <f>+Y29</f>
        <v>1.4612610237829557</v>
      </c>
      <c r="D372" s="225">
        <f>+C372*Assumptions!F$22</f>
        <v>1.4612610237829557</v>
      </c>
      <c r="E372" s="225">
        <f>+D372*Assumptions!G$22</f>
        <v>1.4612610237829557</v>
      </c>
      <c r="F372" s="225">
        <f>+E372*Assumptions!H$22</f>
        <v>1.4612610237829557</v>
      </c>
      <c r="G372" s="225">
        <f>+F372*Assumptions!I$22</f>
        <v>1.4612610237829557</v>
      </c>
      <c r="H372" s="225">
        <f>+G372*Assumptions!J$22</f>
        <v>1.4612610237829557</v>
      </c>
      <c r="I372" s="225">
        <f>+H372*Assumptions!K$22</f>
        <v>1.4612610237829557</v>
      </c>
      <c r="J372" s="225">
        <f>+I372*Assumptions!L$22</f>
        <v>1.4612610237829557</v>
      </c>
      <c r="K372" s="225">
        <f>+J372*Assumptions!M$22</f>
        <v>1.4612610237829557</v>
      </c>
      <c r="L372" s="225">
        <f>+K372*Assumptions!N$22</f>
        <v>1.4612610237829557</v>
      </c>
      <c r="M372" s="225">
        <f>+L372*Assumptions!O$22</f>
        <v>1.4612610237829557</v>
      </c>
      <c r="N372" s="226">
        <f>+M372*Assumptions!P$22</f>
        <v>1.4612610237829557</v>
      </c>
    </row>
    <row r="373" spans="1:14" x14ac:dyDescent="0.2">
      <c r="A373" s="451" t="s">
        <v>1222</v>
      </c>
      <c r="B373" s="234"/>
      <c r="C373" s="370">
        <f>+Z29</f>
        <v>4.7038615109126294</v>
      </c>
      <c r="D373" s="225">
        <f>+C373*Assumptions!F$22</f>
        <v>4.7038615109126294</v>
      </c>
      <c r="E373" s="225">
        <f>+D373*Assumptions!G$22</f>
        <v>4.7038615109126294</v>
      </c>
      <c r="F373" s="225">
        <f>+E373*Assumptions!H$22</f>
        <v>4.7038615109126294</v>
      </c>
      <c r="G373" s="225">
        <f>+F373*Assumptions!I$22</f>
        <v>4.7038615109126294</v>
      </c>
      <c r="H373" s="225">
        <f>+G373*Assumptions!J$22</f>
        <v>4.7038615109126294</v>
      </c>
      <c r="I373" s="225">
        <f>+H373*Assumptions!K$22</f>
        <v>4.7038615109126294</v>
      </c>
      <c r="J373" s="225">
        <f>+I373*Assumptions!L$22</f>
        <v>4.7038615109126294</v>
      </c>
      <c r="K373" s="225">
        <f>+J373*Assumptions!M$22</f>
        <v>4.7038615109126294</v>
      </c>
      <c r="L373" s="225">
        <f>+K373*Assumptions!N$22</f>
        <v>4.7038615109126294</v>
      </c>
      <c r="M373" s="225">
        <f>+L373*Assumptions!O$22</f>
        <v>4.7038615109126294</v>
      </c>
      <c r="N373" s="226">
        <f>+M373*Assumptions!P$22</f>
        <v>4.7038615109126294</v>
      </c>
    </row>
    <row r="374" spans="1:14" x14ac:dyDescent="0.2">
      <c r="A374" s="451" t="s">
        <v>1225</v>
      </c>
      <c r="B374" s="234"/>
      <c r="C374" s="370">
        <f>+AA29</f>
        <v>33.982987798877758</v>
      </c>
      <c r="D374" s="225">
        <f>+C374*Assumptions!F$22</f>
        <v>33.982987798877758</v>
      </c>
      <c r="E374" s="225">
        <f>+D374*Assumptions!G$22</f>
        <v>33.982987798877758</v>
      </c>
      <c r="F374" s="225">
        <f>+E374*Assumptions!H$22</f>
        <v>33.982987798877758</v>
      </c>
      <c r="G374" s="225">
        <f>+F374*Assumptions!I$22</f>
        <v>33.982987798877758</v>
      </c>
      <c r="H374" s="225">
        <f>+G374*Assumptions!J$22</f>
        <v>33.982987798877758</v>
      </c>
      <c r="I374" s="225">
        <f>+H374*Assumptions!K$22</f>
        <v>33.982987798877758</v>
      </c>
      <c r="J374" s="225">
        <f>+I374*Assumptions!L$22</f>
        <v>33.982987798877758</v>
      </c>
      <c r="K374" s="225">
        <f>+J374*Assumptions!M$22</f>
        <v>33.982987798877758</v>
      </c>
      <c r="L374" s="225">
        <f>+K374*Assumptions!N$22</f>
        <v>33.982987798877758</v>
      </c>
      <c r="M374" s="225">
        <f>+L374*Assumptions!O$22</f>
        <v>33.982987798877758</v>
      </c>
      <c r="N374" s="226">
        <f>+M374*Assumptions!P$22</f>
        <v>33.982987798877758</v>
      </c>
    </row>
    <row r="375" spans="1:14" x14ac:dyDescent="0.2">
      <c r="A375" s="451" t="s">
        <v>1199</v>
      </c>
      <c r="B375" s="234"/>
      <c r="C375" s="370">
        <f>+AB29</f>
        <v>99.133616648516195</v>
      </c>
      <c r="D375" s="225">
        <f>+C375*Assumptions!F$22</f>
        <v>99.133616648516195</v>
      </c>
      <c r="E375" s="225">
        <f>+D375*Assumptions!G$22</f>
        <v>99.133616648516195</v>
      </c>
      <c r="F375" s="225">
        <f>+E375*Assumptions!H$22</f>
        <v>99.133616648516195</v>
      </c>
      <c r="G375" s="225">
        <f>+F375*Assumptions!I$22</f>
        <v>99.133616648516195</v>
      </c>
      <c r="H375" s="225">
        <f>+G375*Assumptions!J$22</f>
        <v>99.133616648516195</v>
      </c>
      <c r="I375" s="225">
        <f>+H375*Assumptions!K$22</f>
        <v>99.133616648516195</v>
      </c>
      <c r="J375" s="225">
        <f>+I375*Assumptions!L$22</f>
        <v>99.133616648516195</v>
      </c>
      <c r="K375" s="225">
        <f>+J375*Assumptions!M$22</f>
        <v>99.133616648516195</v>
      </c>
      <c r="L375" s="225">
        <f>+K375*Assumptions!N$22</f>
        <v>99.133616648516195</v>
      </c>
      <c r="M375" s="225">
        <f>+L375*Assumptions!O$22</f>
        <v>99.133616648516195</v>
      </c>
      <c r="N375" s="226">
        <f>+M375*Assumptions!P$22</f>
        <v>99.133616648516195</v>
      </c>
    </row>
    <row r="376" spans="1:14" x14ac:dyDescent="0.2">
      <c r="A376" s="257" t="s">
        <v>140</v>
      </c>
      <c r="B376" s="234"/>
      <c r="C376" s="239">
        <f>((C377*C372)+(C378*C373)+(C374*C379)+(C375*C380))/SUM(C372:C375)</f>
        <v>13.894668798165361</v>
      </c>
      <c r="D376" s="239">
        <f t="shared" ref="D376:N376" si="120">C376</f>
        <v>13.894668798165361</v>
      </c>
      <c r="E376" s="239">
        <f t="shared" si="120"/>
        <v>13.894668798165361</v>
      </c>
      <c r="F376" s="239">
        <f t="shared" si="120"/>
        <v>13.894668798165361</v>
      </c>
      <c r="G376" s="239">
        <f t="shared" si="120"/>
        <v>13.894668798165361</v>
      </c>
      <c r="H376" s="239">
        <f t="shared" si="120"/>
        <v>13.894668798165361</v>
      </c>
      <c r="I376" s="239">
        <f t="shared" si="120"/>
        <v>13.894668798165361</v>
      </c>
      <c r="J376" s="239">
        <f t="shared" si="120"/>
        <v>13.894668798165361</v>
      </c>
      <c r="K376" s="239">
        <f t="shared" si="120"/>
        <v>13.894668798165361</v>
      </c>
      <c r="L376" s="239">
        <f t="shared" si="120"/>
        <v>13.894668798165361</v>
      </c>
      <c r="M376" s="239">
        <f t="shared" si="120"/>
        <v>13.894668798165361</v>
      </c>
      <c r="N376" s="260">
        <f t="shared" si="120"/>
        <v>13.894668798165361</v>
      </c>
    </row>
    <row r="377" spans="1:14" x14ac:dyDescent="0.2">
      <c r="A377" s="451" t="s">
        <v>1221</v>
      </c>
      <c r="B377" s="236"/>
      <c r="C377" s="371">
        <f>+$R$10</f>
        <v>52.122314049586777</v>
      </c>
      <c r="D377" s="237">
        <f t="shared" ref="D377:N377" si="121">C377</f>
        <v>52.122314049586777</v>
      </c>
      <c r="E377" s="237">
        <f t="shared" si="121"/>
        <v>52.122314049586777</v>
      </c>
      <c r="F377" s="237">
        <f t="shared" si="121"/>
        <v>52.122314049586777</v>
      </c>
      <c r="G377" s="237">
        <f t="shared" si="121"/>
        <v>52.122314049586777</v>
      </c>
      <c r="H377" s="237">
        <f t="shared" si="121"/>
        <v>52.122314049586777</v>
      </c>
      <c r="I377" s="237">
        <f t="shared" si="121"/>
        <v>52.122314049586777</v>
      </c>
      <c r="J377" s="237">
        <f t="shared" si="121"/>
        <v>52.122314049586777</v>
      </c>
      <c r="K377" s="237">
        <f t="shared" si="121"/>
        <v>52.122314049586777</v>
      </c>
      <c r="L377" s="237">
        <f t="shared" si="121"/>
        <v>52.122314049586777</v>
      </c>
      <c r="M377" s="237">
        <f t="shared" si="121"/>
        <v>52.122314049586777</v>
      </c>
      <c r="N377" s="258">
        <f t="shared" si="121"/>
        <v>52.122314049586777</v>
      </c>
    </row>
    <row r="378" spans="1:14" x14ac:dyDescent="0.2">
      <c r="A378" s="451" t="s">
        <v>1222</v>
      </c>
      <c r="B378" s="236"/>
      <c r="C378" s="371">
        <f>+$S$10</f>
        <v>77.720967741935482</v>
      </c>
      <c r="D378" s="237">
        <f t="shared" ref="D378:N378" si="122">C378</f>
        <v>77.720967741935482</v>
      </c>
      <c r="E378" s="237">
        <f t="shared" si="122"/>
        <v>77.720967741935482</v>
      </c>
      <c r="F378" s="237">
        <f t="shared" si="122"/>
        <v>77.720967741935482</v>
      </c>
      <c r="G378" s="237">
        <f t="shared" si="122"/>
        <v>77.720967741935482</v>
      </c>
      <c r="H378" s="237">
        <f t="shared" si="122"/>
        <v>77.720967741935482</v>
      </c>
      <c r="I378" s="237">
        <f t="shared" si="122"/>
        <v>77.720967741935482</v>
      </c>
      <c r="J378" s="237">
        <f t="shared" si="122"/>
        <v>77.720967741935482</v>
      </c>
      <c r="K378" s="237">
        <f t="shared" si="122"/>
        <v>77.720967741935482</v>
      </c>
      <c r="L378" s="237">
        <f t="shared" si="122"/>
        <v>77.720967741935482</v>
      </c>
      <c r="M378" s="237">
        <f t="shared" si="122"/>
        <v>77.720967741935482</v>
      </c>
      <c r="N378" s="258">
        <f t="shared" si="122"/>
        <v>77.720967741935482</v>
      </c>
    </row>
    <row r="379" spans="1:14" x14ac:dyDescent="0.2">
      <c r="A379" s="451" t="s">
        <v>1225</v>
      </c>
      <c r="B379" s="236"/>
      <c r="C379" s="371">
        <f>+$T$8</f>
        <v>34.535821661655788</v>
      </c>
      <c r="D379" s="237">
        <f t="shared" ref="D379:N379" si="123">C379</f>
        <v>34.535821661655788</v>
      </c>
      <c r="E379" s="237">
        <f t="shared" si="123"/>
        <v>34.535821661655788</v>
      </c>
      <c r="F379" s="237">
        <f t="shared" si="123"/>
        <v>34.535821661655788</v>
      </c>
      <c r="G379" s="237">
        <f t="shared" si="123"/>
        <v>34.535821661655788</v>
      </c>
      <c r="H379" s="237">
        <f t="shared" si="123"/>
        <v>34.535821661655788</v>
      </c>
      <c r="I379" s="237">
        <f t="shared" si="123"/>
        <v>34.535821661655788</v>
      </c>
      <c r="J379" s="237">
        <f t="shared" si="123"/>
        <v>34.535821661655788</v>
      </c>
      <c r="K379" s="237">
        <f t="shared" si="123"/>
        <v>34.535821661655788</v>
      </c>
      <c r="L379" s="237">
        <f t="shared" si="123"/>
        <v>34.535821661655788</v>
      </c>
      <c r="M379" s="237">
        <f t="shared" si="123"/>
        <v>34.535821661655788</v>
      </c>
      <c r="N379" s="258">
        <f t="shared" si="123"/>
        <v>34.535821661655788</v>
      </c>
    </row>
    <row r="380" spans="1:14" ht="13.5" thickBot="1" x14ac:dyDescent="0.25">
      <c r="A380" s="451" t="s">
        <v>1199</v>
      </c>
      <c r="B380" s="236"/>
      <c r="C380" s="371">
        <f>+$U$10</f>
        <v>3.2268578104271035</v>
      </c>
      <c r="D380" s="237">
        <f t="shared" ref="D380:N380" si="124">C380</f>
        <v>3.2268578104271035</v>
      </c>
      <c r="E380" s="237">
        <f t="shared" si="124"/>
        <v>3.2268578104271035</v>
      </c>
      <c r="F380" s="237">
        <f t="shared" si="124"/>
        <v>3.2268578104271035</v>
      </c>
      <c r="G380" s="237">
        <f t="shared" si="124"/>
        <v>3.2268578104271035</v>
      </c>
      <c r="H380" s="237">
        <f t="shared" si="124"/>
        <v>3.2268578104271035</v>
      </c>
      <c r="I380" s="237">
        <f t="shared" si="124"/>
        <v>3.2268578104271035</v>
      </c>
      <c r="J380" s="237">
        <f t="shared" si="124"/>
        <v>3.2268578104271035</v>
      </c>
      <c r="K380" s="237">
        <f t="shared" si="124"/>
        <v>3.2268578104271035</v>
      </c>
      <c r="L380" s="237">
        <f t="shared" si="124"/>
        <v>3.2268578104271035</v>
      </c>
      <c r="M380" s="237">
        <f t="shared" si="124"/>
        <v>3.2268578104271035</v>
      </c>
      <c r="N380" s="258">
        <f t="shared" si="124"/>
        <v>3.2268578104271035</v>
      </c>
    </row>
    <row r="381" spans="1:14" ht="13.5" thickBot="1" x14ac:dyDescent="0.25">
      <c r="A381" s="221" t="s">
        <v>141</v>
      </c>
      <c r="B381" s="15"/>
      <c r="C381" s="15">
        <f>((C380*C375)+(C379*C374)+(C378*C373)+(C372*C377))*C370</f>
        <v>265132.46484920976</v>
      </c>
      <c r="D381" s="15">
        <f t="shared" ref="D381:L381" si="125">((D380*D375)+(D379*D374)+(D378*D373)+(D372*D377))*D370</f>
        <v>265132.46484920976</v>
      </c>
      <c r="E381" s="15">
        <f t="shared" si="125"/>
        <v>265132.46484920976</v>
      </c>
      <c r="F381" s="15">
        <f t="shared" si="125"/>
        <v>265132.46484920976</v>
      </c>
      <c r="G381" s="15">
        <f t="shared" si="125"/>
        <v>265132.46484920976</v>
      </c>
      <c r="H381" s="15">
        <f t="shared" si="125"/>
        <v>265132.46484920976</v>
      </c>
      <c r="I381" s="15">
        <f t="shared" si="125"/>
        <v>265132.46484920976</v>
      </c>
      <c r="J381" s="15">
        <f t="shared" si="125"/>
        <v>265132.46484920976</v>
      </c>
      <c r="K381" s="15">
        <f t="shared" si="125"/>
        <v>265132.46484920976</v>
      </c>
      <c r="L381" s="15">
        <f t="shared" si="125"/>
        <v>265132.46484920976</v>
      </c>
      <c r="M381" s="15">
        <f>+L381*10</f>
        <v>2651324.6484920979</v>
      </c>
      <c r="N381" s="177">
        <f>+M381</f>
        <v>2651324.6484920979</v>
      </c>
    </row>
    <row r="382" spans="1:14" ht="13.5" thickBot="1" x14ac:dyDescent="0.25">
      <c r="A382" s="16" t="s">
        <v>1227</v>
      </c>
      <c r="B382" s="40"/>
      <c r="C382" s="442">
        <f>+'Boat Costs'!N13</f>
        <v>208736.0853697749</v>
      </c>
      <c r="D382" s="443">
        <f>+C382</f>
        <v>208736.0853697749</v>
      </c>
      <c r="E382" s="443">
        <f t="shared" ref="E382:L382" si="126">+D382</f>
        <v>208736.0853697749</v>
      </c>
      <c r="F382" s="443">
        <f t="shared" si="126"/>
        <v>208736.0853697749</v>
      </c>
      <c r="G382" s="443">
        <f t="shared" si="126"/>
        <v>208736.0853697749</v>
      </c>
      <c r="H382" s="443">
        <f t="shared" si="126"/>
        <v>208736.0853697749</v>
      </c>
      <c r="I382" s="443">
        <f t="shared" si="126"/>
        <v>208736.0853697749</v>
      </c>
      <c r="J382" s="443">
        <f t="shared" si="126"/>
        <v>208736.0853697749</v>
      </c>
      <c r="K382" s="443">
        <f t="shared" si="126"/>
        <v>208736.0853697749</v>
      </c>
      <c r="L382" s="443">
        <f t="shared" si="126"/>
        <v>208736.0853697749</v>
      </c>
      <c r="M382" s="443">
        <f>+L382*10</f>
        <v>2087360.8536977489</v>
      </c>
      <c r="N382" s="461">
        <f>+M382</f>
        <v>2087360.8536977489</v>
      </c>
    </row>
    <row r="383" spans="1:14" ht="16.5" thickBot="1" x14ac:dyDescent="0.3">
      <c r="A383" s="1056" t="s">
        <v>124</v>
      </c>
      <c r="B383" s="1057"/>
      <c r="C383" s="1057"/>
      <c r="D383" s="1057"/>
      <c r="E383" s="1057"/>
      <c r="F383" s="1057"/>
      <c r="G383" s="1057"/>
      <c r="H383" s="1057"/>
      <c r="I383" s="1057"/>
      <c r="J383" s="1057"/>
      <c r="K383" s="1057"/>
      <c r="L383" s="215"/>
      <c r="M383" s="215"/>
      <c r="N383" s="216"/>
    </row>
    <row r="384" spans="1:14" ht="13.5" thickBot="1" x14ac:dyDescent="0.25">
      <c r="A384" s="217"/>
      <c r="B384" s="218" t="s">
        <v>125</v>
      </c>
      <c r="C384" s="219" t="s">
        <v>126</v>
      </c>
      <c r="D384" s="219" t="s">
        <v>127</v>
      </c>
      <c r="E384" s="219" t="s">
        <v>128</v>
      </c>
      <c r="F384" s="219" t="s">
        <v>129</v>
      </c>
      <c r="G384" s="219" t="s">
        <v>130</v>
      </c>
      <c r="H384" s="219" t="s">
        <v>131</v>
      </c>
      <c r="I384" s="219" t="s">
        <v>132</v>
      </c>
      <c r="J384" s="219" t="s">
        <v>133</v>
      </c>
      <c r="K384" s="219" t="s">
        <v>134</v>
      </c>
      <c r="L384" s="219" t="s">
        <v>135</v>
      </c>
      <c r="M384" s="219" t="s">
        <v>136</v>
      </c>
      <c r="N384" s="220" t="s">
        <v>137</v>
      </c>
    </row>
    <row r="385" spans="1:14" x14ac:dyDescent="0.2">
      <c r="A385" s="255" t="s">
        <v>1228</v>
      </c>
      <c r="B385" s="229"/>
      <c r="C385" s="233"/>
      <c r="D385" s="233"/>
      <c r="E385" s="233"/>
      <c r="F385" s="233"/>
      <c r="G385" s="233"/>
      <c r="H385" s="233"/>
      <c r="I385" s="233"/>
      <c r="J385" s="233"/>
      <c r="K385" s="233"/>
      <c r="L385" s="233"/>
      <c r="M385" s="233"/>
      <c r="N385" s="256"/>
    </row>
    <row r="386" spans="1:14" x14ac:dyDescent="0.2">
      <c r="A386" s="257" t="str">
        <f>A370</f>
        <v xml:space="preserve">  - Days</v>
      </c>
      <c r="B386" s="234"/>
      <c r="C386" s="225">
        <f>C370*(1+Assumptions!Q$6)</f>
        <v>143.85</v>
      </c>
      <c r="D386" s="225">
        <f t="shared" ref="D386:L386" si="127">C386</f>
        <v>143.85</v>
      </c>
      <c r="E386" s="225">
        <f t="shared" si="127"/>
        <v>143.85</v>
      </c>
      <c r="F386" s="225">
        <f t="shared" si="127"/>
        <v>143.85</v>
      </c>
      <c r="G386" s="225">
        <f t="shared" si="127"/>
        <v>143.85</v>
      </c>
      <c r="H386" s="225">
        <f t="shared" si="127"/>
        <v>143.85</v>
      </c>
      <c r="I386" s="225">
        <f t="shared" si="127"/>
        <v>143.85</v>
      </c>
      <c r="J386" s="225">
        <f t="shared" si="127"/>
        <v>143.85</v>
      </c>
      <c r="K386" s="225">
        <f t="shared" si="127"/>
        <v>143.85</v>
      </c>
      <c r="L386" s="225">
        <f t="shared" si="127"/>
        <v>143.85</v>
      </c>
      <c r="M386" s="225">
        <f>L386*10</f>
        <v>1438.5</v>
      </c>
      <c r="N386" s="226">
        <f>M386</f>
        <v>1438.5</v>
      </c>
    </row>
    <row r="387" spans="1:14" x14ac:dyDescent="0.2">
      <c r="A387" s="257" t="str">
        <f>A371</f>
        <v xml:space="preserve">  - Catch per boat trip in kg </v>
      </c>
      <c r="B387" s="234"/>
      <c r="C387" s="477">
        <f>+C371*(1+(Assumptions!$Q$8+Assumptions!B$30))</f>
        <v>139.28172698208954</v>
      </c>
      <c r="D387" s="477">
        <f>+D371*(1+(Assumptions!$Q$8+Assumptions!C$30))</f>
        <v>139.28172698208954</v>
      </c>
      <c r="E387" s="477">
        <f>+E371*(1+(Assumptions!$Q$8+Assumptions!D$30))</f>
        <v>139.28172698208954</v>
      </c>
      <c r="F387" s="477">
        <f>+F371*(1+(Assumptions!$Q$8+Assumptions!E$30))</f>
        <v>139.28172698208954</v>
      </c>
      <c r="G387" s="477">
        <f>+G371*(1+(Assumptions!$Q$8+Assumptions!F$30))</f>
        <v>139.28172698208954</v>
      </c>
      <c r="H387" s="477">
        <f>+H371*(1+(Assumptions!$Q$8+Assumptions!G$30))</f>
        <v>139.28172698208954</v>
      </c>
      <c r="I387" s="477">
        <f>+I371*(1+(Assumptions!$Q$8+Assumptions!H$30))</f>
        <v>139.28172698208954</v>
      </c>
      <c r="J387" s="477">
        <f>+J371*(1+(Assumptions!$Q$8+Assumptions!I$30))</f>
        <v>139.28172698208954</v>
      </c>
      <c r="K387" s="477">
        <f>+K371*(1+(Assumptions!$Q$8+Assumptions!J$30))</f>
        <v>139.28172698208954</v>
      </c>
      <c r="L387" s="477">
        <f>+L371*(1+(Assumptions!$Q$8+Assumptions!K$30))</f>
        <v>139.28172698208954</v>
      </c>
      <c r="M387" s="477">
        <f>+M371*(1+(Assumptions!$Q$8+Assumptions!L$30))</f>
        <v>139.28172698208954</v>
      </c>
      <c r="N387" s="477">
        <f>+N371*(1+(Assumptions!$Q$8+Assumptions!M$30))</f>
        <v>139.28172698208954</v>
      </c>
    </row>
    <row r="388" spans="1:14" x14ac:dyDescent="0.2">
      <c r="A388" s="451" t="s">
        <v>1221</v>
      </c>
      <c r="B388" s="234"/>
      <c r="C388" s="238"/>
      <c r="D388" s="225"/>
      <c r="E388" s="225"/>
      <c r="F388" s="225"/>
      <c r="G388" s="225"/>
      <c r="H388" s="225"/>
      <c r="I388" s="225"/>
      <c r="J388" s="225"/>
      <c r="K388" s="225"/>
      <c r="L388" s="225"/>
      <c r="M388" s="225"/>
      <c r="N388" s="226"/>
    </row>
    <row r="389" spans="1:14" x14ac:dyDescent="0.2">
      <c r="A389" s="451" t="s">
        <v>1222</v>
      </c>
      <c r="B389" s="234"/>
      <c r="C389" s="238"/>
      <c r="D389" s="238"/>
      <c r="E389" s="238"/>
      <c r="F389" s="238"/>
      <c r="G389" s="238"/>
      <c r="H389" s="238"/>
      <c r="I389" s="238"/>
      <c r="J389" s="238"/>
      <c r="K389" s="238"/>
      <c r="L389" s="238"/>
      <c r="M389" s="238"/>
      <c r="N389" s="259"/>
    </row>
    <row r="390" spans="1:14" x14ac:dyDescent="0.2">
      <c r="A390" s="451" t="s">
        <v>1225</v>
      </c>
      <c r="B390" s="234"/>
      <c r="C390" s="238"/>
      <c r="D390" s="238"/>
      <c r="E390" s="238"/>
      <c r="F390" s="238"/>
      <c r="G390" s="238"/>
      <c r="H390" s="238"/>
      <c r="I390" s="238"/>
      <c r="J390" s="238"/>
      <c r="K390" s="238"/>
      <c r="L390" s="238"/>
      <c r="M390" s="238"/>
      <c r="N390" s="259"/>
    </row>
    <row r="391" spans="1:14" x14ac:dyDescent="0.2">
      <c r="A391" s="451" t="s">
        <v>1199</v>
      </c>
      <c r="B391" s="234"/>
      <c r="C391" s="238"/>
      <c r="D391" s="238"/>
      <c r="E391" s="238"/>
      <c r="F391" s="238"/>
      <c r="G391" s="238"/>
      <c r="H391" s="238"/>
      <c r="I391" s="238"/>
      <c r="J391" s="238"/>
      <c r="K391" s="238"/>
      <c r="L391" s="238"/>
      <c r="M391" s="238"/>
      <c r="N391" s="259"/>
    </row>
    <row r="392" spans="1:14" x14ac:dyDescent="0.2">
      <c r="A392" s="257" t="str">
        <f>A376</f>
        <v xml:space="preserve">  - Average price of sales in dh/kg</v>
      </c>
      <c r="B392" s="234"/>
      <c r="C392" s="239">
        <f>+C376*(1+(Assumptions!$Q$7))</f>
        <v>14.172562174128668</v>
      </c>
      <c r="D392" s="239">
        <f>+D376*(1+(Assumptions!$Q$7))</f>
        <v>14.172562174128668</v>
      </c>
      <c r="E392" s="239">
        <f>+E376*(1+(Assumptions!$Q$7))</f>
        <v>14.172562174128668</v>
      </c>
      <c r="F392" s="239">
        <f>+F376*(1+(Assumptions!$Q$7))</f>
        <v>14.172562174128668</v>
      </c>
      <c r="G392" s="239">
        <f>+G376*(1+(Assumptions!$Q$7))</f>
        <v>14.172562174128668</v>
      </c>
      <c r="H392" s="239">
        <f>+H376*(1+(Assumptions!$Q$7))</f>
        <v>14.172562174128668</v>
      </c>
      <c r="I392" s="239">
        <f>+I376*(1+(Assumptions!$Q$7))</f>
        <v>14.172562174128668</v>
      </c>
      <c r="J392" s="239">
        <f>+J376*(1+(Assumptions!$Q$7))</f>
        <v>14.172562174128668</v>
      </c>
      <c r="K392" s="239">
        <f>+K376*(1+(Assumptions!$Q$7))</f>
        <v>14.172562174128668</v>
      </c>
      <c r="L392" s="239">
        <f>+L376*(1+(Assumptions!$Q$7))</f>
        <v>14.172562174128668</v>
      </c>
      <c r="M392" s="239">
        <f>+M376*(1+(Assumptions!$Q$7))</f>
        <v>14.172562174128668</v>
      </c>
      <c r="N392" s="239">
        <f>+N376*(1+(Assumptions!$Q$7))</f>
        <v>14.172562174128668</v>
      </c>
    </row>
    <row r="393" spans="1:14" x14ac:dyDescent="0.2">
      <c r="A393" s="451" t="s">
        <v>1221</v>
      </c>
      <c r="B393" s="236"/>
      <c r="C393" s="237"/>
      <c r="D393" s="237"/>
      <c r="E393" s="237"/>
      <c r="F393" s="237"/>
      <c r="G393" s="237"/>
      <c r="H393" s="237"/>
      <c r="I393" s="237"/>
      <c r="J393" s="237"/>
      <c r="K393" s="237"/>
      <c r="L393" s="237"/>
      <c r="M393" s="237"/>
      <c r="N393" s="258"/>
    </row>
    <row r="394" spans="1:14" x14ac:dyDescent="0.2">
      <c r="A394" s="451" t="s">
        <v>1222</v>
      </c>
      <c r="B394" s="236"/>
      <c r="C394" s="237"/>
      <c r="D394" s="237"/>
      <c r="E394" s="237"/>
      <c r="F394" s="237"/>
      <c r="G394" s="237"/>
      <c r="H394" s="237"/>
      <c r="I394" s="237"/>
      <c r="J394" s="237"/>
      <c r="K394" s="237"/>
      <c r="L394" s="237"/>
      <c r="M394" s="237"/>
      <c r="N394" s="258"/>
    </row>
    <row r="395" spans="1:14" x14ac:dyDescent="0.2">
      <c r="A395" s="451" t="s">
        <v>1225</v>
      </c>
      <c r="B395" s="236"/>
      <c r="C395" s="237"/>
      <c r="D395" s="237"/>
      <c r="E395" s="237"/>
      <c r="F395" s="237"/>
      <c r="G395" s="237"/>
      <c r="H395" s="237"/>
      <c r="I395" s="237"/>
      <c r="J395" s="237"/>
      <c r="K395" s="237"/>
      <c r="L395" s="237"/>
      <c r="M395" s="237"/>
      <c r="N395" s="258"/>
    </row>
    <row r="396" spans="1:14" ht="13.5" thickBot="1" x14ac:dyDescent="0.25">
      <c r="A396" s="451" t="s">
        <v>1199</v>
      </c>
      <c r="B396" s="236"/>
      <c r="C396" s="237"/>
      <c r="D396" s="237"/>
      <c r="E396" s="237"/>
      <c r="F396" s="237"/>
      <c r="G396" s="237"/>
      <c r="H396" s="237"/>
      <c r="I396" s="237"/>
      <c r="J396" s="237"/>
      <c r="K396" s="237"/>
      <c r="L396" s="237"/>
      <c r="M396" s="237"/>
      <c r="N396" s="258"/>
    </row>
    <row r="397" spans="1:14" x14ac:dyDescent="0.2">
      <c r="A397" s="230" t="s">
        <v>141</v>
      </c>
      <c r="B397" s="178"/>
      <c r="C397" s="178">
        <f>+C386*C387*C392</f>
        <v>283956.86985350365</v>
      </c>
      <c r="D397" s="178">
        <f t="shared" ref="D397:L397" si="128">+D386*D387*D392</f>
        <v>283956.86985350365</v>
      </c>
      <c r="E397" s="178">
        <f t="shared" si="128"/>
        <v>283956.86985350365</v>
      </c>
      <c r="F397" s="178">
        <f t="shared" si="128"/>
        <v>283956.86985350365</v>
      </c>
      <c r="G397" s="178">
        <f t="shared" si="128"/>
        <v>283956.86985350365</v>
      </c>
      <c r="H397" s="178">
        <f t="shared" si="128"/>
        <v>283956.86985350365</v>
      </c>
      <c r="I397" s="178">
        <f>+I386*I387*I392</f>
        <v>283956.86985350365</v>
      </c>
      <c r="J397" s="178">
        <f t="shared" si="128"/>
        <v>283956.86985350365</v>
      </c>
      <c r="K397" s="178">
        <f t="shared" si="128"/>
        <v>283956.86985350365</v>
      </c>
      <c r="L397" s="178">
        <f t="shared" si="128"/>
        <v>283956.86985350365</v>
      </c>
      <c r="M397" s="178">
        <f>+L397*10</f>
        <v>2839568.6985350363</v>
      </c>
      <c r="N397" s="179">
        <f>+M397</f>
        <v>2839568.6985350363</v>
      </c>
    </row>
    <row r="398" spans="1:14" x14ac:dyDescent="0.2">
      <c r="A398" s="453" t="s">
        <v>1227</v>
      </c>
      <c r="B398" s="212"/>
      <c r="C398" s="460">
        <f>+'Boat Costs'!N14</f>
        <v>217138.52223472664</v>
      </c>
      <c r="D398" s="456">
        <f>+C398</f>
        <v>217138.52223472664</v>
      </c>
      <c r="E398" s="456">
        <f t="shared" ref="E398:L398" si="129">+D398</f>
        <v>217138.52223472664</v>
      </c>
      <c r="F398" s="456">
        <f t="shared" si="129"/>
        <v>217138.52223472664</v>
      </c>
      <c r="G398" s="456">
        <f t="shared" si="129"/>
        <v>217138.52223472664</v>
      </c>
      <c r="H398" s="456">
        <f t="shared" si="129"/>
        <v>217138.52223472664</v>
      </c>
      <c r="I398" s="456">
        <f t="shared" si="129"/>
        <v>217138.52223472664</v>
      </c>
      <c r="J398" s="456">
        <f t="shared" si="129"/>
        <v>217138.52223472664</v>
      </c>
      <c r="K398" s="456">
        <f t="shared" si="129"/>
        <v>217138.52223472664</v>
      </c>
      <c r="L398" s="456">
        <f t="shared" si="129"/>
        <v>217138.52223472664</v>
      </c>
      <c r="M398" s="456">
        <f>+L398*10</f>
        <v>2171385.2223472665</v>
      </c>
      <c r="N398" s="457">
        <f>+M398</f>
        <v>2171385.2223472665</v>
      </c>
    </row>
  </sheetData>
  <mergeCells count="39">
    <mergeCell ref="A57:K57"/>
    <mergeCell ref="A1:K1"/>
    <mergeCell ref="A5:K5"/>
    <mergeCell ref="A21:K21"/>
    <mergeCell ref="A2:I2"/>
    <mergeCell ref="A41:K41"/>
    <mergeCell ref="A94:K94"/>
    <mergeCell ref="A115:K115"/>
    <mergeCell ref="A131:K131"/>
    <mergeCell ref="A151:K151"/>
    <mergeCell ref="A167:K167"/>
    <mergeCell ref="A383:K383"/>
    <mergeCell ref="Q16:Q18"/>
    <mergeCell ref="T16:U16"/>
    <mergeCell ref="V16:W16"/>
    <mergeCell ref="X16:X18"/>
    <mergeCell ref="P17:P18"/>
    <mergeCell ref="T17:T18"/>
    <mergeCell ref="V17:V18"/>
    <mergeCell ref="W17:W18"/>
    <mergeCell ref="A187:K187"/>
    <mergeCell ref="A203:K203"/>
    <mergeCell ref="A223:K223"/>
    <mergeCell ref="A239:K239"/>
    <mergeCell ref="A259:K259"/>
    <mergeCell ref="A275:K275"/>
    <mergeCell ref="A78:K78"/>
    <mergeCell ref="A295:K295"/>
    <mergeCell ref="A311:K311"/>
    <mergeCell ref="A331:K331"/>
    <mergeCell ref="A347:K347"/>
    <mergeCell ref="A367:K367"/>
    <mergeCell ref="R33:R34"/>
    <mergeCell ref="Y16:Z16"/>
    <mergeCell ref="AA16:AB16"/>
    <mergeCell ref="AC16:AC18"/>
    <mergeCell ref="Y17:Y18"/>
    <mergeCell ref="AA17:AA18"/>
    <mergeCell ref="AB17:AB18"/>
  </mergeCells>
  <phoneticPr fontId="4" type="noConversion"/>
  <conditionalFormatting sqref="A2">
    <cfRule type="cellIs" dxfId="9" priority="1" stopIfTrue="1" operator="equal">
      <formula>0</formula>
    </cfRule>
    <cfRule type="cellIs" dxfId="8" priority="2" stopIfTrue="1" operator="notEqual">
      <formula>0</formula>
    </cfRule>
  </conditionalFormatting>
  <pageMargins left="0.78740157499999996" right="0.78740157499999996" top="0.984251969" bottom="0.984251969" header="0.4921259845" footer="0.4921259845"/>
  <pageSetup orientation="landscape" r:id="rId1"/>
  <headerFooter alignWithMargins="0"/>
  <ignoredErrors>
    <ignoredError sqref="M8" 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K93"/>
  <sheetViews>
    <sheetView showGridLines="0" showZeros="0" zoomScale="75" zoomScaleNormal="100" workbookViewId="0">
      <selection activeCell="C32" sqref="C32"/>
    </sheetView>
  </sheetViews>
  <sheetFormatPr defaultColWidth="11.42578125" defaultRowHeight="12.75" x14ac:dyDescent="0.2"/>
  <cols>
    <col min="1" max="1" width="38.85546875" style="17" customWidth="1"/>
    <col min="2" max="2" width="4" style="17" bestFit="1" customWidth="1"/>
    <col min="3" max="3" width="12.42578125" style="17" customWidth="1"/>
    <col min="4" max="13" width="10.140625" style="17" bestFit="1" customWidth="1"/>
    <col min="14" max="15" width="11.140625" style="17" bestFit="1" customWidth="1"/>
    <col min="16" max="16" width="11.42578125" style="17"/>
    <col min="17" max="17" width="20.28515625" style="17" customWidth="1"/>
    <col min="18" max="18" width="1.5703125" style="17" customWidth="1"/>
    <col min="19" max="16384" width="11.42578125" style="17"/>
  </cols>
  <sheetData>
    <row r="1" spans="1:37" ht="16.5" thickBot="1" x14ac:dyDescent="0.3">
      <c r="A1" s="1067" t="s">
        <v>142</v>
      </c>
      <c r="B1" s="1068"/>
      <c r="C1" s="1068"/>
      <c r="D1" s="1068"/>
      <c r="E1" s="1068"/>
      <c r="F1" s="1068"/>
      <c r="G1" s="1068"/>
      <c r="H1" s="1068"/>
      <c r="I1" s="1068"/>
      <c r="J1" s="1068"/>
      <c r="K1" s="1068"/>
      <c r="L1" s="1068"/>
      <c r="M1" s="261"/>
      <c r="N1" s="261"/>
      <c r="O1" s="262"/>
    </row>
    <row r="2" spans="1:37" ht="16.5" thickTop="1" x14ac:dyDescent="0.25">
      <c r="A2" s="395"/>
      <c r="B2" s="395"/>
      <c r="C2" s="395"/>
      <c r="D2" s="395"/>
      <c r="E2" s="395"/>
      <c r="F2" s="395"/>
      <c r="G2" s="395"/>
      <c r="H2" s="395"/>
      <c r="I2" s="395"/>
      <c r="J2" s="395"/>
      <c r="K2" s="395"/>
      <c r="L2" s="395"/>
      <c r="M2" s="396"/>
      <c r="N2" s="396"/>
      <c r="O2" s="397"/>
    </row>
    <row r="3" spans="1:37" x14ac:dyDescent="0.2">
      <c r="A3" s="264"/>
      <c r="B3" s="264"/>
      <c r="C3" s="264" t="s">
        <v>1353</v>
      </c>
      <c r="D3" s="31" t="s">
        <v>14</v>
      </c>
      <c r="E3" s="31" t="s">
        <v>15</v>
      </c>
      <c r="F3" s="31" t="s">
        <v>16</v>
      </c>
      <c r="G3" s="31" t="s">
        <v>50</v>
      </c>
      <c r="H3" s="31" t="s">
        <v>178</v>
      </c>
      <c r="I3" s="31" t="s">
        <v>165</v>
      </c>
      <c r="J3" s="31" t="s">
        <v>179</v>
      </c>
      <c r="K3" s="31" t="s">
        <v>163</v>
      </c>
      <c r="L3" s="31" t="s">
        <v>180</v>
      </c>
      <c r="M3" s="31" t="s">
        <v>162</v>
      </c>
      <c r="N3" s="31" t="s">
        <v>164</v>
      </c>
      <c r="O3" s="399"/>
    </row>
    <row r="4" spans="1:37" x14ac:dyDescent="0.2">
      <c r="A4" s="400" t="s">
        <v>1249</v>
      </c>
      <c r="B4" s="264"/>
      <c r="C4" s="410">
        <f>AVERAGE(D4:N4)</f>
        <v>212.54545454545453</v>
      </c>
      <c r="D4" s="401">
        <f>+'Value Chain'!D9</f>
        <v>135</v>
      </c>
      <c r="E4" s="401">
        <f>+'Value Chain'!D30</f>
        <v>500</v>
      </c>
      <c r="F4" s="401">
        <f>+'Value Chain'!D51</f>
        <v>459</v>
      </c>
      <c r="G4" s="401">
        <f>+'Value Chain'!D72</f>
        <v>236</v>
      </c>
      <c r="H4" s="401">
        <f>+'Value Chain'!D93</f>
        <v>314</v>
      </c>
      <c r="I4" s="401">
        <f>+'Value Chain'!D114</f>
        <v>220</v>
      </c>
      <c r="J4" s="401">
        <f>+'Value Chain'!D135</f>
        <v>56</v>
      </c>
      <c r="K4" s="401">
        <f>+'Value Chain'!D156</f>
        <v>109</v>
      </c>
      <c r="L4" s="401">
        <f>+'Value Chain'!D177</f>
        <v>124</v>
      </c>
      <c r="M4" s="401">
        <f>+'Value Chain'!D198</f>
        <v>59</v>
      </c>
      <c r="N4" s="401">
        <f>+'Value Chain'!D219</f>
        <v>126</v>
      </c>
      <c r="O4" s="403"/>
      <c r="AB4" s="404"/>
      <c r="AC4" s="405"/>
    </row>
    <row r="5" spans="1:37" x14ac:dyDescent="0.2">
      <c r="A5" s="400" t="s">
        <v>1250</v>
      </c>
      <c r="B5" s="264"/>
      <c r="C5" s="410">
        <f>AVERAGE(D5:N5)</f>
        <v>212.54545454545453</v>
      </c>
      <c r="D5" s="401">
        <f>+D4*(1+Assumptions!$Q11)</f>
        <v>135</v>
      </c>
      <c r="E5" s="401">
        <f>+E4*(1+Assumptions!$Q11)</f>
        <v>500</v>
      </c>
      <c r="F5" s="401">
        <f>+F4*(1+Assumptions!$Q11)</f>
        <v>459</v>
      </c>
      <c r="G5" s="401">
        <f>+G4*(1+Assumptions!$Q11)</f>
        <v>236</v>
      </c>
      <c r="H5" s="401">
        <f>+H4*(1+Assumptions!$Q11)</f>
        <v>314</v>
      </c>
      <c r="I5" s="401">
        <f>+I4*(1+Assumptions!$Q11)</f>
        <v>220</v>
      </c>
      <c r="J5" s="401">
        <f>+J4*(1+Assumptions!$Q11)</f>
        <v>56</v>
      </c>
      <c r="K5" s="401">
        <f>+K4*(1+Assumptions!$Q11)</f>
        <v>109</v>
      </c>
      <c r="L5" s="401">
        <f>+L4*(1+Assumptions!$Q11)</f>
        <v>124</v>
      </c>
      <c r="M5" s="401">
        <f>+M4*(1+Assumptions!$Q11)</f>
        <v>59</v>
      </c>
      <c r="N5" s="401">
        <f>+N4*(1+Assumptions!$Q11)</f>
        <v>126</v>
      </c>
    </row>
    <row r="6" spans="1:37" ht="14.25" customHeight="1" x14ac:dyDescent="0.2">
      <c r="A6" s="400" t="s">
        <v>1320</v>
      </c>
      <c r="B6" s="264"/>
      <c r="C6" s="405">
        <f>AVERAGE(D6:N6)</f>
        <v>141.36363636363637</v>
      </c>
      <c r="D6" s="398">
        <f>+'Statistics of Interest'!D72</f>
        <v>139</v>
      </c>
      <c r="E6" s="398">
        <f>+'Statistics of Interest'!D73</f>
        <v>114</v>
      </c>
      <c r="F6" s="398">
        <f>+'Statistics of Interest'!D74</f>
        <v>179</v>
      </c>
      <c r="G6" s="398">
        <f>+'Statistics of Interest'!D77</f>
        <v>83</v>
      </c>
      <c r="H6" s="398">
        <f>+'Statistics of Interest'!D75</f>
        <v>128</v>
      </c>
      <c r="I6" s="398">
        <f>+'Statistics of Interest'!D76</f>
        <v>83</v>
      </c>
      <c r="J6" s="398">
        <f>+'Statistics of Interest'!D67</f>
        <v>158</v>
      </c>
      <c r="K6" s="398">
        <f>+'Statistics of Interest'!D70</f>
        <v>161</v>
      </c>
      <c r="L6" s="398">
        <f>+'Statistics of Interest'!D68</f>
        <v>181</v>
      </c>
      <c r="M6" s="398">
        <f>+'Statistics of Interest'!D69</f>
        <v>192</v>
      </c>
      <c r="N6" s="398">
        <f>+'Statistics of Interest'!D71</f>
        <v>137</v>
      </c>
      <c r="O6" s="207"/>
    </row>
    <row r="7" spans="1:37" ht="14.25" customHeight="1" x14ac:dyDescent="0.2">
      <c r="A7" s="400" t="s">
        <v>1321</v>
      </c>
      <c r="B7" s="264"/>
      <c r="C7" s="405">
        <f>+C6*(1+Assumptions!$Q6)</f>
        <v>148.43181818181819</v>
      </c>
      <c r="D7" s="401">
        <f>+D6*(1+Assumptions!$Q6)</f>
        <v>145.95000000000002</v>
      </c>
      <c r="E7" s="401">
        <f>+E6*(1+Assumptions!$Q6)</f>
        <v>119.7</v>
      </c>
      <c r="F7" s="401">
        <f>+F6*(1+Assumptions!$Q6)</f>
        <v>187.95000000000002</v>
      </c>
      <c r="G7" s="401">
        <f>+G6*(1+Assumptions!$Q6)</f>
        <v>87.15</v>
      </c>
      <c r="H7" s="401">
        <f>+H6*(1+Assumptions!$Q6)</f>
        <v>134.4</v>
      </c>
      <c r="I7" s="401">
        <f>+I6*(1+Assumptions!$Q6)</f>
        <v>87.15</v>
      </c>
      <c r="J7" s="401">
        <f>+J6*(1+Assumptions!$Q6)</f>
        <v>165.9</v>
      </c>
      <c r="K7" s="401">
        <f>+K6*(1+Assumptions!$Q6)</f>
        <v>169.05</v>
      </c>
      <c r="L7" s="401">
        <f>+L6*(1+Assumptions!$Q6)</f>
        <v>190.05</v>
      </c>
      <c r="M7" s="401">
        <f>+M6*(1+Assumptions!$Q6)</f>
        <v>201.60000000000002</v>
      </c>
      <c r="N7" s="401">
        <f>+N6*(1+Assumptions!$Q6)</f>
        <v>143.85</v>
      </c>
      <c r="O7" s="207"/>
    </row>
    <row r="8" spans="1:37" ht="14.25" customHeight="1" x14ac:dyDescent="0.2">
      <c r="A8" s="400"/>
      <c r="B8" s="264"/>
      <c r="C8" s="264"/>
      <c r="D8" s="398"/>
      <c r="E8" s="398"/>
      <c r="F8" s="398"/>
      <c r="G8" s="398"/>
      <c r="H8" s="398"/>
      <c r="I8" s="398"/>
      <c r="J8" s="398"/>
      <c r="K8" s="398"/>
      <c r="L8" s="398"/>
      <c r="M8" s="398"/>
      <c r="N8" s="398"/>
      <c r="O8" s="207"/>
    </row>
    <row r="9" spans="1:37" ht="14.25" customHeight="1" x14ac:dyDescent="0.2">
      <c r="A9" s="400"/>
      <c r="B9" s="264"/>
      <c r="C9" s="264"/>
      <c r="D9" s="398"/>
      <c r="E9" s="398"/>
      <c r="F9" s="398"/>
      <c r="G9" s="398"/>
      <c r="H9" s="398"/>
      <c r="I9" s="398"/>
      <c r="J9" s="398"/>
      <c r="K9" s="398"/>
      <c r="L9" s="398"/>
      <c r="M9" s="398"/>
      <c r="N9" s="398"/>
      <c r="O9" s="207"/>
    </row>
    <row r="10" spans="1:37" ht="14.25" customHeight="1" x14ac:dyDescent="0.2">
      <c r="A10" s="400"/>
      <c r="B10" s="264"/>
      <c r="C10" s="264"/>
      <c r="D10" s="398"/>
      <c r="E10" s="398"/>
      <c r="F10" s="398"/>
      <c r="G10" s="398"/>
      <c r="H10" s="398"/>
      <c r="I10" s="398"/>
      <c r="J10" s="398"/>
      <c r="K10" s="398"/>
      <c r="L10" s="398"/>
      <c r="M10" s="398"/>
      <c r="N10" s="398"/>
      <c r="O10" s="207"/>
    </row>
    <row r="11" spans="1:37" ht="13.5" thickBot="1" x14ac:dyDescent="0.25">
      <c r="A11" s="400"/>
      <c r="B11" s="264"/>
      <c r="C11" s="264"/>
      <c r="D11" s="401"/>
      <c r="E11" s="401"/>
      <c r="F11" s="401"/>
      <c r="G11" s="401"/>
      <c r="H11" s="401"/>
      <c r="I11" s="401"/>
      <c r="J11" s="401"/>
      <c r="K11" s="401"/>
      <c r="L11" s="401"/>
      <c r="M11" s="401"/>
      <c r="N11" s="401"/>
      <c r="O11" s="207"/>
      <c r="Q11" s="17" t="s">
        <v>1317</v>
      </c>
    </row>
    <row r="12" spans="1:37" ht="13.5" thickBot="1" x14ac:dyDescent="0.25">
      <c r="A12" s="208" t="s">
        <v>143</v>
      </c>
      <c r="B12" s="209"/>
      <c r="C12" s="12"/>
      <c r="D12" s="12">
        <f>+D59-D35</f>
        <v>8525.1001768489077</v>
      </c>
      <c r="E12" s="12">
        <f t="shared" ref="E12:N12" si="0">+E59-E35</f>
        <v>6991.8087781350478</v>
      </c>
      <c r="F12" s="12">
        <f t="shared" si="0"/>
        <v>10978.366414791031</v>
      </c>
      <c r="G12" s="12">
        <f t="shared" si="0"/>
        <v>5090.527443729894</v>
      </c>
      <c r="H12" s="12">
        <f t="shared" si="0"/>
        <v>7850.4519614148303</v>
      </c>
      <c r="I12" s="12">
        <f t="shared" si="0"/>
        <v>5090.527443729894</v>
      </c>
      <c r="J12" s="12">
        <f t="shared" si="0"/>
        <v>9690.4016398714157</v>
      </c>
      <c r="K12" s="12">
        <f t="shared" si="0"/>
        <v>9874.3966077170626</v>
      </c>
      <c r="L12" s="12">
        <f t="shared" si="0"/>
        <v>11101.02972668811</v>
      </c>
      <c r="M12" s="12">
        <f t="shared" si="0"/>
        <v>11775.677942122275</v>
      </c>
      <c r="N12" s="12">
        <f t="shared" si="0"/>
        <v>8402.4368649517419</v>
      </c>
      <c r="O12" s="207"/>
    </row>
    <row r="13" spans="1:37" s="210" customFormat="1" ht="13.5" thickBot="1" x14ac:dyDescent="0.25">
      <c r="A13" s="208" t="s">
        <v>207</v>
      </c>
      <c r="B13" s="211"/>
      <c r="C13" s="211"/>
      <c r="D13" s="12">
        <f>+D35</f>
        <v>211783.32749196139</v>
      </c>
      <c r="E13" s="12">
        <f t="shared" ref="E13:N13" si="1">+E35</f>
        <v>173692.80096463021</v>
      </c>
      <c r="F13" s="12">
        <f t="shared" si="1"/>
        <v>272728.16993569129</v>
      </c>
      <c r="G13" s="12">
        <f t="shared" si="1"/>
        <v>126460.54807073955</v>
      </c>
      <c r="H13" s="12">
        <f t="shared" si="1"/>
        <v>195023.49581993566</v>
      </c>
      <c r="I13" s="12">
        <f t="shared" si="1"/>
        <v>126460.54807073955</v>
      </c>
      <c r="J13" s="12">
        <f t="shared" si="1"/>
        <v>240732.12765273309</v>
      </c>
      <c r="K13" s="12">
        <f t="shared" si="1"/>
        <v>245302.99083601285</v>
      </c>
      <c r="L13" s="12">
        <f t="shared" si="1"/>
        <v>275775.41205787775</v>
      </c>
      <c r="M13" s="12">
        <f t="shared" si="1"/>
        <v>292535.24372990348</v>
      </c>
      <c r="N13" s="12">
        <f t="shared" si="1"/>
        <v>208736.0853697749</v>
      </c>
      <c r="O13" s="207"/>
      <c r="P13" s="17"/>
      <c r="Q13" t="s">
        <v>194</v>
      </c>
      <c r="R13" s="17"/>
      <c r="S13" t="s">
        <v>196</v>
      </c>
      <c r="T13" t="s">
        <v>1350</v>
      </c>
      <c r="U13" s="17"/>
      <c r="V13" s="17"/>
      <c r="W13" s="17"/>
      <c r="X13" s="17"/>
      <c r="Y13" s="17"/>
      <c r="Z13" s="17"/>
      <c r="AA13" s="17"/>
      <c r="AB13" s="17"/>
      <c r="AC13" s="17"/>
      <c r="AD13" s="17"/>
      <c r="AE13" s="17"/>
      <c r="AF13" s="17"/>
      <c r="AG13" s="17"/>
      <c r="AH13" s="17"/>
      <c r="AI13" s="17"/>
      <c r="AJ13" s="17"/>
      <c r="AK13" s="17"/>
    </row>
    <row r="14" spans="1:37" s="212" customFormat="1" ht="13.5" thickBot="1" x14ac:dyDescent="0.25">
      <c r="A14" s="208" t="s">
        <v>206</v>
      </c>
      <c r="B14" s="213"/>
      <c r="C14" s="213"/>
      <c r="D14" s="12">
        <f>+D59</f>
        <v>220308.4276688103</v>
      </c>
      <c r="E14" s="12">
        <f t="shared" ref="E14:N14" si="2">+E59</f>
        <v>180684.60974276526</v>
      </c>
      <c r="F14" s="12">
        <f t="shared" si="2"/>
        <v>283706.53635048232</v>
      </c>
      <c r="G14" s="12">
        <f t="shared" si="2"/>
        <v>131551.07551446944</v>
      </c>
      <c r="H14" s="12">
        <f t="shared" si="2"/>
        <v>202873.94778135049</v>
      </c>
      <c r="I14" s="12">
        <f t="shared" si="2"/>
        <v>131551.07551446944</v>
      </c>
      <c r="J14" s="12">
        <f t="shared" si="2"/>
        <v>250422.52929260451</v>
      </c>
      <c r="K14" s="12">
        <f t="shared" si="2"/>
        <v>255177.38744372991</v>
      </c>
      <c r="L14" s="12">
        <f t="shared" si="2"/>
        <v>286876.44178456586</v>
      </c>
      <c r="M14" s="12">
        <f t="shared" si="2"/>
        <v>304310.92167202575</v>
      </c>
      <c r="N14" s="12">
        <f t="shared" si="2"/>
        <v>217138.52223472664</v>
      </c>
      <c r="O14" s="207"/>
      <c r="P14" s="17"/>
      <c r="Q14" t="s">
        <v>1252</v>
      </c>
      <c r="R14" s="17"/>
      <c r="S14"/>
      <c r="T14"/>
      <c r="U14" s="17"/>
      <c r="V14" s="17"/>
      <c r="W14" s="17"/>
      <c r="X14" s="17"/>
      <c r="Y14" s="17"/>
      <c r="Z14" s="17"/>
      <c r="AA14" s="17"/>
      <c r="AB14" s="17"/>
      <c r="AC14" s="17"/>
      <c r="AD14" s="17"/>
      <c r="AE14" s="17"/>
      <c r="AF14" s="17"/>
      <c r="AG14" s="17"/>
      <c r="AH14" s="17"/>
      <c r="AI14" s="17"/>
      <c r="AJ14" s="17"/>
      <c r="AK14" s="17"/>
    </row>
    <row r="15" spans="1:37" s="214" customFormat="1" ht="13.5" thickBot="1" x14ac:dyDescent="0.25">
      <c r="A15" s="176"/>
      <c r="B15" s="57"/>
      <c r="C15" s="57"/>
      <c r="D15" s="57"/>
      <c r="E15" s="57"/>
      <c r="F15" s="57"/>
      <c r="G15" s="57"/>
      <c r="H15" s="57"/>
      <c r="I15" s="57"/>
      <c r="J15" s="57"/>
      <c r="K15" s="57"/>
      <c r="L15" s="57"/>
      <c r="M15" s="57"/>
      <c r="N15" s="57"/>
      <c r="O15" s="207"/>
      <c r="P15" s="17"/>
      <c r="Q15" s="386" t="s">
        <v>1253</v>
      </c>
      <c r="R15" s="17"/>
      <c r="S15">
        <v>2515</v>
      </c>
      <c r="T15" s="387">
        <f t="shared" ref="T15:T21" si="3">+S15/$S$21</f>
        <v>0.16061051152691744</v>
      </c>
      <c r="U15" s="17"/>
      <c r="V15" s="17"/>
      <c r="W15" s="17"/>
      <c r="X15" s="17"/>
      <c r="Y15" s="17"/>
      <c r="Z15" s="17"/>
      <c r="AA15" s="17"/>
      <c r="AB15" s="17"/>
      <c r="AC15" s="17"/>
      <c r="AD15" s="17"/>
      <c r="AE15" s="17"/>
      <c r="AF15" s="17"/>
      <c r="AG15" s="17"/>
      <c r="AH15" s="17"/>
      <c r="AI15" s="17"/>
      <c r="AJ15" s="17"/>
      <c r="AK15" s="17"/>
    </row>
    <row r="16" spans="1:37" ht="16.5" thickBot="1" x14ac:dyDescent="0.3">
      <c r="A16" s="1056" t="s">
        <v>123</v>
      </c>
      <c r="B16" s="1057"/>
      <c r="C16" s="1057"/>
      <c r="D16" s="1057"/>
      <c r="E16" s="1057"/>
      <c r="F16" s="1057"/>
      <c r="G16" s="1057"/>
      <c r="H16" s="1057"/>
      <c r="I16" s="1057"/>
      <c r="J16" s="1057"/>
      <c r="K16" s="1057"/>
      <c r="L16" s="1057"/>
      <c r="M16" s="215"/>
      <c r="N16" s="215"/>
      <c r="O16" s="207"/>
      <c r="Q16" s="386" t="s">
        <v>1254</v>
      </c>
      <c r="S16">
        <v>3132</v>
      </c>
      <c r="T16" s="387">
        <f t="shared" si="3"/>
        <v>0.2000127722076761</v>
      </c>
    </row>
    <row r="17" spans="1:20" ht="13.5" thickBot="1" x14ac:dyDescent="0.25">
      <c r="A17" s="217"/>
      <c r="B17" s="218" t="s">
        <v>36</v>
      </c>
      <c r="C17" s="219" t="s">
        <v>1322</v>
      </c>
      <c r="D17" s="1069" t="s">
        <v>201</v>
      </c>
      <c r="E17" s="1069"/>
      <c r="F17" s="1069"/>
      <c r="G17" s="1069"/>
      <c r="H17" s="1069"/>
      <c r="I17" s="1069"/>
      <c r="J17" s="1069"/>
      <c r="K17" s="1069"/>
      <c r="L17" s="1069"/>
      <c r="M17" s="1069"/>
      <c r="N17" s="1069"/>
      <c r="O17" s="207"/>
      <c r="Q17" s="386" t="s">
        <v>1256</v>
      </c>
      <c r="S17">
        <v>8722</v>
      </c>
      <c r="T17" s="387">
        <f t="shared" si="3"/>
        <v>0.55699597675458201</v>
      </c>
    </row>
    <row r="18" spans="1:20" ht="13.5" thickBot="1" x14ac:dyDescent="0.25">
      <c r="A18" s="221" t="s">
        <v>144</v>
      </c>
      <c r="B18" s="222"/>
      <c r="C18" s="15">
        <f>SUM(C19:C25)</f>
        <v>1419.4499999999998</v>
      </c>
      <c r="D18" s="409">
        <f>+$C18*D$6</f>
        <v>197303.55</v>
      </c>
      <c r="E18" s="409">
        <f t="shared" ref="E18:N18" si="4">+$C18*E$6</f>
        <v>161817.29999999999</v>
      </c>
      <c r="F18" s="409">
        <f t="shared" si="4"/>
        <v>254081.54999999996</v>
      </c>
      <c r="G18" s="409">
        <f t="shared" si="4"/>
        <v>117814.34999999999</v>
      </c>
      <c r="H18" s="409">
        <f t="shared" si="4"/>
        <v>181689.59999999998</v>
      </c>
      <c r="I18" s="409">
        <f t="shared" si="4"/>
        <v>117814.34999999999</v>
      </c>
      <c r="J18" s="409">
        <f t="shared" si="4"/>
        <v>224273.09999999998</v>
      </c>
      <c r="K18" s="409">
        <f t="shared" si="4"/>
        <v>228531.44999999998</v>
      </c>
      <c r="L18" s="409">
        <f t="shared" si="4"/>
        <v>256920.44999999995</v>
      </c>
      <c r="M18" s="409">
        <f t="shared" si="4"/>
        <v>272534.39999999997</v>
      </c>
      <c r="N18" s="409">
        <f t="shared" si="4"/>
        <v>194464.64999999997</v>
      </c>
      <c r="O18" s="207"/>
      <c r="Q18" t="s">
        <v>1257</v>
      </c>
      <c r="S18">
        <v>933</v>
      </c>
      <c r="T18" s="387">
        <f t="shared" si="3"/>
        <v>5.9582348808991631E-2</v>
      </c>
    </row>
    <row r="19" spans="1:20" x14ac:dyDescent="0.2">
      <c r="A19" s="406" t="s">
        <v>1251</v>
      </c>
      <c r="B19" s="224"/>
      <c r="C19" s="225">
        <f>+S32</f>
        <v>566.79999999999995</v>
      </c>
      <c r="D19" s="225"/>
      <c r="E19" s="225"/>
      <c r="F19" s="225"/>
      <c r="G19" s="225"/>
      <c r="H19" s="225"/>
      <c r="I19" s="225"/>
      <c r="J19" s="225"/>
      <c r="K19" s="225"/>
      <c r="L19" s="225"/>
      <c r="M19" s="225"/>
      <c r="N19" s="224"/>
      <c r="O19" s="207"/>
      <c r="Q19" t="s">
        <v>195</v>
      </c>
      <c r="S19">
        <v>204</v>
      </c>
      <c r="T19" s="387">
        <f t="shared" si="3"/>
        <v>1.302765182961875E-2</v>
      </c>
    </row>
    <row r="20" spans="1:20" x14ac:dyDescent="0.2">
      <c r="A20" s="406" t="s">
        <v>1260</v>
      </c>
      <c r="B20" s="224"/>
      <c r="C20" s="225">
        <f t="shared" ref="C20:C25" si="5">+S33</f>
        <v>341.6</v>
      </c>
      <c r="D20" s="225"/>
      <c r="E20" s="225"/>
      <c r="F20" s="225"/>
      <c r="G20" s="225"/>
      <c r="H20" s="225"/>
      <c r="I20" s="225"/>
      <c r="J20" s="225"/>
      <c r="K20" s="225"/>
      <c r="L20" s="225"/>
      <c r="M20" s="225"/>
      <c r="N20" s="224"/>
      <c r="O20" s="207"/>
      <c r="Q20" t="s">
        <v>1258</v>
      </c>
      <c r="S20">
        <v>153</v>
      </c>
      <c r="T20" s="387">
        <f t="shared" si="3"/>
        <v>9.7707388722140624E-3</v>
      </c>
    </row>
    <row r="21" spans="1:20" x14ac:dyDescent="0.2">
      <c r="A21" s="406" t="s">
        <v>1261</v>
      </c>
      <c r="B21" s="224"/>
      <c r="C21" s="225">
        <f t="shared" si="5"/>
        <v>88.6</v>
      </c>
      <c r="D21" s="225"/>
      <c r="E21" s="225"/>
      <c r="F21" s="225"/>
      <c r="G21" s="225"/>
      <c r="H21" s="225"/>
      <c r="I21" s="225"/>
      <c r="J21" s="225"/>
      <c r="K21" s="225"/>
      <c r="L21" s="225"/>
      <c r="M21" s="225"/>
      <c r="N21" s="224"/>
      <c r="O21" s="207"/>
      <c r="Q21" t="s">
        <v>30</v>
      </c>
      <c r="S21">
        <f>SUM(S15:S20)</f>
        <v>15659</v>
      </c>
      <c r="T21" s="387">
        <f t="shared" si="3"/>
        <v>1</v>
      </c>
    </row>
    <row r="22" spans="1:20" x14ac:dyDescent="0.2">
      <c r="A22" s="406" t="s">
        <v>1262</v>
      </c>
      <c r="B22" s="223"/>
      <c r="C22" s="225">
        <f t="shared" si="5"/>
        <v>185.95</v>
      </c>
      <c r="D22" s="225"/>
      <c r="E22" s="225"/>
      <c r="F22" s="225"/>
      <c r="G22" s="225"/>
      <c r="H22" s="225"/>
      <c r="I22" s="225"/>
      <c r="J22" s="225"/>
      <c r="K22" s="225"/>
      <c r="L22" s="225"/>
      <c r="M22" s="225"/>
      <c r="N22" s="225"/>
      <c r="O22" s="207"/>
      <c r="Q22" s="17" t="s">
        <v>1332</v>
      </c>
    </row>
    <row r="23" spans="1:20" x14ac:dyDescent="0.2">
      <c r="A23" s="406" t="s">
        <v>1263</v>
      </c>
      <c r="B23" s="223"/>
      <c r="C23" s="225">
        <f t="shared" si="5"/>
        <v>109.6</v>
      </c>
      <c r="D23" s="225"/>
      <c r="E23" s="225"/>
      <c r="F23" s="225"/>
      <c r="G23" s="225"/>
      <c r="H23" s="225"/>
      <c r="I23" s="225"/>
      <c r="J23" s="225"/>
      <c r="K23" s="225"/>
      <c r="L23" s="225"/>
      <c r="M23" s="225"/>
      <c r="N23" s="225"/>
      <c r="O23" s="207"/>
    </row>
    <row r="24" spans="1:20" x14ac:dyDescent="0.2">
      <c r="A24" s="406" t="s">
        <v>1264</v>
      </c>
      <c r="B24" s="223"/>
      <c r="C24" s="225">
        <f t="shared" si="5"/>
        <v>71.599999999999994</v>
      </c>
      <c r="D24" s="225"/>
      <c r="E24" s="225"/>
      <c r="F24" s="225"/>
      <c r="G24" s="225"/>
      <c r="H24" s="225"/>
      <c r="I24" s="225"/>
      <c r="J24" s="225"/>
      <c r="K24" s="225"/>
      <c r="L24" s="225"/>
      <c r="M24" s="225"/>
      <c r="N24" s="225"/>
      <c r="O24" s="207"/>
    </row>
    <row r="25" spans="1:20" ht="13.5" thickBot="1" x14ac:dyDescent="0.25">
      <c r="A25" s="406" t="s">
        <v>1258</v>
      </c>
      <c r="B25" s="223"/>
      <c r="C25" s="225">
        <f t="shared" si="5"/>
        <v>55.3</v>
      </c>
      <c r="D25" s="225"/>
      <c r="E25" s="225"/>
      <c r="F25" s="225"/>
      <c r="G25" s="225"/>
      <c r="H25" s="225"/>
      <c r="I25" s="225"/>
      <c r="J25" s="225"/>
      <c r="K25" s="225"/>
      <c r="L25" s="225"/>
      <c r="M25" s="225"/>
      <c r="N25" s="225"/>
      <c r="O25" s="207"/>
    </row>
    <row r="26" spans="1:20" s="13" customFormat="1" ht="13.5" thickBot="1" x14ac:dyDescent="0.25">
      <c r="A26" s="221" t="s">
        <v>145</v>
      </c>
      <c r="B26" s="222"/>
      <c r="C26" s="42">
        <f>SUM(C27:C32)</f>
        <v>102.72797427652732</v>
      </c>
      <c r="D26" s="409">
        <f>+$C26*D$6</f>
        <v>14279.188424437298</v>
      </c>
      <c r="E26" s="409">
        <f t="shared" ref="E26:N26" si="6">+$C26*E$6</f>
        <v>11710.989067524115</v>
      </c>
      <c r="F26" s="409">
        <f t="shared" si="6"/>
        <v>18388.307395498392</v>
      </c>
      <c r="G26" s="409">
        <f t="shared" si="6"/>
        <v>8526.4218649517679</v>
      </c>
      <c r="H26" s="409">
        <f t="shared" si="6"/>
        <v>13149.180707395497</v>
      </c>
      <c r="I26" s="409">
        <f t="shared" si="6"/>
        <v>8526.4218649517679</v>
      </c>
      <c r="J26" s="409">
        <f t="shared" si="6"/>
        <v>16231.019935691316</v>
      </c>
      <c r="K26" s="409">
        <f t="shared" si="6"/>
        <v>16539.203858520897</v>
      </c>
      <c r="L26" s="409">
        <f t="shared" si="6"/>
        <v>18593.763344051444</v>
      </c>
      <c r="M26" s="409">
        <f t="shared" si="6"/>
        <v>19723.771061093244</v>
      </c>
      <c r="N26" s="409">
        <f t="shared" si="6"/>
        <v>14073.732475884242</v>
      </c>
      <c r="O26" s="207"/>
    </row>
    <row r="27" spans="1:20" s="13" customFormat="1" x14ac:dyDescent="0.2">
      <c r="A27" s="406" t="s">
        <v>1252</v>
      </c>
      <c r="B27" s="224"/>
      <c r="D27" s="225"/>
      <c r="E27" s="225"/>
      <c r="F27" s="225"/>
      <c r="G27" s="225"/>
      <c r="H27" s="225"/>
      <c r="I27" s="225"/>
      <c r="J27" s="225"/>
      <c r="K27" s="225"/>
      <c r="L27" s="225"/>
      <c r="M27" s="225"/>
      <c r="N27" s="225"/>
      <c r="O27" s="207"/>
      <c r="Q27"/>
      <c r="R27" s="17"/>
      <c r="S27"/>
      <c r="T27"/>
    </row>
    <row r="28" spans="1:20" s="13" customFormat="1" x14ac:dyDescent="0.2">
      <c r="A28" s="407" t="s">
        <v>1253</v>
      </c>
      <c r="B28" s="224"/>
      <c r="C28" s="224">
        <f>+S15/C$6</f>
        <v>17.790996784565916</v>
      </c>
      <c r="D28" s="225"/>
      <c r="E28" s="225"/>
      <c r="F28" s="225"/>
      <c r="G28" s="225"/>
      <c r="H28" s="225"/>
      <c r="I28" s="225"/>
      <c r="J28" s="225"/>
      <c r="K28" s="225"/>
      <c r="L28" s="225"/>
      <c r="M28" s="225"/>
      <c r="N28" s="225"/>
      <c r="O28" s="207"/>
      <c r="Q28"/>
      <c r="R28" s="17"/>
      <c r="S28"/>
      <c r="T28"/>
    </row>
    <row r="29" spans="1:20" s="13" customFormat="1" x14ac:dyDescent="0.2">
      <c r="A29" s="407" t="s">
        <v>1254</v>
      </c>
      <c r="B29" s="223"/>
      <c r="C29" s="224">
        <f>+S16/C$6</f>
        <v>22.155627009646302</v>
      </c>
      <c r="D29" s="225"/>
      <c r="E29" s="225"/>
      <c r="F29" s="225"/>
      <c r="G29" s="225"/>
      <c r="H29" s="225"/>
      <c r="I29" s="225"/>
      <c r="J29" s="225"/>
      <c r="K29" s="225"/>
      <c r="L29" s="225"/>
      <c r="M29" s="225"/>
      <c r="N29" s="225"/>
      <c r="O29" s="207"/>
      <c r="Q29" t="s">
        <v>1318</v>
      </c>
      <c r="R29"/>
      <c r="S29"/>
      <c r="T29" s="17"/>
    </row>
    <row r="30" spans="1:20" s="13" customFormat="1" x14ac:dyDescent="0.2">
      <c r="A30" s="407" t="s">
        <v>1256</v>
      </c>
      <c r="B30" s="223"/>
      <c r="C30" s="224">
        <f>+S17/C$6</f>
        <v>61.699035369774919</v>
      </c>
      <c r="D30" s="225"/>
      <c r="E30" s="225"/>
      <c r="F30" s="225"/>
      <c r="G30" s="225"/>
      <c r="H30" s="225"/>
      <c r="I30" s="225"/>
      <c r="J30" s="225"/>
      <c r="K30" s="225"/>
      <c r="L30" s="225"/>
      <c r="M30" s="225"/>
      <c r="N30" s="225"/>
      <c r="O30" s="207"/>
      <c r="Q30" t="s">
        <v>194</v>
      </c>
      <c r="R30" s="17"/>
      <c r="S30" t="s">
        <v>196</v>
      </c>
      <c r="T30" t="s">
        <v>1350</v>
      </c>
    </row>
    <row r="31" spans="1:20" s="13" customFormat="1" x14ac:dyDescent="0.2">
      <c r="A31" s="406" t="s">
        <v>1257</v>
      </c>
      <c r="B31" s="223"/>
      <c r="C31" s="224"/>
      <c r="D31" s="225"/>
      <c r="E31" s="225"/>
      <c r="F31" s="225"/>
      <c r="G31" s="225"/>
      <c r="H31" s="225"/>
      <c r="I31" s="225"/>
      <c r="J31" s="225"/>
      <c r="K31" s="225"/>
      <c r="L31" s="225"/>
      <c r="M31" s="225"/>
      <c r="N31" s="225"/>
      <c r="O31" s="207"/>
      <c r="Q31"/>
      <c r="R31" s="17"/>
      <c r="S31"/>
      <c r="T31"/>
    </row>
    <row r="32" spans="1:20" ht="13.5" thickBot="1" x14ac:dyDescent="0.25">
      <c r="A32" s="406" t="s">
        <v>1258</v>
      </c>
      <c r="B32" s="224"/>
      <c r="C32" s="224">
        <f>+S20/C$6</f>
        <v>1.0823151125401929</v>
      </c>
      <c r="D32" s="225"/>
      <c r="E32" s="225"/>
      <c r="F32" s="225"/>
      <c r="G32" s="225"/>
      <c r="H32" s="225"/>
      <c r="I32" s="225"/>
      <c r="J32" s="225"/>
      <c r="K32" s="225"/>
      <c r="L32" s="225"/>
      <c r="M32" s="225"/>
      <c r="N32" s="225"/>
      <c r="O32" s="207"/>
      <c r="Q32" t="s">
        <v>1251</v>
      </c>
      <c r="S32">
        <v>566.79999999999995</v>
      </c>
      <c r="T32" s="387">
        <f>+S32/S39</f>
        <v>0.39930959174328085</v>
      </c>
    </row>
    <row r="33" spans="1:20" ht="13.5" thickBot="1" x14ac:dyDescent="0.25">
      <c r="A33" s="221" t="s">
        <v>146</v>
      </c>
      <c r="B33" s="218"/>
      <c r="C33" s="42">
        <f>+C34</f>
        <v>1.4430868167202571</v>
      </c>
      <c r="D33" s="409">
        <f>+$C33*D$6</f>
        <v>200.58906752411573</v>
      </c>
      <c r="E33" s="409">
        <f t="shared" ref="E33:N33" si="7">+$C33*E$6</f>
        <v>164.5118971061093</v>
      </c>
      <c r="F33" s="409">
        <f t="shared" si="7"/>
        <v>258.31254019292601</v>
      </c>
      <c r="G33" s="409">
        <f t="shared" si="7"/>
        <v>119.77620578778134</v>
      </c>
      <c r="H33" s="409">
        <f t="shared" si="7"/>
        <v>184.71511254019291</v>
      </c>
      <c r="I33" s="409">
        <f t="shared" si="7"/>
        <v>119.77620578778134</v>
      </c>
      <c r="J33" s="409">
        <f t="shared" si="7"/>
        <v>228.00771704180062</v>
      </c>
      <c r="K33" s="409">
        <f t="shared" si="7"/>
        <v>232.33697749196139</v>
      </c>
      <c r="L33" s="409">
        <f t="shared" si="7"/>
        <v>261.19871382636654</v>
      </c>
      <c r="M33" s="409">
        <f t="shared" si="7"/>
        <v>277.07266881028937</v>
      </c>
      <c r="N33" s="409">
        <f t="shared" si="7"/>
        <v>197.70289389067523</v>
      </c>
      <c r="O33" s="207"/>
      <c r="Q33" t="s">
        <v>1260</v>
      </c>
      <c r="S33">
        <v>341.6</v>
      </c>
      <c r="T33" s="387">
        <f>+S33/S39</f>
        <v>0.24065659234210438</v>
      </c>
    </row>
    <row r="34" spans="1:20" ht="13.5" thickBot="1" x14ac:dyDescent="0.25">
      <c r="A34" s="408" t="s">
        <v>1259</v>
      </c>
      <c r="B34" s="227"/>
      <c r="C34" s="224">
        <f>+S19/C$6</f>
        <v>1.4430868167202571</v>
      </c>
      <c r="D34" s="43"/>
      <c r="E34" s="43"/>
      <c r="F34" s="43"/>
      <c r="G34" s="43"/>
      <c r="H34" s="43"/>
      <c r="I34" s="43"/>
      <c r="J34" s="43"/>
      <c r="K34" s="43"/>
      <c r="L34" s="43"/>
      <c r="M34" s="43"/>
      <c r="N34" s="43"/>
      <c r="O34" s="207"/>
      <c r="Q34" t="s">
        <v>1261</v>
      </c>
      <c r="S34">
        <v>88.6</v>
      </c>
      <c r="T34" s="387">
        <f>+S34/S39</f>
        <v>6.2418542393180461E-2</v>
      </c>
    </row>
    <row r="35" spans="1:20" ht="13.5" thickBot="1" x14ac:dyDescent="0.25">
      <c r="A35" s="221" t="s">
        <v>200</v>
      </c>
      <c r="B35" s="222"/>
      <c r="C35" s="15">
        <f>+C33+C26+C18</f>
        <v>1523.6210610932474</v>
      </c>
      <c r="D35" s="15">
        <f t="shared" ref="D35:N35" si="8">+D33+D26+D18</f>
        <v>211783.32749196139</v>
      </c>
      <c r="E35" s="15">
        <f t="shared" si="8"/>
        <v>173692.80096463021</v>
      </c>
      <c r="F35" s="15">
        <f t="shared" si="8"/>
        <v>272728.16993569129</v>
      </c>
      <c r="G35" s="15">
        <f t="shared" si="8"/>
        <v>126460.54807073955</v>
      </c>
      <c r="H35" s="15">
        <f t="shared" si="8"/>
        <v>195023.49581993566</v>
      </c>
      <c r="I35" s="15">
        <f t="shared" si="8"/>
        <v>126460.54807073955</v>
      </c>
      <c r="J35" s="15">
        <f t="shared" si="8"/>
        <v>240732.12765273309</v>
      </c>
      <c r="K35" s="15">
        <f t="shared" si="8"/>
        <v>245302.99083601285</v>
      </c>
      <c r="L35" s="15">
        <f t="shared" si="8"/>
        <v>275775.41205787775</v>
      </c>
      <c r="M35" s="15">
        <f t="shared" si="8"/>
        <v>292535.24372990348</v>
      </c>
      <c r="N35" s="15">
        <f t="shared" si="8"/>
        <v>208736.0853697749</v>
      </c>
      <c r="O35" s="207"/>
      <c r="Q35" t="s">
        <v>1262</v>
      </c>
      <c r="S35">
        <v>185.95</v>
      </c>
      <c r="T35" s="387">
        <f>+S35/S39</f>
        <v>0.13100144422135335</v>
      </c>
    </row>
    <row r="36" spans="1:20" x14ac:dyDescent="0.2">
      <c r="A36" s="176"/>
      <c r="B36" s="57"/>
      <c r="C36" s="164"/>
      <c r="D36" s="164"/>
      <c r="E36" s="164"/>
      <c r="F36" s="164"/>
      <c r="G36" s="164"/>
      <c r="H36" s="164"/>
      <c r="I36" s="164"/>
      <c r="J36" s="164"/>
      <c r="K36" s="164"/>
      <c r="L36" s="164"/>
      <c r="M36" s="164"/>
      <c r="N36" s="164"/>
      <c r="O36" s="207"/>
      <c r="Q36" t="s">
        <v>1263</v>
      </c>
      <c r="S36">
        <v>109.6</v>
      </c>
      <c r="T36" s="387">
        <f>+S36/S39</f>
        <v>7.7213005037162288E-2</v>
      </c>
    </row>
    <row r="37" spans="1:20" x14ac:dyDescent="0.2">
      <c r="A37" s="176"/>
      <c r="B37" s="57"/>
      <c r="C37" s="164"/>
      <c r="D37" s="164"/>
      <c r="E37" s="164"/>
      <c r="F37" s="164"/>
      <c r="G37" s="164"/>
      <c r="H37" s="164"/>
      <c r="I37" s="164"/>
      <c r="J37" s="164"/>
      <c r="K37" s="164"/>
      <c r="L37" s="164"/>
      <c r="M37" s="164"/>
      <c r="N37" s="164"/>
      <c r="O37" s="207"/>
      <c r="Q37" t="s">
        <v>1264</v>
      </c>
      <c r="S37">
        <v>71.599999999999994</v>
      </c>
      <c r="T37" s="387">
        <f>+S37/S39</f>
        <v>5.0442072633766599E-2</v>
      </c>
    </row>
    <row r="38" spans="1:20" x14ac:dyDescent="0.2">
      <c r="A38" s="176"/>
      <c r="B38" s="57"/>
      <c r="C38" s="164"/>
      <c r="D38" s="164"/>
      <c r="E38" s="164"/>
      <c r="F38" s="164"/>
      <c r="G38" s="164"/>
      <c r="H38" s="164"/>
      <c r="I38" s="164"/>
      <c r="J38" s="164"/>
      <c r="K38" s="164"/>
      <c r="L38" s="164"/>
      <c r="M38" s="164"/>
      <c r="N38" s="164"/>
      <c r="O38" s="207"/>
      <c r="Q38" t="s">
        <v>1258</v>
      </c>
      <c r="S38">
        <v>55.3</v>
      </c>
      <c r="T38" s="387">
        <f>+S38/S39</f>
        <v>3.895875162915214E-2</v>
      </c>
    </row>
    <row r="39" spans="1:20" ht="13.5" thickBot="1" x14ac:dyDescent="0.25">
      <c r="A39" s="170"/>
      <c r="B39" s="57"/>
      <c r="C39" s="164"/>
      <c r="D39" s="164"/>
      <c r="E39" s="164"/>
      <c r="F39" s="164"/>
      <c r="G39" s="164"/>
      <c r="H39" s="164"/>
      <c r="I39" s="164"/>
      <c r="J39" s="164"/>
      <c r="K39" s="164"/>
      <c r="L39" s="164"/>
      <c r="M39" s="164"/>
      <c r="N39" s="164"/>
      <c r="O39" s="207"/>
      <c r="Q39" t="s">
        <v>30</v>
      </c>
      <c r="S39">
        <f>SUM(S32:S38)</f>
        <v>1419.4499999999998</v>
      </c>
      <c r="T39" s="387">
        <f>+S39/S39</f>
        <v>1</v>
      </c>
    </row>
    <row r="40" spans="1:20" ht="16.5" thickBot="1" x14ac:dyDescent="0.3">
      <c r="A40" s="1056" t="s">
        <v>124</v>
      </c>
      <c r="B40" s="1057"/>
      <c r="C40" s="1057"/>
      <c r="D40" s="1057"/>
      <c r="E40" s="1057"/>
      <c r="F40" s="1057"/>
      <c r="G40" s="1057"/>
      <c r="H40" s="1057"/>
      <c r="I40" s="1057"/>
      <c r="J40" s="1057"/>
      <c r="K40" s="1057"/>
      <c r="L40" s="1057"/>
      <c r="M40" s="228"/>
      <c r="N40" s="228"/>
      <c r="O40" s="207"/>
      <c r="Q40" s="17" t="s">
        <v>1332</v>
      </c>
    </row>
    <row r="41" spans="1:20" ht="13.5" thickBot="1" x14ac:dyDescent="0.25">
      <c r="A41" s="217" t="s">
        <v>35</v>
      </c>
      <c r="B41" s="218" t="s">
        <v>36</v>
      </c>
      <c r="C41" s="219" t="s">
        <v>1322</v>
      </c>
      <c r="D41" s="1069" t="s">
        <v>201</v>
      </c>
      <c r="E41" s="1069"/>
      <c r="F41" s="1069"/>
      <c r="G41" s="1069"/>
      <c r="H41" s="1069"/>
      <c r="I41" s="1069"/>
      <c r="J41" s="1069"/>
      <c r="K41" s="1069"/>
      <c r="L41" s="1069"/>
      <c r="M41" s="1069"/>
      <c r="N41" s="1069"/>
      <c r="O41" s="207"/>
    </row>
    <row r="42" spans="1:20" ht="13.5" thickBot="1" x14ac:dyDescent="0.25">
      <c r="A42" s="221" t="s">
        <v>144</v>
      </c>
      <c r="B42" s="222"/>
      <c r="C42" s="15">
        <f>SUM(C43:C49)</f>
        <v>1410.3899999999999</v>
      </c>
      <c r="D42" s="15">
        <f>+$C42*D$7</f>
        <v>205846.42050000001</v>
      </c>
      <c r="E42" s="15">
        <f t="shared" ref="E42:N42" si="9">+$C42*E$7</f>
        <v>168823.68299999999</v>
      </c>
      <c r="F42" s="15">
        <f t="shared" si="9"/>
        <v>265082.80050000001</v>
      </c>
      <c r="G42" s="15">
        <f t="shared" si="9"/>
        <v>122915.48849999999</v>
      </c>
      <c r="H42" s="15">
        <f t="shared" si="9"/>
        <v>189556.416</v>
      </c>
      <c r="I42" s="15">
        <f t="shared" si="9"/>
        <v>122915.48849999999</v>
      </c>
      <c r="J42" s="15">
        <f t="shared" si="9"/>
        <v>233983.701</v>
      </c>
      <c r="K42" s="15">
        <f t="shared" si="9"/>
        <v>238426.4295</v>
      </c>
      <c r="L42" s="15">
        <f t="shared" si="9"/>
        <v>268044.61949999997</v>
      </c>
      <c r="M42" s="15">
        <f t="shared" si="9"/>
        <v>284334.62400000001</v>
      </c>
      <c r="N42" s="15">
        <f t="shared" si="9"/>
        <v>202884.60149999996</v>
      </c>
      <c r="O42" s="207"/>
      <c r="Q42" t="s">
        <v>1325</v>
      </c>
      <c r="R42"/>
    </row>
    <row r="43" spans="1:20" x14ac:dyDescent="0.2">
      <c r="A43" s="406" t="s">
        <v>1251</v>
      </c>
      <c r="B43" s="223"/>
      <c r="C43" s="225">
        <f>+C19</f>
        <v>566.79999999999995</v>
      </c>
      <c r="D43" s="225"/>
      <c r="E43" s="225"/>
      <c r="F43" s="225"/>
      <c r="G43" s="225"/>
      <c r="H43" s="225"/>
      <c r="I43" s="225"/>
      <c r="J43" s="225"/>
      <c r="K43" s="225"/>
      <c r="L43" s="225"/>
      <c r="M43" s="225"/>
      <c r="N43" s="224"/>
      <c r="O43" s="207"/>
      <c r="Q43" t="s">
        <v>197</v>
      </c>
      <c r="S43" s="388" t="s">
        <v>198</v>
      </c>
    </row>
    <row r="44" spans="1:20" x14ac:dyDescent="0.2">
      <c r="A44" s="406" t="s">
        <v>1260</v>
      </c>
      <c r="B44" s="223"/>
      <c r="C44" s="225">
        <f t="shared" ref="C44:C49" si="10">+C20</f>
        <v>341.6</v>
      </c>
      <c r="D44" s="225"/>
      <c r="E44" s="225"/>
      <c r="F44" s="225"/>
      <c r="G44" s="225"/>
      <c r="H44" s="225"/>
      <c r="I44" s="225"/>
      <c r="J44" s="225"/>
      <c r="K44" s="225"/>
      <c r="L44" s="225"/>
      <c r="M44" s="225"/>
      <c r="N44" s="224"/>
      <c r="O44" s="207"/>
      <c r="Q44" t="s">
        <v>1341</v>
      </c>
      <c r="S44">
        <v>257810</v>
      </c>
    </row>
    <row r="45" spans="1:20" x14ac:dyDescent="0.2">
      <c r="A45" s="406" t="s">
        <v>1261</v>
      </c>
      <c r="B45" s="223"/>
      <c r="C45" s="225">
        <f t="shared" si="10"/>
        <v>88.6</v>
      </c>
      <c r="D45" s="225"/>
      <c r="E45" s="225"/>
      <c r="F45" s="225"/>
      <c r="G45" s="225"/>
      <c r="H45" s="225"/>
      <c r="I45" s="225"/>
      <c r="J45" s="225"/>
      <c r="K45" s="225"/>
      <c r="L45" s="225"/>
      <c r="M45" s="225"/>
      <c r="N45" s="224"/>
      <c r="O45" s="207"/>
      <c r="Q45" t="s">
        <v>1283</v>
      </c>
      <c r="S45">
        <v>113688</v>
      </c>
    </row>
    <row r="46" spans="1:20" x14ac:dyDescent="0.2">
      <c r="A46" s="406" t="s">
        <v>1262</v>
      </c>
      <c r="B46" s="223"/>
      <c r="C46" s="225">
        <f t="shared" si="10"/>
        <v>185.95</v>
      </c>
      <c r="D46" s="225"/>
      <c r="E46" s="225"/>
      <c r="F46" s="225"/>
      <c r="G46" s="225"/>
      <c r="H46" s="225"/>
      <c r="I46" s="225"/>
      <c r="J46" s="225"/>
      <c r="K46" s="225"/>
      <c r="L46" s="225"/>
      <c r="M46" s="225"/>
      <c r="N46" s="225"/>
      <c r="O46" s="207"/>
      <c r="Q46" s="386" t="s">
        <v>1326</v>
      </c>
      <c r="S46">
        <v>97506</v>
      </c>
    </row>
    <row r="47" spans="1:20" x14ac:dyDescent="0.2">
      <c r="A47" s="406" t="s">
        <v>1263</v>
      </c>
      <c r="B47" s="223"/>
      <c r="C47" s="225">
        <f>+C23*(1-Assumptions!Q5)</f>
        <v>104.11999999999999</v>
      </c>
      <c r="D47" s="225"/>
      <c r="E47" s="225"/>
      <c r="F47" s="225"/>
      <c r="G47" s="225"/>
      <c r="H47" s="225"/>
      <c r="I47" s="225"/>
      <c r="J47" s="225"/>
      <c r="K47" s="225"/>
      <c r="L47" s="225"/>
      <c r="M47" s="225"/>
      <c r="N47" s="225"/>
      <c r="O47" s="207"/>
      <c r="Q47" s="386" t="s">
        <v>1327</v>
      </c>
      <c r="S47">
        <v>5777</v>
      </c>
    </row>
    <row r="48" spans="1:20" x14ac:dyDescent="0.2">
      <c r="A48" s="406" t="s">
        <v>1264</v>
      </c>
      <c r="B48" s="223"/>
      <c r="C48" s="225">
        <f>+C24*(1-Assumptions!Q5)</f>
        <v>68.02</v>
      </c>
      <c r="D48" s="225"/>
      <c r="E48" s="225"/>
      <c r="F48" s="225"/>
      <c r="G48" s="225"/>
      <c r="H48" s="225"/>
      <c r="I48" s="225"/>
      <c r="J48" s="225"/>
      <c r="K48" s="225"/>
      <c r="L48" s="225"/>
      <c r="M48" s="225"/>
      <c r="N48" s="225"/>
      <c r="O48" s="207"/>
      <c r="Q48" t="s">
        <v>199</v>
      </c>
      <c r="S48">
        <v>10405</v>
      </c>
    </row>
    <row r="49" spans="1:19" ht="13.5" thickBot="1" x14ac:dyDescent="0.25">
      <c r="A49" s="406" t="s">
        <v>1258</v>
      </c>
      <c r="B49" s="223"/>
      <c r="C49" s="225">
        <f t="shared" si="10"/>
        <v>55.3</v>
      </c>
      <c r="D49" s="225"/>
      <c r="E49" s="225"/>
      <c r="F49" s="225"/>
      <c r="G49" s="225"/>
      <c r="H49" s="225"/>
      <c r="I49" s="225"/>
      <c r="J49" s="225"/>
      <c r="K49" s="225"/>
      <c r="L49" s="225"/>
      <c r="M49" s="225"/>
      <c r="N49" s="225"/>
      <c r="O49" s="207"/>
      <c r="Q49" t="s">
        <v>1280</v>
      </c>
      <c r="S49">
        <f>+S44-SUM(S45)</f>
        <v>144122</v>
      </c>
    </row>
    <row r="50" spans="1:19" ht="13.5" thickBot="1" x14ac:dyDescent="0.25">
      <c r="A50" s="221" t="s">
        <v>145</v>
      </c>
      <c r="B50" s="222"/>
      <c r="C50" s="42">
        <f>SUM(C52:C56)</f>
        <v>97.645691318327962</v>
      </c>
      <c r="D50" s="15">
        <f>+$C50*D$7</f>
        <v>14251.388647909967</v>
      </c>
      <c r="E50" s="15">
        <f t="shared" ref="E50:N50" si="11">+$C50*E$7</f>
        <v>11688.189250803858</v>
      </c>
      <c r="F50" s="15">
        <f t="shared" si="11"/>
        <v>18352.507683279742</v>
      </c>
      <c r="G50" s="15">
        <f t="shared" si="11"/>
        <v>8509.8219983922827</v>
      </c>
      <c r="H50" s="15">
        <f t="shared" si="11"/>
        <v>13123.580913183279</v>
      </c>
      <c r="I50" s="15">
        <f t="shared" si="11"/>
        <v>8509.8219983922827</v>
      </c>
      <c r="J50" s="15">
        <f t="shared" si="11"/>
        <v>16199.42018971061</v>
      </c>
      <c r="K50" s="15">
        <f t="shared" si="11"/>
        <v>16507.004117363344</v>
      </c>
      <c r="L50" s="15">
        <f t="shared" si="11"/>
        <v>18557.563635048231</v>
      </c>
      <c r="M50" s="15">
        <f t="shared" si="11"/>
        <v>19685.371369774919</v>
      </c>
      <c r="N50" s="15">
        <f t="shared" si="11"/>
        <v>14046.332696141477</v>
      </c>
      <c r="O50" s="207"/>
      <c r="Q50" s="17" t="s">
        <v>1333</v>
      </c>
    </row>
    <row r="51" spans="1:19" x14ac:dyDescent="0.2">
      <c r="A51" s="406" t="s">
        <v>1252</v>
      </c>
      <c r="B51" s="224"/>
      <c r="C51" s="13"/>
      <c r="D51" s="225"/>
      <c r="E51" s="225"/>
      <c r="F51" s="225"/>
      <c r="G51" s="225"/>
      <c r="H51" s="225"/>
      <c r="I51" s="225"/>
      <c r="J51" s="225"/>
      <c r="K51" s="225"/>
      <c r="L51" s="225"/>
      <c r="M51" s="225"/>
      <c r="N51" s="225"/>
      <c r="O51" s="207"/>
    </row>
    <row r="52" spans="1:19" x14ac:dyDescent="0.2">
      <c r="A52" s="407" t="s">
        <v>1253</v>
      </c>
      <c r="B52" s="224"/>
      <c r="C52" s="224">
        <f>+C28*(1-Assumptions!Q5)</f>
        <v>16.901446945337618</v>
      </c>
      <c r="D52" s="225"/>
      <c r="E52" s="225"/>
      <c r="F52" s="225"/>
      <c r="G52" s="225"/>
      <c r="H52" s="225"/>
      <c r="I52" s="225"/>
      <c r="J52" s="225"/>
      <c r="K52" s="225"/>
      <c r="L52" s="225"/>
      <c r="M52" s="225"/>
      <c r="N52" s="225"/>
      <c r="O52" s="207"/>
    </row>
    <row r="53" spans="1:19" x14ac:dyDescent="0.2">
      <c r="A53" s="407" t="s">
        <v>1254</v>
      </c>
      <c r="B53" s="223"/>
      <c r="C53" s="224">
        <f>+C29*(1-Assumptions!Q5)</f>
        <v>21.047845659163986</v>
      </c>
      <c r="D53" s="225"/>
      <c r="E53" s="225"/>
      <c r="F53" s="225"/>
      <c r="G53" s="225"/>
      <c r="H53" s="225"/>
      <c r="I53" s="225"/>
      <c r="J53" s="225"/>
      <c r="K53" s="225"/>
      <c r="L53" s="225"/>
      <c r="M53" s="225"/>
      <c r="N53" s="225"/>
      <c r="O53" s="207"/>
    </row>
    <row r="54" spans="1:19" x14ac:dyDescent="0.2">
      <c r="A54" s="407" t="s">
        <v>1256</v>
      </c>
      <c r="B54" s="223"/>
      <c r="C54" s="224">
        <f>+C30*(1-Assumptions!Q5)</f>
        <v>58.614083601286168</v>
      </c>
      <c r="D54" s="225"/>
      <c r="E54" s="225"/>
      <c r="F54" s="225"/>
      <c r="G54" s="225"/>
      <c r="H54" s="225"/>
      <c r="I54" s="225"/>
      <c r="J54" s="225"/>
      <c r="K54" s="225"/>
      <c r="L54" s="225"/>
      <c r="M54" s="225"/>
      <c r="N54" s="225"/>
      <c r="O54" s="207"/>
    </row>
    <row r="55" spans="1:19" x14ac:dyDescent="0.2">
      <c r="A55" s="406" t="s">
        <v>1257</v>
      </c>
      <c r="B55" s="223"/>
      <c r="C55" s="224">
        <f>+C31</f>
        <v>0</v>
      </c>
      <c r="D55" s="225"/>
      <c r="E55" s="225"/>
      <c r="F55" s="225"/>
      <c r="G55" s="225"/>
      <c r="H55" s="225"/>
      <c r="I55" s="225"/>
      <c r="J55" s="225"/>
      <c r="K55" s="225"/>
      <c r="L55" s="225"/>
      <c r="M55" s="225"/>
      <c r="N55" s="225"/>
      <c r="O55" s="207"/>
    </row>
    <row r="56" spans="1:19" ht="13.5" thickBot="1" x14ac:dyDescent="0.25">
      <c r="A56" s="406" t="s">
        <v>1258</v>
      </c>
      <c r="B56" s="224"/>
      <c r="C56" s="224">
        <f>+C32</f>
        <v>1.0823151125401929</v>
      </c>
      <c r="D56" s="225"/>
      <c r="E56" s="225"/>
      <c r="F56" s="225"/>
      <c r="G56" s="225"/>
      <c r="H56" s="225"/>
      <c r="I56" s="225"/>
      <c r="J56" s="225"/>
      <c r="K56" s="225"/>
      <c r="L56" s="225"/>
      <c r="M56" s="225"/>
      <c r="N56" s="225"/>
      <c r="O56" s="207"/>
    </row>
    <row r="57" spans="1:19" ht="13.5" thickBot="1" x14ac:dyDescent="0.25">
      <c r="A57" s="221" t="s">
        <v>146</v>
      </c>
      <c r="B57" s="218"/>
      <c r="C57" s="42">
        <f>+C58</f>
        <v>1.4430868167202571</v>
      </c>
      <c r="D57" s="15">
        <f>+$C57*D$7</f>
        <v>210.61852090032156</v>
      </c>
      <c r="E57" s="15">
        <f t="shared" ref="E57:N57" si="12">+$C57*E$7</f>
        <v>172.73749196141478</v>
      </c>
      <c r="F57" s="15">
        <f t="shared" si="12"/>
        <v>271.22816720257237</v>
      </c>
      <c r="G57" s="15">
        <f t="shared" si="12"/>
        <v>125.76501607717042</v>
      </c>
      <c r="H57" s="15">
        <f t="shared" si="12"/>
        <v>193.95086816720257</v>
      </c>
      <c r="I57" s="15">
        <f t="shared" si="12"/>
        <v>125.76501607717042</v>
      </c>
      <c r="J57" s="15">
        <f t="shared" si="12"/>
        <v>239.40810289389066</v>
      </c>
      <c r="K57" s="15">
        <f t="shared" si="12"/>
        <v>243.95382636655947</v>
      </c>
      <c r="L57" s="15">
        <f t="shared" si="12"/>
        <v>274.25864951768489</v>
      </c>
      <c r="M57" s="15">
        <f t="shared" si="12"/>
        <v>290.92630225080387</v>
      </c>
      <c r="N57" s="15">
        <f t="shared" si="12"/>
        <v>207.58803858520898</v>
      </c>
      <c r="O57" s="207"/>
    </row>
    <row r="58" spans="1:19" ht="13.5" thickBot="1" x14ac:dyDescent="0.25">
      <c r="A58" s="408" t="s">
        <v>1259</v>
      </c>
      <c r="B58" s="227"/>
      <c r="C58" s="224">
        <f>+C34</f>
        <v>1.4430868167202571</v>
      </c>
      <c r="D58" s="224">
        <f t="shared" ref="D58:N58" si="13">+D34</f>
        <v>0</v>
      </c>
      <c r="E58" s="224">
        <f t="shared" si="13"/>
        <v>0</v>
      </c>
      <c r="F58" s="224">
        <f t="shared" si="13"/>
        <v>0</v>
      </c>
      <c r="G58" s="224">
        <f t="shared" si="13"/>
        <v>0</v>
      </c>
      <c r="H58" s="224">
        <f t="shared" si="13"/>
        <v>0</v>
      </c>
      <c r="I58" s="224">
        <f t="shared" si="13"/>
        <v>0</v>
      </c>
      <c r="J58" s="224">
        <f t="shared" si="13"/>
        <v>0</v>
      </c>
      <c r="K58" s="224">
        <f t="shared" si="13"/>
        <v>0</v>
      </c>
      <c r="L58" s="224">
        <f t="shared" si="13"/>
        <v>0</v>
      </c>
      <c r="M58" s="224">
        <f t="shared" si="13"/>
        <v>0</v>
      </c>
      <c r="N58" s="224">
        <f t="shared" si="13"/>
        <v>0</v>
      </c>
      <c r="O58" s="207"/>
    </row>
    <row r="59" spans="1:19" ht="13.5" thickBot="1" x14ac:dyDescent="0.25">
      <c r="A59" s="221" t="s">
        <v>200</v>
      </c>
      <c r="B59" s="222"/>
      <c r="C59" s="15">
        <f>+C57+C50+C42</f>
        <v>1509.4787781350481</v>
      </c>
      <c r="D59" s="15">
        <f t="shared" ref="D59:N59" si="14">+D57+D50+D42</f>
        <v>220308.4276688103</v>
      </c>
      <c r="E59" s="15">
        <f t="shared" si="14"/>
        <v>180684.60974276526</v>
      </c>
      <c r="F59" s="15">
        <f t="shared" si="14"/>
        <v>283706.53635048232</v>
      </c>
      <c r="G59" s="15">
        <f t="shared" si="14"/>
        <v>131551.07551446944</v>
      </c>
      <c r="H59" s="15">
        <f t="shared" si="14"/>
        <v>202873.94778135049</v>
      </c>
      <c r="I59" s="15">
        <f t="shared" si="14"/>
        <v>131551.07551446944</v>
      </c>
      <c r="J59" s="15">
        <f t="shared" si="14"/>
        <v>250422.52929260451</v>
      </c>
      <c r="K59" s="15">
        <f t="shared" si="14"/>
        <v>255177.38744372991</v>
      </c>
      <c r="L59" s="15">
        <f t="shared" si="14"/>
        <v>286876.44178456586</v>
      </c>
      <c r="M59" s="15">
        <f t="shared" si="14"/>
        <v>304310.92167202575</v>
      </c>
      <c r="N59" s="15">
        <f t="shared" si="14"/>
        <v>217138.52223472664</v>
      </c>
      <c r="O59" s="207"/>
    </row>
    <row r="60" spans="1:19" x14ac:dyDescent="0.2">
      <c r="A60" s="170"/>
      <c r="B60" s="57"/>
      <c r="C60" s="57"/>
      <c r="D60" s="57"/>
      <c r="E60" s="57"/>
      <c r="F60" s="57"/>
      <c r="G60" s="57"/>
      <c r="H60" s="57"/>
      <c r="I60" s="57"/>
      <c r="J60" s="57"/>
      <c r="K60" s="57"/>
      <c r="L60" s="57"/>
      <c r="M60" s="57"/>
      <c r="N60" s="57"/>
      <c r="O60" s="207"/>
    </row>
    <row r="61" spans="1:19" x14ac:dyDescent="0.2">
      <c r="E61" s="57"/>
      <c r="F61" s="57"/>
      <c r="G61" s="57"/>
      <c r="H61" s="57"/>
      <c r="I61" s="57"/>
      <c r="J61" s="57"/>
      <c r="K61" s="57"/>
      <c r="L61" s="57"/>
      <c r="M61" s="57"/>
      <c r="N61" s="57"/>
      <c r="O61" s="207"/>
    </row>
    <row r="63" spans="1:19" x14ac:dyDescent="0.2">
      <c r="A63" s="170"/>
      <c r="B63" s="57"/>
      <c r="C63" s="57"/>
      <c r="D63" s="57"/>
      <c r="E63" s="57"/>
      <c r="F63" s="57"/>
      <c r="G63" s="57"/>
      <c r="H63" s="57"/>
      <c r="I63" s="57"/>
      <c r="J63" s="57"/>
      <c r="K63" s="57"/>
      <c r="L63" s="57"/>
      <c r="M63" s="57"/>
      <c r="N63" s="57"/>
      <c r="O63" s="207"/>
    </row>
    <row r="64" spans="1:19" x14ac:dyDescent="0.2">
      <c r="A64" s="170"/>
      <c r="B64" s="57"/>
      <c r="C64" s="57"/>
      <c r="D64" s="57"/>
      <c r="E64" s="57"/>
      <c r="F64" s="57"/>
      <c r="G64" s="57"/>
      <c r="H64" s="57"/>
      <c r="I64" s="57"/>
      <c r="J64" s="57"/>
      <c r="K64" s="57"/>
      <c r="L64" s="57"/>
      <c r="M64" s="57"/>
      <c r="N64" s="57"/>
      <c r="O64" s="207"/>
    </row>
    <row r="65" spans="1:15" ht="13.5" thickBot="1" x14ac:dyDescent="0.25">
      <c r="A65" s="170"/>
      <c r="B65" s="264"/>
      <c r="C65" s="400"/>
      <c r="D65" s="400"/>
      <c r="E65" s="400"/>
      <c r="F65" s="400"/>
      <c r="G65" s="400"/>
      <c r="H65" s="400"/>
      <c r="I65" s="400"/>
      <c r="J65" s="400"/>
      <c r="K65" s="400"/>
      <c r="L65" s="400"/>
      <c r="M65" s="400"/>
      <c r="N65" s="400"/>
      <c r="O65" s="207"/>
    </row>
    <row r="66" spans="1:15" ht="13.5" thickBot="1" x14ac:dyDescent="0.25">
      <c r="A66" s="208" t="s">
        <v>143</v>
      </c>
      <c r="B66" s="264"/>
      <c r="C66" s="400"/>
      <c r="D66" s="400"/>
      <c r="E66" s="400"/>
      <c r="F66" s="400"/>
      <c r="G66" s="400"/>
      <c r="H66" s="400"/>
      <c r="I66" s="400"/>
      <c r="J66" s="400"/>
      <c r="K66" s="400"/>
      <c r="L66" s="400"/>
      <c r="M66" s="400"/>
      <c r="N66" s="400"/>
      <c r="O66" s="207"/>
    </row>
    <row r="67" spans="1:15" ht="13.5" thickBot="1" x14ac:dyDescent="0.25">
      <c r="A67" s="170"/>
      <c r="B67" s="264"/>
      <c r="C67" s="219" t="s">
        <v>37</v>
      </c>
      <c r="D67" s="219" t="s">
        <v>38</v>
      </c>
      <c r="E67" s="219" t="s">
        <v>39</v>
      </c>
      <c r="F67" s="219" t="s">
        <v>40</v>
      </c>
      <c r="G67" s="219" t="s">
        <v>41</v>
      </c>
      <c r="H67" s="219" t="s">
        <v>42</v>
      </c>
      <c r="I67" s="219" t="s">
        <v>43</v>
      </c>
      <c r="J67" s="219" t="s">
        <v>44</v>
      </c>
      <c r="K67" s="219" t="s">
        <v>45</v>
      </c>
      <c r="L67" s="219" t="s">
        <v>46</v>
      </c>
      <c r="M67" s="219" t="s">
        <v>47</v>
      </c>
      <c r="N67" s="220" t="s">
        <v>48</v>
      </c>
      <c r="O67" s="207"/>
    </row>
    <row r="68" spans="1:15" x14ac:dyDescent="0.2">
      <c r="A68" s="31" t="s">
        <v>14</v>
      </c>
      <c r="B68" s="264"/>
      <c r="C68" s="411">
        <f>+D12</f>
        <v>8525.1001768489077</v>
      </c>
      <c r="D68" s="411">
        <f>+C68</f>
        <v>8525.1001768489077</v>
      </c>
      <c r="E68" s="411">
        <f t="shared" ref="E68:L68" si="15">+D68</f>
        <v>8525.1001768489077</v>
      </c>
      <c r="F68" s="411">
        <f t="shared" si="15"/>
        <v>8525.1001768489077</v>
      </c>
      <c r="G68" s="411">
        <f t="shared" si="15"/>
        <v>8525.1001768489077</v>
      </c>
      <c r="H68" s="411">
        <f t="shared" si="15"/>
        <v>8525.1001768489077</v>
      </c>
      <c r="I68" s="411">
        <f t="shared" si="15"/>
        <v>8525.1001768489077</v>
      </c>
      <c r="J68" s="411">
        <f t="shared" si="15"/>
        <v>8525.1001768489077</v>
      </c>
      <c r="K68" s="411">
        <f t="shared" si="15"/>
        <v>8525.1001768489077</v>
      </c>
      <c r="L68" s="411">
        <f t="shared" si="15"/>
        <v>8525.1001768489077</v>
      </c>
      <c r="M68" s="400">
        <f>+L68*10</f>
        <v>85251.001768489077</v>
      </c>
      <c r="N68" s="400">
        <f>+M68</f>
        <v>85251.001768489077</v>
      </c>
      <c r="O68" s="207"/>
    </row>
    <row r="69" spans="1:15" x14ac:dyDescent="0.2">
      <c r="A69" s="31" t="s">
        <v>15</v>
      </c>
      <c r="B69" s="264"/>
      <c r="C69" s="411">
        <f>+E12</f>
        <v>6991.8087781350478</v>
      </c>
      <c r="D69" s="411">
        <f t="shared" ref="D69:L78" si="16">+C69</f>
        <v>6991.8087781350478</v>
      </c>
      <c r="E69" s="411">
        <f t="shared" si="16"/>
        <v>6991.8087781350478</v>
      </c>
      <c r="F69" s="411">
        <f t="shared" si="16"/>
        <v>6991.8087781350478</v>
      </c>
      <c r="G69" s="411">
        <f t="shared" si="16"/>
        <v>6991.8087781350478</v>
      </c>
      <c r="H69" s="411">
        <f t="shared" si="16"/>
        <v>6991.8087781350478</v>
      </c>
      <c r="I69" s="411">
        <f t="shared" si="16"/>
        <v>6991.8087781350478</v>
      </c>
      <c r="J69" s="411">
        <f t="shared" si="16"/>
        <v>6991.8087781350478</v>
      </c>
      <c r="K69" s="411">
        <f t="shared" si="16"/>
        <v>6991.8087781350478</v>
      </c>
      <c r="L69" s="411">
        <f t="shared" si="16"/>
        <v>6991.8087781350478</v>
      </c>
      <c r="M69" s="400">
        <f t="shared" ref="M69:M78" si="17">+L69*10</f>
        <v>69918.087781350478</v>
      </c>
      <c r="N69" s="400">
        <f t="shared" ref="N69:N78" si="18">+M69</f>
        <v>69918.087781350478</v>
      </c>
      <c r="O69" s="207"/>
    </row>
    <row r="70" spans="1:15" x14ac:dyDescent="0.2">
      <c r="A70" s="31" t="s">
        <v>16</v>
      </c>
      <c r="B70" s="264"/>
      <c r="C70" s="411">
        <f>+F12</f>
        <v>10978.366414791031</v>
      </c>
      <c r="D70" s="411">
        <f t="shared" si="16"/>
        <v>10978.366414791031</v>
      </c>
      <c r="E70" s="411">
        <f t="shared" si="16"/>
        <v>10978.366414791031</v>
      </c>
      <c r="F70" s="411">
        <f t="shared" si="16"/>
        <v>10978.366414791031</v>
      </c>
      <c r="G70" s="411">
        <f t="shared" si="16"/>
        <v>10978.366414791031</v>
      </c>
      <c r="H70" s="411">
        <f t="shared" si="16"/>
        <v>10978.366414791031</v>
      </c>
      <c r="I70" s="411">
        <f t="shared" si="16"/>
        <v>10978.366414791031</v>
      </c>
      <c r="J70" s="411">
        <f t="shared" si="16"/>
        <v>10978.366414791031</v>
      </c>
      <c r="K70" s="411">
        <f t="shared" si="16"/>
        <v>10978.366414791031</v>
      </c>
      <c r="L70" s="411">
        <f t="shared" si="16"/>
        <v>10978.366414791031</v>
      </c>
      <c r="M70" s="400">
        <f t="shared" si="17"/>
        <v>109783.66414791031</v>
      </c>
      <c r="N70" s="400">
        <f t="shared" si="18"/>
        <v>109783.66414791031</v>
      </c>
      <c r="O70" s="207"/>
    </row>
    <row r="71" spans="1:15" x14ac:dyDescent="0.2">
      <c r="A71" s="31" t="s">
        <v>50</v>
      </c>
      <c r="B71" s="264"/>
      <c r="C71" s="411">
        <f>+G12</f>
        <v>5090.527443729894</v>
      </c>
      <c r="D71" s="411">
        <f t="shared" si="16"/>
        <v>5090.527443729894</v>
      </c>
      <c r="E71" s="411">
        <f t="shared" si="16"/>
        <v>5090.527443729894</v>
      </c>
      <c r="F71" s="411">
        <f t="shared" si="16"/>
        <v>5090.527443729894</v>
      </c>
      <c r="G71" s="411">
        <f t="shared" si="16"/>
        <v>5090.527443729894</v>
      </c>
      <c r="H71" s="411">
        <f t="shared" si="16"/>
        <v>5090.527443729894</v>
      </c>
      <c r="I71" s="411">
        <f t="shared" si="16"/>
        <v>5090.527443729894</v>
      </c>
      <c r="J71" s="411">
        <f t="shared" si="16"/>
        <v>5090.527443729894</v>
      </c>
      <c r="K71" s="411">
        <f t="shared" si="16"/>
        <v>5090.527443729894</v>
      </c>
      <c r="L71" s="411">
        <f t="shared" si="16"/>
        <v>5090.527443729894</v>
      </c>
      <c r="M71" s="400">
        <f t="shared" si="17"/>
        <v>50905.27443729894</v>
      </c>
      <c r="N71" s="400">
        <f t="shared" si="18"/>
        <v>50905.27443729894</v>
      </c>
      <c r="O71" s="207"/>
    </row>
    <row r="72" spans="1:15" x14ac:dyDescent="0.2">
      <c r="A72" s="31" t="s">
        <v>178</v>
      </c>
      <c r="B72" s="264"/>
      <c r="C72" s="411">
        <f>+H12</f>
        <v>7850.4519614148303</v>
      </c>
      <c r="D72" s="411">
        <f t="shared" si="16"/>
        <v>7850.4519614148303</v>
      </c>
      <c r="E72" s="411">
        <f t="shared" si="16"/>
        <v>7850.4519614148303</v>
      </c>
      <c r="F72" s="411">
        <f t="shared" si="16"/>
        <v>7850.4519614148303</v>
      </c>
      <c r="G72" s="411">
        <f t="shared" si="16"/>
        <v>7850.4519614148303</v>
      </c>
      <c r="H72" s="411">
        <f t="shared" si="16"/>
        <v>7850.4519614148303</v>
      </c>
      <c r="I72" s="411">
        <f t="shared" si="16"/>
        <v>7850.4519614148303</v>
      </c>
      <c r="J72" s="411">
        <f t="shared" si="16"/>
        <v>7850.4519614148303</v>
      </c>
      <c r="K72" s="411">
        <f t="shared" si="16"/>
        <v>7850.4519614148303</v>
      </c>
      <c r="L72" s="411">
        <f t="shared" si="16"/>
        <v>7850.4519614148303</v>
      </c>
      <c r="M72" s="400">
        <f t="shared" si="17"/>
        <v>78504.519614148303</v>
      </c>
      <c r="N72" s="400">
        <f t="shared" si="18"/>
        <v>78504.519614148303</v>
      </c>
      <c r="O72" s="207"/>
    </row>
    <row r="73" spans="1:15" x14ac:dyDescent="0.2">
      <c r="A73" s="31" t="s">
        <v>165</v>
      </c>
      <c r="B73" s="264"/>
      <c r="C73" s="411">
        <f>+I12</f>
        <v>5090.527443729894</v>
      </c>
      <c r="D73" s="411">
        <f t="shared" si="16"/>
        <v>5090.527443729894</v>
      </c>
      <c r="E73" s="411">
        <f t="shared" si="16"/>
        <v>5090.527443729894</v>
      </c>
      <c r="F73" s="411">
        <f t="shared" si="16"/>
        <v>5090.527443729894</v>
      </c>
      <c r="G73" s="411">
        <f t="shared" si="16"/>
        <v>5090.527443729894</v>
      </c>
      <c r="H73" s="411">
        <f t="shared" si="16"/>
        <v>5090.527443729894</v>
      </c>
      <c r="I73" s="411">
        <f t="shared" si="16"/>
        <v>5090.527443729894</v>
      </c>
      <c r="J73" s="411">
        <f t="shared" si="16"/>
        <v>5090.527443729894</v>
      </c>
      <c r="K73" s="411">
        <f t="shared" si="16"/>
        <v>5090.527443729894</v>
      </c>
      <c r="L73" s="411">
        <f t="shared" si="16"/>
        <v>5090.527443729894</v>
      </c>
      <c r="M73" s="400">
        <f t="shared" si="17"/>
        <v>50905.27443729894</v>
      </c>
      <c r="N73" s="400">
        <f t="shared" si="18"/>
        <v>50905.27443729894</v>
      </c>
      <c r="O73" s="207"/>
    </row>
    <row r="74" spans="1:15" x14ac:dyDescent="0.2">
      <c r="A74" s="31" t="s">
        <v>179</v>
      </c>
      <c r="B74" s="264"/>
      <c r="C74" s="411">
        <f>+J12</f>
        <v>9690.4016398714157</v>
      </c>
      <c r="D74" s="411">
        <f t="shared" si="16"/>
        <v>9690.4016398714157</v>
      </c>
      <c r="E74" s="411">
        <f t="shared" si="16"/>
        <v>9690.4016398714157</v>
      </c>
      <c r="F74" s="411">
        <f t="shared" si="16"/>
        <v>9690.4016398714157</v>
      </c>
      <c r="G74" s="411">
        <f t="shared" si="16"/>
        <v>9690.4016398714157</v>
      </c>
      <c r="H74" s="411">
        <f t="shared" si="16"/>
        <v>9690.4016398714157</v>
      </c>
      <c r="I74" s="411">
        <f t="shared" si="16"/>
        <v>9690.4016398714157</v>
      </c>
      <c r="J74" s="411">
        <f t="shared" si="16"/>
        <v>9690.4016398714157</v>
      </c>
      <c r="K74" s="411">
        <f t="shared" si="16"/>
        <v>9690.4016398714157</v>
      </c>
      <c r="L74" s="411">
        <f t="shared" si="16"/>
        <v>9690.4016398714157</v>
      </c>
      <c r="M74" s="400">
        <f t="shared" si="17"/>
        <v>96904.016398714157</v>
      </c>
      <c r="N74" s="400">
        <f t="shared" si="18"/>
        <v>96904.016398714157</v>
      </c>
      <c r="O74" s="207"/>
    </row>
    <row r="75" spans="1:15" x14ac:dyDescent="0.2">
      <c r="A75" s="31" t="s">
        <v>163</v>
      </c>
      <c r="B75" s="264"/>
      <c r="C75" s="411">
        <f>+K12</f>
        <v>9874.3966077170626</v>
      </c>
      <c r="D75" s="411">
        <f t="shared" si="16"/>
        <v>9874.3966077170626</v>
      </c>
      <c r="E75" s="411">
        <f t="shared" si="16"/>
        <v>9874.3966077170626</v>
      </c>
      <c r="F75" s="411">
        <f t="shared" si="16"/>
        <v>9874.3966077170626</v>
      </c>
      <c r="G75" s="411">
        <f t="shared" si="16"/>
        <v>9874.3966077170626</v>
      </c>
      <c r="H75" s="411">
        <f t="shared" si="16"/>
        <v>9874.3966077170626</v>
      </c>
      <c r="I75" s="411">
        <f t="shared" si="16"/>
        <v>9874.3966077170626</v>
      </c>
      <c r="J75" s="411">
        <f t="shared" si="16"/>
        <v>9874.3966077170626</v>
      </c>
      <c r="K75" s="411">
        <f t="shared" si="16"/>
        <v>9874.3966077170626</v>
      </c>
      <c r="L75" s="411">
        <f t="shared" si="16"/>
        <v>9874.3966077170626</v>
      </c>
      <c r="M75" s="400">
        <f t="shared" si="17"/>
        <v>98743.966077170626</v>
      </c>
      <c r="N75" s="400">
        <f t="shared" si="18"/>
        <v>98743.966077170626</v>
      </c>
      <c r="O75" s="207"/>
    </row>
    <row r="76" spans="1:15" x14ac:dyDescent="0.2">
      <c r="A76" s="31" t="s">
        <v>180</v>
      </c>
      <c r="B76" s="264"/>
      <c r="C76" s="411">
        <f>+L12</f>
        <v>11101.02972668811</v>
      </c>
      <c r="D76" s="411">
        <f t="shared" si="16"/>
        <v>11101.02972668811</v>
      </c>
      <c r="E76" s="411">
        <f t="shared" si="16"/>
        <v>11101.02972668811</v>
      </c>
      <c r="F76" s="411">
        <f t="shared" si="16"/>
        <v>11101.02972668811</v>
      </c>
      <c r="G76" s="411">
        <f t="shared" si="16"/>
        <v>11101.02972668811</v>
      </c>
      <c r="H76" s="411">
        <f t="shared" si="16"/>
        <v>11101.02972668811</v>
      </c>
      <c r="I76" s="411">
        <f t="shared" si="16"/>
        <v>11101.02972668811</v>
      </c>
      <c r="J76" s="411">
        <f t="shared" si="16"/>
        <v>11101.02972668811</v>
      </c>
      <c r="K76" s="411">
        <f t="shared" si="16"/>
        <v>11101.02972668811</v>
      </c>
      <c r="L76" s="411">
        <f t="shared" si="16"/>
        <v>11101.02972668811</v>
      </c>
      <c r="M76" s="400">
        <f t="shared" si="17"/>
        <v>111010.2972668811</v>
      </c>
      <c r="N76" s="400">
        <f t="shared" si="18"/>
        <v>111010.2972668811</v>
      </c>
      <c r="O76" s="207"/>
    </row>
    <row r="77" spans="1:15" x14ac:dyDescent="0.2">
      <c r="A77" s="31" t="s">
        <v>162</v>
      </c>
      <c r="B77" s="264"/>
      <c r="C77" s="411">
        <f>+M12</f>
        <v>11775.677942122275</v>
      </c>
      <c r="D77" s="411">
        <f t="shared" si="16"/>
        <v>11775.677942122275</v>
      </c>
      <c r="E77" s="411">
        <f t="shared" si="16"/>
        <v>11775.677942122275</v>
      </c>
      <c r="F77" s="411">
        <f t="shared" si="16"/>
        <v>11775.677942122275</v>
      </c>
      <c r="G77" s="411">
        <f t="shared" si="16"/>
        <v>11775.677942122275</v>
      </c>
      <c r="H77" s="411">
        <f t="shared" si="16"/>
        <v>11775.677942122275</v>
      </c>
      <c r="I77" s="411">
        <f t="shared" si="16"/>
        <v>11775.677942122275</v>
      </c>
      <c r="J77" s="411">
        <f t="shared" si="16"/>
        <v>11775.677942122275</v>
      </c>
      <c r="K77" s="411">
        <f t="shared" si="16"/>
        <v>11775.677942122275</v>
      </c>
      <c r="L77" s="411">
        <f t="shared" si="16"/>
        <v>11775.677942122275</v>
      </c>
      <c r="M77" s="400">
        <f t="shared" si="17"/>
        <v>117756.77942122275</v>
      </c>
      <c r="N77" s="400">
        <f t="shared" si="18"/>
        <v>117756.77942122275</v>
      </c>
      <c r="O77" s="207"/>
    </row>
    <row r="78" spans="1:15" x14ac:dyDescent="0.2">
      <c r="A78" s="31" t="s">
        <v>164</v>
      </c>
      <c r="B78" s="264"/>
      <c r="C78" s="411">
        <f>+N12</f>
        <v>8402.4368649517419</v>
      </c>
      <c r="D78" s="411">
        <f t="shared" si="16"/>
        <v>8402.4368649517419</v>
      </c>
      <c r="E78" s="411">
        <f t="shared" si="16"/>
        <v>8402.4368649517419</v>
      </c>
      <c r="F78" s="411">
        <f t="shared" si="16"/>
        <v>8402.4368649517419</v>
      </c>
      <c r="G78" s="411">
        <f t="shared" si="16"/>
        <v>8402.4368649517419</v>
      </c>
      <c r="H78" s="411">
        <f t="shared" si="16"/>
        <v>8402.4368649517419</v>
      </c>
      <c r="I78" s="411">
        <f t="shared" si="16"/>
        <v>8402.4368649517419</v>
      </c>
      <c r="J78" s="411">
        <f t="shared" si="16"/>
        <v>8402.4368649517419</v>
      </c>
      <c r="K78" s="411">
        <f t="shared" si="16"/>
        <v>8402.4368649517419</v>
      </c>
      <c r="L78" s="411">
        <f t="shared" si="16"/>
        <v>8402.4368649517419</v>
      </c>
      <c r="M78" s="400">
        <f t="shared" si="17"/>
        <v>84024.368649517419</v>
      </c>
      <c r="N78" s="400">
        <f t="shared" si="18"/>
        <v>84024.368649517419</v>
      </c>
      <c r="O78" s="207"/>
    </row>
    <row r="79" spans="1:15" x14ac:dyDescent="0.2">
      <c r="A79" s="170"/>
      <c r="B79" s="264"/>
      <c r="C79" s="400"/>
      <c r="D79" s="400"/>
      <c r="E79" s="400"/>
      <c r="F79" s="400"/>
      <c r="G79" s="400"/>
      <c r="H79" s="400"/>
      <c r="I79" s="400"/>
      <c r="J79" s="400"/>
      <c r="K79" s="400"/>
      <c r="L79" s="400"/>
      <c r="M79" s="400"/>
      <c r="N79" s="400"/>
      <c r="O79" s="207"/>
    </row>
    <row r="80" spans="1:15" x14ac:dyDescent="0.2">
      <c r="A80" s="170"/>
      <c r="B80" s="264"/>
      <c r="C80" s="400"/>
      <c r="D80" s="400"/>
      <c r="E80" s="400"/>
      <c r="F80" s="400"/>
      <c r="G80" s="400"/>
      <c r="H80" s="400"/>
      <c r="I80" s="400"/>
      <c r="J80" s="400"/>
      <c r="K80" s="400"/>
      <c r="L80" s="400"/>
      <c r="M80" s="400"/>
      <c r="N80" s="400"/>
      <c r="O80" s="207"/>
    </row>
    <row r="81" spans="1:15" x14ac:dyDescent="0.2">
      <c r="A81" s="170"/>
      <c r="B81" s="264"/>
      <c r="C81" s="400"/>
      <c r="D81" s="400"/>
      <c r="E81" s="400"/>
      <c r="F81" s="400"/>
      <c r="G81" s="400"/>
      <c r="H81" s="400"/>
      <c r="I81" s="400"/>
      <c r="J81" s="400"/>
      <c r="K81" s="400"/>
      <c r="L81" s="400"/>
      <c r="M81" s="400"/>
      <c r="N81" s="400"/>
      <c r="O81" s="207"/>
    </row>
    <row r="82" spans="1:15" x14ac:dyDescent="0.2">
      <c r="A82" s="170"/>
      <c r="B82" s="264"/>
      <c r="C82" s="400"/>
      <c r="D82" s="400"/>
      <c r="E82" s="400"/>
      <c r="F82" s="400"/>
      <c r="G82" s="400"/>
      <c r="H82" s="400"/>
      <c r="I82" s="400"/>
      <c r="J82" s="400"/>
      <c r="K82" s="400"/>
      <c r="L82" s="400"/>
      <c r="M82" s="400"/>
      <c r="N82" s="400"/>
      <c r="O82" s="207"/>
    </row>
    <row r="83" spans="1:15" x14ac:dyDescent="0.2">
      <c r="A83" s="170"/>
      <c r="B83" s="264"/>
      <c r="C83" s="400"/>
      <c r="D83" s="400"/>
      <c r="E83" s="400"/>
      <c r="F83" s="400"/>
      <c r="G83" s="400"/>
      <c r="H83" s="400"/>
      <c r="I83" s="400"/>
      <c r="J83" s="400"/>
      <c r="K83" s="400"/>
      <c r="L83" s="400"/>
      <c r="M83" s="400"/>
      <c r="N83" s="400"/>
      <c r="O83" s="207"/>
    </row>
    <row r="84" spans="1:15" x14ac:dyDescent="0.2">
      <c r="A84" s="170"/>
      <c r="B84" s="264"/>
      <c r="C84" s="400"/>
      <c r="D84" s="400"/>
      <c r="E84" s="400"/>
      <c r="F84" s="400"/>
      <c r="G84" s="400"/>
      <c r="H84" s="400"/>
      <c r="I84" s="400"/>
      <c r="J84" s="400"/>
      <c r="K84" s="400"/>
      <c r="L84" s="400"/>
      <c r="M84" s="400"/>
      <c r="N84" s="400"/>
      <c r="O84" s="207"/>
    </row>
    <row r="85" spans="1:15" x14ac:dyDescent="0.2">
      <c r="A85" s="170"/>
      <c r="B85" s="264"/>
      <c r="C85" s="400"/>
      <c r="D85" s="400"/>
      <c r="E85" s="400"/>
      <c r="F85" s="400"/>
      <c r="G85" s="400"/>
      <c r="H85" s="400"/>
      <c r="I85" s="400"/>
      <c r="J85" s="400"/>
      <c r="K85" s="400"/>
      <c r="L85" s="400"/>
      <c r="M85" s="400"/>
      <c r="N85" s="400"/>
      <c r="O85" s="207"/>
    </row>
    <row r="86" spans="1:15" x14ac:dyDescent="0.2">
      <c r="A86" s="170"/>
      <c r="B86" s="264"/>
      <c r="C86" s="400"/>
      <c r="D86" s="400"/>
      <c r="E86" s="400"/>
      <c r="F86" s="400"/>
      <c r="G86" s="400"/>
      <c r="H86" s="400"/>
      <c r="I86" s="400"/>
      <c r="J86" s="400"/>
      <c r="K86" s="400"/>
      <c r="L86" s="400"/>
      <c r="M86" s="400"/>
      <c r="N86" s="400"/>
      <c r="O86" s="207"/>
    </row>
    <row r="87" spans="1:15" x14ac:dyDescent="0.2">
      <c r="A87" s="170"/>
      <c r="B87" s="264"/>
      <c r="C87" s="400"/>
      <c r="D87" s="400"/>
      <c r="E87" s="400"/>
      <c r="F87" s="400"/>
      <c r="G87" s="400"/>
      <c r="H87" s="400"/>
      <c r="I87" s="400"/>
      <c r="J87" s="400"/>
      <c r="K87" s="400"/>
      <c r="L87" s="400"/>
      <c r="M87" s="400"/>
      <c r="N87" s="400"/>
      <c r="O87" s="207"/>
    </row>
    <row r="88" spans="1:15" x14ac:dyDescent="0.2">
      <c r="A88" s="170"/>
      <c r="B88" s="264"/>
      <c r="C88" s="400"/>
      <c r="D88" s="400"/>
      <c r="E88" s="400"/>
      <c r="F88" s="400"/>
      <c r="G88" s="400"/>
      <c r="H88" s="400"/>
      <c r="I88" s="400"/>
      <c r="J88" s="400"/>
      <c r="K88" s="400"/>
      <c r="L88" s="400"/>
      <c r="M88" s="400"/>
      <c r="N88" s="400"/>
      <c r="O88" s="207"/>
    </row>
    <row r="89" spans="1:15" x14ac:dyDescent="0.2">
      <c r="A89" s="170"/>
      <c r="B89" s="264"/>
      <c r="C89" s="400"/>
      <c r="D89" s="400"/>
      <c r="E89" s="400"/>
      <c r="F89" s="400"/>
      <c r="G89" s="400"/>
      <c r="H89" s="400"/>
      <c r="I89" s="400"/>
      <c r="J89" s="400"/>
      <c r="K89" s="400"/>
      <c r="L89" s="400"/>
      <c r="M89" s="400"/>
      <c r="N89" s="400"/>
      <c r="O89" s="207"/>
    </row>
    <row r="90" spans="1:15" x14ac:dyDescent="0.2">
      <c r="A90" s="170"/>
      <c r="B90" s="264"/>
      <c r="C90" s="400"/>
      <c r="D90" s="400"/>
      <c r="E90" s="400"/>
      <c r="F90" s="400"/>
      <c r="G90" s="400"/>
      <c r="H90" s="400"/>
      <c r="I90" s="400"/>
      <c r="J90" s="400"/>
      <c r="K90" s="400"/>
      <c r="L90" s="400"/>
      <c r="M90" s="400"/>
      <c r="N90" s="400"/>
      <c r="O90" s="207"/>
    </row>
    <row r="91" spans="1:15" x14ac:dyDescent="0.2">
      <c r="A91" s="400"/>
      <c r="B91" s="264"/>
      <c r="C91" s="400"/>
      <c r="D91" s="400"/>
      <c r="E91" s="400"/>
      <c r="F91" s="400"/>
      <c r="G91" s="400"/>
      <c r="H91" s="400"/>
      <c r="I91" s="400"/>
      <c r="J91" s="400"/>
      <c r="K91" s="400"/>
      <c r="L91" s="400"/>
      <c r="M91" s="400"/>
      <c r="N91" s="400"/>
      <c r="O91" s="207"/>
    </row>
    <row r="92" spans="1:15" x14ac:dyDescent="0.2">
      <c r="A92" s="400"/>
      <c r="B92" s="264"/>
      <c r="C92" s="400"/>
      <c r="D92" s="400"/>
      <c r="E92" s="400"/>
      <c r="F92" s="400"/>
      <c r="G92" s="400"/>
      <c r="H92" s="400"/>
      <c r="I92" s="400"/>
      <c r="J92" s="400"/>
      <c r="K92" s="400"/>
      <c r="L92" s="400"/>
      <c r="M92" s="400"/>
      <c r="N92" s="400"/>
      <c r="O92" s="207"/>
    </row>
    <row r="93" spans="1:15" x14ac:dyDescent="0.2">
      <c r="A93" s="400"/>
      <c r="B93" s="264"/>
      <c r="C93" s="400"/>
      <c r="D93" s="400"/>
      <c r="E93" s="400"/>
      <c r="F93" s="400"/>
      <c r="G93" s="400"/>
      <c r="H93" s="400"/>
      <c r="I93" s="400"/>
      <c r="J93" s="400"/>
      <c r="K93" s="400"/>
      <c r="L93" s="400"/>
      <c r="M93" s="400"/>
      <c r="N93" s="400"/>
      <c r="O93" s="207"/>
    </row>
  </sheetData>
  <mergeCells count="5">
    <mergeCell ref="A1:L1"/>
    <mergeCell ref="A16:L16"/>
    <mergeCell ref="A40:L40"/>
    <mergeCell ref="D17:N17"/>
    <mergeCell ref="D41:N41"/>
  </mergeCells>
  <phoneticPr fontId="4" type="noConversion"/>
  <conditionalFormatting sqref="A91:A93 C65:N66 C68:N93 A3:A11">
    <cfRule type="cellIs" dxfId="7" priority="3" stopIfTrue="1" operator="equal">
      <formula>0</formula>
    </cfRule>
    <cfRule type="cellIs" dxfId="6" priority="4" stopIfTrue="1" operator="notEqual">
      <formula>0</formula>
    </cfRule>
  </conditionalFormatting>
  <pageMargins left="0.78740157499999996" right="0.78740157499999996" top="0.984251969" bottom="0.984251969" header="0.4921259845" footer="0.4921259845"/>
  <pageSetup orientation="landscape" r:id="rId1"/>
  <headerFooter alignWithMargins="0"/>
  <rowBreaks count="1" manualBreakCount="1">
    <brk id="3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88"/>
  <sheetViews>
    <sheetView zoomScale="90" zoomScaleNormal="90" workbookViewId="0">
      <selection activeCell="D60" sqref="D60"/>
    </sheetView>
  </sheetViews>
  <sheetFormatPr defaultColWidth="9.140625" defaultRowHeight="12.75" x14ac:dyDescent="0.2"/>
  <cols>
    <col min="1" max="1" width="38.28515625" style="143" customWidth="1"/>
    <col min="2" max="2" width="20.28515625" style="143" customWidth="1"/>
    <col min="3" max="3" width="11.140625" style="143" customWidth="1"/>
    <col min="4" max="4" width="9.28515625" style="143" bestFit="1" customWidth="1"/>
    <col min="5" max="5" width="13.28515625" style="143" customWidth="1"/>
    <col min="6" max="6" width="12" style="143" customWidth="1"/>
    <col min="7" max="7" width="14.7109375" style="143" customWidth="1"/>
    <col min="8" max="8" width="13" style="143" customWidth="1"/>
    <col min="9" max="10" width="14.42578125" style="143" customWidth="1"/>
    <col min="11" max="14" width="13" style="143" customWidth="1"/>
    <col min="15" max="15" width="12.85546875" style="143" customWidth="1"/>
    <col min="16" max="16" width="9.28515625" style="143" bestFit="1" customWidth="1"/>
    <col min="17" max="256" width="11.42578125" style="143" customWidth="1"/>
    <col min="257" max="16384" width="9.140625" style="143"/>
  </cols>
  <sheetData>
    <row r="1" spans="1:16" ht="18.75" thickBot="1" x14ac:dyDescent="0.3">
      <c r="B1" s="1071" t="s">
        <v>61</v>
      </c>
      <c r="C1" s="1072"/>
      <c r="D1" s="1072"/>
      <c r="E1" s="1072"/>
      <c r="F1" s="1072"/>
      <c r="G1" s="1072"/>
      <c r="H1" s="1072"/>
      <c r="I1" s="1072"/>
      <c r="J1" s="1072"/>
      <c r="K1" s="1072"/>
      <c r="L1" s="1072"/>
      <c r="M1" s="1072"/>
      <c r="N1" s="1072"/>
      <c r="O1" s="1072"/>
      <c r="P1" s="1073"/>
    </row>
    <row r="2" spans="1:16" ht="13.5" thickTop="1" x14ac:dyDescent="0.2">
      <c r="A2" s="1075">
        <f>IF('ERR &amp; Sensitivity Analysis'!$I$10="N","Note: Current calculations are based on user input and are not the original MCC estimates.",IF('ERR &amp; Sensitivity Analysis'!$I$11="N","Note: Current calculations are based on user input and are not the original MCC estimates.",0))</f>
        <v>0</v>
      </c>
      <c r="B2" s="927"/>
      <c r="C2" s="927"/>
      <c r="D2" s="927"/>
      <c r="E2" s="927"/>
      <c r="F2" s="927"/>
      <c r="G2" s="927"/>
      <c r="H2" s="927"/>
      <c r="I2" s="927"/>
      <c r="J2" s="927"/>
      <c r="K2" s="927"/>
      <c r="L2" s="927"/>
      <c r="M2" s="927"/>
      <c r="N2" s="927"/>
      <c r="O2" s="1076"/>
    </row>
    <row r="3" spans="1:16" x14ac:dyDescent="0.2">
      <c r="A3" s="193"/>
      <c r="B3" s="187"/>
      <c r="C3" s="187"/>
      <c r="D3" s="187"/>
      <c r="E3" s="187"/>
      <c r="F3" s="187"/>
      <c r="G3" s="187"/>
      <c r="H3" s="187"/>
      <c r="I3" s="187"/>
      <c r="J3" s="187"/>
      <c r="K3" s="187"/>
      <c r="L3" s="187"/>
      <c r="M3" s="187"/>
      <c r="N3" s="187"/>
      <c r="O3" s="187"/>
      <c r="P3" s="184"/>
    </row>
    <row r="4" spans="1:16" x14ac:dyDescent="0.2">
      <c r="A4" s="244" t="s">
        <v>147</v>
      </c>
      <c r="B4" s="246"/>
      <c r="C4" s="240"/>
      <c r="D4" s="247"/>
      <c r="E4" s="34" t="s">
        <v>14</v>
      </c>
      <c r="F4" s="34" t="s">
        <v>15</v>
      </c>
      <c r="G4" s="34" t="s">
        <v>16</v>
      </c>
      <c r="H4" s="34" t="s">
        <v>50</v>
      </c>
      <c r="I4" s="34" t="s">
        <v>178</v>
      </c>
      <c r="J4" s="34" t="s">
        <v>165</v>
      </c>
      <c r="K4" s="34" t="s">
        <v>179</v>
      </c>
      <c r="L4" s="34" t="s">
        <v>163</v>
      </c>
      <c r="M4" s="34" t="s">
        <v>180</v>
      </c>
      <c r="N4" s="34" t="s">
        <v>162</v>
      </c>
      <c r="O4" s="34" t="s">
        <v>164</v>
      </c>
      <c r="P4" s="34" t="s">
        <v>30</v>
      </c>
    </row>
    <row r="5" spans="1:16" ht="13.5" thickBot="1" x14ac:dyDescent="0.25">
      <c r="A5" s="180" t="s">
        <v>148</v>
      </c>
      <c r="B5" s="248"/>
      <c r="C5" s="181" t="s">
        <v>158</v>
      </c>
      <c r="D5" s="249"/>
      <c r="E5" s="182"/>
      <c r="F5" s="182"/>
      <c r="G5" s="183"/>
      <c r="H5" s="183"/>
      <c r="I5" s="184"/>
      <c r="J5" s="184"/>
      <c r="K5" s="184"/>
      <c r="L5" s="184"/>
      <c r="M5" s="184"/>
      <c r="N5" s="184"/>
      <c r="O5" s="184"/>
      <c r="P5" s="184"/>
    </row>
    <row r="6" spans="1:16" x14ac:dyDescent="0.2">
      <c r="A6" s="255" t="s">
        <v>181</v>
      </c>
      <c r="B6" s="250"/>
      <c r="C6" s="186" t="s">
        <v>157</v>
      </c>
      <c r="D6" s="184"/>
      <c r="E6" s="188">
        <f t="shared" ref="E6:O6" si="0">+E50*1000</f>
        <v>6555110.7800000003</v>
      </c>
      <c r="F6" s="274">
        <f t="shared" si="0"/>
        <v>0</v>
      </c>
      <c r="G6" s="188">
        <f t="shared" si="0"/>
        <v>18056097</v>
      </c>
      <c r="H6" s="188">
        <f t="shared" si="0"/>
        <v>11969121.300000001</v>
      </c>
      <c r="I6" s="188">
        <f t="shared" si="0"/>
        <v>34400433.100000001</v>
      </c>
      <c r="J6" s="188">
        <f t="shared" si="0"/>
        <v>11973082.1</v>
      </c>
      <c r="K6" s="188">
        <f t="shared" si="0"/>
        <v>5736465.8899999997</v>
      </c>
      <c r="L6" s="188">
        <f t="shared" si="0"/>
        <v>9920455.6799999997</v>
      </c>
      <c r="M6" s="274">
        <f t="shared" si="0"/>
        <v>4803709</v>
      </c>
      <c r="N6" s="274">
        <f t="shared" si="0"/>
        <v>4175546.9999999995</v>
      </c>
      <c r="O6" s="188">
        <f t="shared" si="0"/>
        <v>12400716.5</v>
      </c>
      <c r="P6" s="189"/>
    </row>
    <row r="7" spans="1:16" s="540" customFormat="1" x14ac:dyDescent="0.2">
      <c r="A7" s="533"/>
      <c r="B7" s="534"/>
      <c r="C7" s="535">
        <v>20</v>
      </c>
      <c r="D7" s="536">
        <v>0.05</v>
      </c>
      <c r="E7" s="537">
        <f>E6*$D7/1000</f>
        <v>327.75553900000006</v>
      </c>
      <c r="F7" s="538">
        <f>F6*$D7/1000*2</f>
        <v>0</v>
      </c>
      <c r="G7" s="538">
        <f>G6*$D7/1000*2</f>
        <v>1805.6097000000002</v>
      </c>
      <c r="H7" s="538">
        <f>H6*$D7/1000</f>
        <v>598.45606500000008</v>
      </c>
      <c r="I7" s="538">
        <f t="shared" ref="I7:O7" si="1">I6*$D7/1000</f>
        <v>1720.0216550000002</v>
      </c>
      <c r="J7" s="538">
        <f t="shared" si="1"/>
        <v>598.65410499999996</v>
      </c>
      <c r="K7" s="538">
        <f t="shared" si="1"/>
        <v>286.82329450000003</v>
      </c>
      <c r="L7" s="538">
        <f t="shared" si="1"/>
        <v>496.022784</v>
      </c>
      <c r="M7" s="538">
        <f t="shared" si="1"/>
        <v>240.18545</v>
      </c>
      <c r="N7" s="538">
        <f t="shared" si="1"/>
        <v>208.77734999999998</v>
      </c>
      <c r="O7" s="538">
        <f t="shared" si="1"/>
        <v>620.03582500000005</v>
      </c>
      <c r="P7" s="539"/>
    </row>
    <row r="8" spans="1:16" s="540" customFormat="1" hidden="1" x14ac:dyDescent="0.2">
      <c r="A8" s="533"/>
      <c r="B8" s="541"/>
      <c r="C8" s="542"/>
      <c r="D8" s="543"/>
      <c r="E8" s="537"/>
      <c r="F8" s="544"/>
      <c r="G8" s="544"/>
      <c r="H8" s="544"/>
      <c r="I8" s="544"/>
      <c r="J8" s="544"/>
      <c r="K8" s="544"/>
      <c r="L8" s="544"/>
      <c r="M8" s="544"/>
      <c r="N8" s="544"/>
      <c r="O8" s="544"/>
      <c r="P8" s="539"/>
    </row>
    <row r="9" spans="1:16" s="540" customFormat="1" hidden="1" x14ac:dyDescent="0.2">
      <c r="A9" s="533"/>
      <c r="B9" s="541"/>
      <c r="C9" s="545"/>
      <c r="D9" s="546"/>
      <c r="E9" s="537"/>
      <c r="F9" s="547"/>
      <c r="G9" s="547"/>
      <c r="H9" s="547"/>
      <c r="I9" s="547"/>
      <c r="J9" s="547"/>
      <c r="K9" s="547"/>
      <c r="L9" s="547"/>
      <c r="M9" s="547"/>
      <c r="N9" s="547"/>
      <c r="O9" s="547"/>
      <c r="P9" s="539"/>
    </row>
    <row r="10" spans="1:16" s="540" customFormat="1" hidden="1" x14ac:dyDescent="0.2">
      <c r="A10" s="548"/>
      <c r="B10" s="541"/>
      <c r="C10" s="542"/>
      <c r="D10" s="543"/>
      <c r="E10" s="537"/>
      <c r="F10" s="544"/>
      <c r="G10" s="544"/>
      <c r="H10" s="544"/>
      <c r="I10" s="544"/>
      <c r="J10" s="544"/>
      <c r="K10" s="544"/>
      <c r="L10" s="544"/>
      <c r="M10" s="544"/>
      <c r="N10" s="544"/>
      <c r="O10" s="544"/>
      <c r="P10" s="539"/>
    </row>
    <row r="11" spans="1:16" s="540" customFormat="1" hidden="1" x14ac:dyDescent="0.2">
      <c r="A11" s="533"/>
      <c r="B11" s="541"/>
      <c r="C11" s="545"/>
      <c r="D11" s="546"/>
      <c r="E11" s="537"/>
      <c r="F11" s="549"/>
      <c r="G11" s="549"/>
      <c r="H11" s="549"/>
      <c r="I11" s="549"/>
      <c r="J11" s="549"/>
      <c r="K11" s="549"/>
      <c r="L11" s="549"/>
      <c r="M11" s="549"/>
      <c r="N11" s="549"/>
      <c r="O11" s="549"/>
      <c r="P11" s="539"/>
    </row>
    <row r="12" spans="1:16" s="540" customFormat="1" x14ac:dyDescent="0.2">
      <c r="A12" s="548" t="s">
        <v>149</v>
      </c>
      <c r="B12" s="534"/>
      <c r="C12" s="542" t="s">
        <v>157</v>
      </c>
      <c r="D12" s="543"/>
      <c r="E12" s="537">
        <f t="shared" ref="E12:O12" si="2">+E51*1000</f>
        <v>386309</v>
      </c>
      <c r="F12" s="544">
        <f t="shared" si="2"/>
        <v>0</v>
      </c>
      <c r="G12" s="544">
        <f t="shared" si="2"/>
        <v>390123</v>
      </c>
      <c r="H12" s="544">
        <f t="shared" si="2"/>
        <v>446463</v>
      </c>
      <c r="I12" s="544">
        <f t="shared" si="2"/>
        <v>580462</v>
      </c>
      <c r="J12" s="544">
        <f t="shared" si="2"/>
        <v>351589</v>
      </c>
      <c r="K12" s="544">
        <f t="shared" si="2"/>
        <v>364453</v>
      </c>
      <c r="L12" s="544">
        <f t="shared" si="2"/>
        <v>386075</v>
      </c>
      <c r="M12" s="544">
        <f t="shared" si="2"/>
        <v>425823</v>
      </c>
      <c r="N12" s="544">
        <f t="shared" si="2"/>
        <v>419543</v>
      </c>
      <c r="O12" s="544">
        <f t="shared" si="2"/>
        <v>366903</v>
      </c>
      <c r="P12" s="539"/>
    </row>
    <row r="13" spans="1:16" x14ac:dyDescent="0.2">
      <c r="A13" s="185"/>
      <c r="B13" s="250"/>
      <c r="C13" s="190">
        <v>10</v>
      </c>
      <c r="D13" s="251">
        <v>0.1</v>
      </c>
      <c r="E13" s="531">
        <f>E12/1000*$D13</f>
        <v>38.630900000000004</v>
      </c>
      <c r="F13" s="191">
        <f>F12/1000*$D13*2</f>
        <v>0</v>
      </c>
      <c r="G13" s="191">
        <f>G12/1000*$D13*2</f>
        <v>78.024600000000007</v>
      </c>
      <c r="H13" s="191">
        <f>H12/1000*$D13</f>
        <v>44.646300000000004</v>
      </c>
      <c r="I13" s="191">
        <f t="shared" ref="I13:O13" si="3">I12/1000*$D13</f>
        <v>58.046199999999999</v>
      </c>
      <c r="J13" s="191">
        <f t="shared" si="3"/>
        <v>35.158900000000003</v>
      </c>
      <c r="K13" s="191">
        <f t="shared" si="3"/>
        <v>36.445299999999996</v>
      </c>
      <c r="L13" s="191">
        <f t="shared" si="3"/>
        <v>38.607500000000002</v>
      </c>
      <c r="M13" s="191">
        <f t="shared" si="3"/>
        <v>42.582300000000004</v>
      </c>
      <c r="N13" s="191">
        <f t="shared" si="3"/>
        <v>41.954300000000003</v>
      </c>
      <c r="O13" s="191">
        <f t="shared" si="3"/>
        <v>36.690300000000001</v>
      </c>
      <c r="P13" s="189"/>
    </row>
    <row r="14" spans="1:16" ht="13.5" thickBot="1" x14ac:dyDescent="0.25">
      <c r="A14" s="185" t="s">
        <v>150</v>
      </c>
      <c r="B14" s="250"/>
      <c r="C14" s="186" t="s">
        <v>157</v>
      </c>
      <c r="D14" s="184"/>
      <c r="E14" s="531">
        <f t="shared" ref="E14:O14" si="4">+E52*1000</f>
        <v>2829565</v>
      </c>
      <c r="F14" s="188">
        <f t="shared" si="4"/>
        <v>0</v>
      </c>
      <c r="G14" s="188">
        <f t="shared" si="4"/>
        <v>4043348</v>
      </c>
      <c r="H14" s="188">
        <f t="shared" si="4"/>
        <v>3172973.5</v>
      </c>
      <c r="I14" s="188">
        <f t="shared" si="4"/>
        <v>5789605</v>
      </c>
      <c r="J14" s="188">
        <f t="shared" si="4"/>
        <v>3117409</v>
      </c>
      <c r="K14" s="188">
        <f t="shared" si="4"/>
        <v>1994015</v>
      </c>
      <c r="L14" s="188">
        <f t="shared" si="4"/>
        <v>2572950</v>
      </c>
      <c r="M14" s="188">
        <f t="shared" si="4"/>
        <v>2400842</v>
      </c>
      <c r="N14" s="188">
        <f t="shared" si="4"/>
        <v>1893281.5</v>
      </c>
      <c r="O14" s="188">
        <f t="shared" si="4"/>
        <v>3145493</v>
      </c>
      <c r="P14" s="189"/>
    </row>
    <row r="15" spans="1:16" x14ac:dyDescent="0.2">
      <c r="A15" s="192"/>
      <c r="B15" s="250"/>
      <c r="C15" s="190">
        <v>5</v>
      </c>
      <c r="D15" s="251">
        <v>0.2</v>
      </c>
      <c r="E15" s="531">
        <f>E14/1000*$D15</f>
        <v>565.91300000000001</v>
      </c>
      <c r="F15" s="191">
        <f>F14/1000*$D15*2</f>
        <v>0</v>
      </c>
      <c r="G15" s="191">
        <f>G14/1000*$D15*2</f>
        <v>1617.3392000000001</v>
      </c>
      <c r="H15" s="191">
        <f>H14/1000*$D15</f>
        <v>634.5947000000001</v>
      </c>
      <c r="I15" s="191">
        <f t="shared" ref="I15:O15" si="5">I14/1000*$D15</f>
        <v>1157.921</v>
      </c>
      <c r="J15" s="191">
        <f t="shared" si="5"/>
        <v>623.48180000000002</v>
      </c>
      <c r="K15" s="191">
        <f t="shared" si="5"/>
        <v>398.80300000000005</v>
      </c>
      <c r="L15" s="191">
        <f t="shared" si="5"/>
        <v>514.59</v>
      </c>
      <c r="M15" s="191">
        <f t="shared" si="5"/>
        <v>480.16840000000002</v>
      </c>
      <c r="N15" s="191">
        <f t="shared" si="5"/>
        <v>378.65630000000004</v>
      </c>
      <c r="O15" s="191">
        <f t="shared" si="5"/>
        <v>629.09860000000003</v>
      </c>
      <c r="P15" s="189"/>
    </row>
    <row r="16" spans="1:16" x14ac:dyDescent="0.2">
      <c r="A16" s="193"/>
      <c r="B16" s="194" t="s">
        <v>151</v>
      </c>
      <c r="C16" s="195"/>
      <c r="D16" s="252"/>
      <c r="E16" s="532">
        <f t="shared" ref="E16:O16" si="6">SUM(E15,E13,E11,E9,E7)</f>
        <v>932.29943900000012</v>
      </c>
      <c r="F16" s="196">
        <f t="shared" si="6"/>
        <v>0</v>
      </c>
      <c r="G16" s="196">
        <f t="shared" si="6"/>
        <v>3500.9735000000001</v>
      </c>
      <c r="H16" s="196">
        <f t="shared" si="6"/>
        <v>1277.6970650000003</v>
      </c>
      <c r="I16" s="196">
        <f t="shared" si="6"/>
        <v>2935.9888550000005</v>
      </c>
      <c r="J16" s="196">
        <f t="shared" si="6"/>
        <v>1257.294805</v>
      </c>
      <c r="K16" s="196">
        <f t="shared" si="6"/>
        <v>722.07159450000006</v>
      </c>
      <c r="L16" s="196">
        <f t="shared" si="6"/>
        <v>1049.220284</v>
      </c>
      <c r="M16" s="196">
        <f t="shared" si="6"/>
        <v>762.93615</v>
      </c>
      <c r="N16" s="196">
        <f t="shared" si="6"/>
        <v>629.38795000000005</v>
      </c>
      <c r="O16" s="196">
        <f t="shared" si="6"/>
        <v>1285.8247249999999</v>
      </c>
      <c r="P16" s="275">
        <f>SUM(E16:O16)</f>
        <v>14353.6943675</v>
      </c>
    </row>
    <row r="17" spans="1:16" x14ac:dyDescent="0.2">
      <c r="A17" s="245" t="s">
        <v>152</v>
      </c>
      <c r="B17" s="241"/>
      <c r="C17" s="242"/>
      <c r="D17" s="243"/>
      <c r="E17" s="187"/>
      <c r="F17" s="187"/>
      <c r="G17" s="187"/>
      <c r="H17" s="187"/>
      <c r="I17" s="187"/>
      <c r="J17" s="187"/>
      <c r="K17" s="187"/>
      <c r="L17" s="187"/>
      <c r="M17" s="187"/>
      <c r="N17" s="187"/>
      <c r="O17" s="187"/>
      <c r="P17" s="184"/>
    </row>
    <row r="18" spans="1:16" x14ac:dyDescent="0.2">
      <c r="A18" s="197" t="s">
        <v>153</v>
      </c>
      <c r="B18" s="187"/>
      <c r="C18" s="187"/>
      <c r="D18" s="187"/>
      <c r="E18" s="188">
        <f>0.005*SUM(E14,E12,E10,E8,E6)/1000</f>
        <v>48.85492390000001</v>
      </c>
      <c r="F18" s="188">
        <f>0.005*SUM(F14,F12,F10,F8,F6)/1000*2</f>
        <v>0</v>
      </c>
      <c r="G18" s="188">
        <f>0.005*SUM(G14,G12,G10,G8,G6)/1000*2</f>
        <v>224.89568</v>
      </c>
      <c r="H18" s="188">
        <f t="shared" ref="H18:O18" si="7">0.005*SUM(H14,H12,H10,H8,H6)/1000</f>
        <v>77.942789000000005</v>
      </c>
      <c r="I18" s="188">
        <f t="shared" si="7"/>
        <v>203.85250050000002</v>
      </c>
      <c r="J18" s="188">
        <f t="shared" si="7"/>
        <v>77.210400500000006</v>
      </c>
      <c r="K18" s="188">
        <f t="shared" si="7"/>
        <v>40.47466945</v>
      </c>
      <c r="L18" s="188">
        <f t="shared" si="7"/>
        <v>64.397403400000002</v>
      </c>
      <c r="M18" s="188">
        <f t="shared" si="7"/>
        <v>38.151870000000002</v>
      </c>
      <c r="N18" s="188">
        <f t="shared" si="7"/>
        <v>32.441857500000005</v>
      </c>
      <c r="O18" s="188">
        <f t="shared" si="7"/>
        <v>79.565562499999999</v>
      </c>
      <c r="P18" s="184"/>
    </row>
    <row r="19" spans="1:16" x14ac:dyDescent="0.2">
      <c r="A19" s="197" t="s">
        <v>154</v>
      </c>
      <c r="B19" s="198"/>
      <c r="C19" s="198"/>
      <c r="D19" s="198"/>
      <c r="E19" s="199">
        <f>Assumptions!$Q$13*SUM(E14,E12,E10,E8,E6)/1000</f>
        <v>0</v>
      </c>
      <c r="F19" s="199">
        <f>0.1*SUM(F14,F12,F10,F8,F6)/1000</f>
        <v>0</v>
      </c>
      <c r="G19" s="199">
        <f>Assumptions!$Q$13*SUM(G14,G12,G10,G8,G6)/1000</f>
        <v>0</v>
      </c>
      <c r="H19" s="199">
        <f>Assumptions!$Q$13*SUM(H14,H12,H10,H8,H6)/1000</f>
        <v>0</v>
      </c>
      <c r="I19" s="199">
        <f>Assumptions!$Q$13*SUM(I14,I12,I10,I8,I6)/1000</f>
        <v>0</v>
      </c>
      <c r="J19" s="199">
        <f>Assumptions!$Q$13*SUM(J14,J12,J10,J8,J6)/1000</f>
        <v>0</v>
      </c>
      <c r="K19" s="199">
        <f>Assumptions!$Q$13*SUM(K14,K12,K10,K8,K6)/1000</f>
        <v>0</v>
      </c>
      <c r="L19" s="199">
        <f>Assumptions!$Q$13*SUM(L14,L12,L10,L8,L6)/1000</f>
        <v>0</v>
      </c>
      <c r="M19" s="199">
        <f>Assumptions!$Q$13*SUM(M14,M12,M10,M8,M6)/1000</f>
        <v>0</v>
      </c>
      <c r="N19" s="199">
        <f>Assumptions!$Q$13*SUM(N14,N12,N10,N8,N6)/1000</f>
        <v>0</v>
      </c>
      <c r="O19" s="199">
        <f>Assumptions!$Q$13*SUM(O14,O12,O10,O8,O6)/1000</f>
        <v>0</v>
      </c>
      <c r="P19" s="184"/>
    </row>
    <row r="20" spans="1:16" x14ac:dyDescent="0.2">
      <c r="A20" s="16" t="s">
        <v>182</v>
      </c>
      <c r="B20" s="187"/>
      <c r="C20" s="187"/>
      <c r="D20" s="187"/>
      <c r="E20" s="276">
        <v>0</v>
      </c>
      <c r="F20" s="276">
        <v>0</v>
      </c>
      <c r="G20" s="276">
        <v>0</v>
      </c>
      <c r="H20" s="276">
        <v>0</v>
      </c>
      <c r="I20" s="276">
        <v>0</v>
      </c>
      <c r="J20" s="276">
        <v>0</v>
      </c>
      <c r="K20" s="276">
        <v>0</v>
      </c>
      <c r="L20" s="276">
        <v>0</v>
      </c>
      <c r="M20" s="276">
        <v>0</v>
      </c>
      <c r="N20" s="276">
        <v>0</v>
      </c>
      <c r="O20" s="276">
        <v>0</v>
      </c>
      <c r="P20" s="184"/>
    </row>
    <row r="21" spans="1:16" x14ac:dyDescent="0.2">
      <c r="A21" s="200"/>
      <c r="B21" s="201" t="s">
        <v>156</v>
      </c>
      <c r="C21" s="187"/>
      <c r="D21" s="187"/>
      <c r="E21" s="202">
        <f>SUM(E18:E20)</f>
        <v>48.85492390000001</v>
      </c>
      <c r="F21" s="202">
        <f>SUM(F18:F20)</f>
        <v>0</v>
      </c>
      <c r="G21" s="202">
        <f>SUM(G18:G20)</f>
        <v>224.89568</v>
      </c>
      <c r="H21" s="202">
        <f>SUM(H18:H20)</f>
        <v>77.942789000000005</v>
      </c>
      <c r="I21" s="202">
        <f t="shared" ref="I21:O21" si="8">SUM(I18:I20)</f>
        <v>203.85250050000002</v>
      </c>
      <c r="J21" s="202">
        <f t="shared" si="8"/>
        <v>77.210400500000006</v>
      </c>
      <c r="K21" s="202">
        <f t="shared" si="8"/>
        <v>40.47466945</v>
      </c>
      <c r="L21" s="202">
        <f t="shared" si="8"/>
        <v>64.397403400000002</v>
      </c>
      <c r="M21" s="202">
        <f t="shared" si="8"/>
        <v>38.151870000000002</v>
      </c>
      <c r="N21" s="202">
        <f t="shared" si="8"/>
        <v>32.441857500000005</v>
      </c>
      <c r="O21" s="202">
        <f t="shared" si="8"/>
        <v>79.565562499999999</v>
      </c>
      <c r="P21" s="275">
        <f>SUM(E21:O21)</f>
        <v>887.78765675</v>
      </c>
    </row>
    <row r="22" spans="1:16" x14ac:dyDescent="0.2">
      <c r="A22" s="193"/>
      <c r="B22" s="187"/>
      <c r="C22" s="187"/>
      <c r="D22" s="187"/>
      <c r="E22" s="187"/>
      <c r="F22" s="187"/>
      <c r="G22" s="187"/>
      <c r="H22" s="187"/>
      <c r="I22" s="187"/>
      <c r="J22" s="187"/>
      <c r="K22" s="187"/>
      <c r="L22" s="187"/>
      <c r="M22" s="187"/>
      <c r="N22" s="187"/>
      <c r="O22" s="187"/>
      <c r="P22" s="184"/>
    </row>
    <row r="23" spans="1:16" x14ac:dyDescent="0.2">
      <c r="A23" s="203" t="s">
        <v>155</v>
      </c>
      <c r="B23" s="204"/>
      <c r="C23" s="204"/>
      <c r="D23" s="204"/>
      <c r="E23" s="205">
        <f>SUM(E21,E16)</f>
        <v>981.15436290000014</v>
      </c>
      <c r="F23" s="205">
        <f>SUM(F21,F16)</f>
        <v>0</v>
      </c>
      <c r="G23" s="205">
        <f>SUM(G21,G16)</f>
        <v>3725.8691800000001</v>
      </c>
      <c r="H23" s="205">
        <f>SUM(H21,H16)</f>
        <v>1355.6398540000002</v>
      </c>
      <c r="I23" s="205">
        <f t="shared" ref="I23:O23" si="9">SUM(I21,I16)</f>
        <v>3139.8413555000006</v>
      </c>
      <c r="J23" s="205">
        <f t="shared" si="9"/>
        <v>1334.5052055000001</v>
      </c>
      <c r="K23" s="205">
        <f t="shared" si="9"/>
        <v>762.54626395000003</v>
      </c>
      <c r="L23" s="205">
        <f t="shared" si="9"/>
        <v>1113.6176874</v>
      </c>
      <c r="M23" s="205">
        <f t="shared" si="9"/>
        <v>801.08802000000003</v>
      </c>
      <c r="N23" s="205">
        <f t="shared" si="9"/>
        <v>661.82980750000002</v>
      </c>
      <c r="O23" s="205">
        <f t="shared" si="9"/>
        <v>1365.3902874999999</v>
      </c>
      <c r="P23" s="206">
        <f>SUM(E23:O23)</f>
        <v>15241.482024249999</v>
      </c>
    </row>
    <row r="24" spans="1:16" x14ac:dyDescent="0.2">
      <c r="E24" s="1074"/>
      <c r="F24" s="1074"/>
      <c r="G24" s="1074"/>
      <c r="H24" s="1074"/>
      <c r="I24" s="1074"/>
      <c r="J24" s="1074"/>
      <c r="K24" s="1074"/>
      <c r="L24" s="1074"/>
      <c r="M24" s="1074"/>
      <c r="N24" s="1074"/>
      <c r="O24" s="1074"/>
    </row>
    <row r="25" spans="1:16" x14ac:dyDescent="0.2">
      <c r="E25" s="1074"/>
      <c r="F25" s="1074"/>
      <c r="G25" s="1074"/>
      <c r="H25" s="1074"/>
      <c r="I25" s="1074"/>
      <c r="J25" s="1074"/>
      <c r="K25" s="1074"/>
      <c r="L25" s="1074"/>
      <c r="M25" s="1074"/>
      <c r="N25" s="1074"/>
      <c r="O25" s="1074"/>
    </row>
    <row r="26" spans="1:16" ht="12.75" customHeight="1" x14ac:dyDescent="0.2">
      <c r="E26" s="1077"/>
      <c r="F26" s="1077"/>
      <c r="G26" s="1077"/>
      <c r="H26" s="1077"/>
      <c r="I26" s="1077"/>
      <c r="J26" s="1077"/>
      <c r="K26" s="1077"/>
      <c r="L26" s="1077"/>
      <c r="M26" s="1077"/>
      <c r="N26" s="1077"/>
      <c r="O26" s="1077"/>
    </row>
    <row r="27" spans="1:16" x14ac:dyDescent="0.2">
      <c r="E27" s="1078"/>
      <c r="F27" s="1078"/>
      <c r="G27" s="1078"/>
      <c r="H27" s="1078"/>
      <c r="I27" s="1078"/>
      <c r="J27" s="1078"/>
      <c r="K27" s="1078"/>
      <c r="L27" s="1078"/>
      <c r="M27" s="1078"/>
      <c r="N27" s="1078"/>
      <c r="O27" s="1078"/>
    </row>
    <row r="30" spans="1:16" ht="18" x14ac:dyDescent="0.25">
      <c r="A30" s="1079" t="s">
        <v>209</v>
      </c>
      <c r="B30" s="1080"/>
      <c r="C30" s="1080"/>
      <c r="D30" s="1080"/>
      <c r="E30" s="1080"/>
      <c r="F30" s="1080"/>
      <c r="G30" s="2"/>
      <c r="H30" s="7"/>
      <c r="I30" s="7"/>
      <c r="J30"/>
      <c r="K30"/>
      <c r="L30"/>
      <c r="M30"/>
    </row>
    <row r="31" spans="1:16" ht="24" x14ac:dyDescent="0.2">
      <c r="A31" s="269" t="s">
        <v>55</v>
      </c>
      <c r="B31" s="265" t="s">
        <v>34</v>
      </c>
      <c r="C31" s="266" t="s">
        <v>14</v>
      </c>
      <c r="D31" s="266" t="s">
        <v>15</v>
      </c>
      <c r="E31" s="266" t="s">
        <v>16</v>
      </c>
      <c r="F31" s="266" t="s">
        <v>50</v>
      </c>
      <c r="G31" s="266" t="s">
        <v>178</v>
      </c>
      <c r="H31" s="266" t="s">
        <v>165</v>
      </c>
      <c r="I31" s="266" t="s">
        <v>179</v>
      </c>
      <c r="J31" s="266" t="s">
        <v>163</v>
      </c>
      <c r="K31" s="266" t="s">
        <v>180</v>
      </c>
      <c r="L31" s="266" t="s">
        <v>162</v>
      </c>
      <c r="M31" s="266" t="s">
        <v>164</v>
      </c>
    </row>
    <row r="32" spans="1:16" x14ac:dyDescent="0.2">
      <c r="A32" s="272">
        <f>IF('ERR &amp; Sensitivity Analysis'!$I$10="N","Note: Current calculations are based on user input and are not the original MCC estimates.",IF('ERR &amp; Sensitivity Analysis'!$I$11="N","Note: Current calculations are based on user input and are not the original MCC estimates.",0))</f>
        <v>0</v>
      </c>
      <c r="B32" s="89"/>
      <c r="C32" s="89"/>
      <c r="D32" s="89"/>
      <c r="E32" s="89"/>
      <c r="F32" s="89"/>
      <c r="G32" s="89"/>
      <c r="H32" s="89"/>
      <c r="I32" s="89"/>
      <c r="J32" s="89"/>
      <c r="K32" s="89"/>
      <c r="L32" s="89"/>
      <c r="M32" s="89"/>
    </row>
    <row r="33" spans="1:13" x14ac:dyDescent="0.2">
      <c r="A33" s="267" t="s">
        <v>99</v>
      </c>
      <c r="B33" s="113"/>
      <c r="C33" s="113"/>
      <c r="D33" s="113"/>
      <c r="E33" s="113"/>
      <c r="F33" s="113"/>
      <c r="G33" s="113"/>
      <c r="H33" s="113"/>
      <c r="I33" s="113"/>
      <c r="J33" s="113"/>
      <c r="K33" s="113"/>
      <c r="L33" s="113"/>
      <c r="M33" s="113"/>
    </row>
    <row r="34" spans="1:13" x14ac:dyDescent="0.2">
      <c r="A34" s="389"/>
      <c r="B34" s="58">
        <f>SUM(B35:B35)</f>
        <v>351.69339289999999</v>
      </c>
      <c r="C34" s="58">
        <f t="shared" ref="C34:M34" si="10">SUM(C35:C36)</f>
        <v>48.85492390000001</v>
      </c>
      <c r="D34" s="58">
        <f t="shared" si="10"/>
        <v>0</v>
      </c>
      <c r="E34" s="58">
        <f t="shared" si="10"/>
        <v>224.89568</v>
      </c>
      <c r="F34" s="58">
        <f t="shared" si="10"/>
        <v>77.942789000000005</v>
      </c>
      <c r="G34" s="58">
        <f t="shared" si="10"/>
        <v>203.85250050000002</v>
      </c>
      <c r="H34" s="58">
        <f t="shared" si="10"/>
        <v>77.210400500000006</v>
      </c>
      <c r="I34" s="58">
        <f t="shared" si="10"/>
        <v>40.47466945</v>
      </c>
      <c r="J34" s="58">
        <f t="shared" si="10"/>
        <v>64.397403400000002</v>
      </c>
      <c r="K34" s="58">
        <f t="shared" si="10"/>
        <v>38.151870000000002</v>
      </c>
      <c r="L34" s="58">
        <f t="shared" si="10"/>
        <v>32.441857500000005</v>
      </c>
      <c r="M34" s="58">
        <f t="shared" si="10"/>
        <v>79.565562499999999</v>
      </c>
    </row>
    <row r="35" spans="1:13" x14ac:dyDescent="0.2">
      <c r="A35" s="270" t="s">
        <v>56</v>
      </c>
      <c r="B35" s="59">
        <f>SUM(C35:F35)</f>
        <v>351.69339289999999</v>
      </c>
      <c r="C35" s="59">
        <f>'Equipment Operational Costs'!E18</f>
        <v>48.85492390000001</v>
      </c>
      <c r="D35" s="59">
        <f>'Equipment Operational Costs'!F18</f>
        <v>0</v>
      </c>
      <c r="E35" s="59">
        <f>'Equipment Operational Costs'!G18</f>
        <v>224.89568</v>
      </c>
      <c r="F35" s="59">
        <f>'Equipment Operational Costs'!H18</f>
        <v>77.942789000000005</v>
      </c>
      <c r="G35" s="59">
        <f>'Equipment Operational Costs'!I18</f>
        <v>203.85250050000002</v>
      </c>
      <c r="H35" s="59">
        <f>'Equipment Operational Costs'!J18</f>
        <v>77.210400500000006</v>
      </c>
      <c r="I35" s="59">
        <f>'Equipment Operational Costs'!K18</f>
        <v>40.47466945</v>
      </c>
      <c r="J35" s="59">
        <f>'Equipment Operational Costs'!L18</f>
        <v>64.397403400000002</v>
      </c>
      <c r="K35" s="59">
        <f>'Equipment Operational Costs'!M18</f>
        <v>38.151870000000002</v>
      </c>
      <c r="L35" s="59">
        <f>'Equipment Operational Costs'!N18</f>
        <v>32.441857500000005</v>
      </c>
      <c r="M35" s="59">
        <f>'Equipment Operational Costs'!O18</f>
        <v>79.565562499999999</v>
      </c>
    </row>
    <row r="36" spans="1:13" x14ac:dyDescent="0.2">
      <c r="A36" s="270" t="s">
        <v>66</v>
      </c>
      <c r="B36" s="59">
        <f>SUM(C36:F36)</f>
        <v>0</v>
      </c>
      <c r="C36" s="59">
        <f>'Equipment Operational Costs'!E19</f>
        <v>0</v>
      </c>
      <c r="D36" s="59">
        <f>'Equipment Operational Costs'!F19</f>
        <v>0</v>
      </c>
      <c r="E36" s="59">
        <f>'Equipment Operational Costs'!G19</f>
        <v>0</v>
      </c>
      <c r="F36" s="59">
        <f>'Equipment Operational Costs'!H19</f>
        <v>0</v>
      </c>
      <c r="G36" s="59">
        <f>'Equipment Operational Costs'!I19</f>
        <v>0</v>
      </c>
      <c r="H36" s="59">
        <f>'Equipment Operational Costs'!J19</f>
        <v>0</v>
      </c>
      <c r="I36" s="59">
        <f>'Equipment Operational Costs'!K19</f>
        <v>0</v>
      </c>
      <c r="J36" s="59">
        <f>'Equipment Operational Costs'!L19</f>
        <v>0</v>
      </c>
      <c r="K36" s="59">
        <f>'Equipment Operational Costs'!M19</f>
        <v>0</v>
      </c>
      <c r="L36" s="59">
        <f>'Equipment Operational Costs'!N19</f>
        <v>0</v>
      </c>
      <c r="M36" s="59">
        <f>'Equipment Operational Costs'!O19</f>
        <v>0</v>
      </c>
    </row>
    <row r="37" spans="1:13" x14ac:dyDescent="0.2">
      <c r="A37" s="271" t="s">
        <v>5</v>
      </c>
      <c r="B37" s="58">
        <f>31000*0.058</f>
        <v>1798</v>
      </c>
      <c r="C37" s="58">
        <f>B37*('Investment Breakdown'!C15/'Investment Breakdown'!C26)</f>
        <v>118.28049252714607</v>
      </c>
      <c r="D37" s="58">
        <f>B37*('Investment Breakdown'!C16/'Investment Breakdown'!C26)</f>
        <v>0</v>
      </c>
      <c r="E37" s="58">
        <f>B37*('Investment Breakdown'!C17/'Investment Breakdown'!C26)</f>
        <v>277.73744400063191</v>
      </c>
      <c r="F37" s="58">
        <f>B37*('Investment Breakdown'!C18/'Investment Breakdown'!C26)</f>
        <v>172.83470472882371</v>
      </c>
      <c r="G37" s="58">
        <f>B37*('Investment Breakdown'!C19/'Investment Breakdown'!C26)</f>
        <v>457.30429489054802</v>
      </c>
      <c r="H37" s="58">
        <f>B37*('Investment Breakdown'!C20/'Investment Breakdown'!C26)</f>
        <v>178.4243446732921</v>
      </c>
      <c r="I37" s="58">
        <f>B37*('Investment Breakdown'!C21/'Investment Breakdown'!C26)</f>
        <v>100.63171935214024</v>
      </c>
      <c r="J37" s="58">
        <f>B37*('Investment Breakdown'!C22/'Investment Breakdown'!C26)</f>
        <v>147.20528172970023</v>
      </c>
      <c r="K37" s="58">
        <f>B37*('Investment Breakdown'!C23/'Investment Breakdown'!C26)</f>
        <v>89.862737996227025</v>
      </c>
      <c r="L37" s="58">
        <f>B37*('Investment Breakdown'!C24/'Investment Breakdown'!C26)</f>
        <v>73.518606948844905</v>
      </c>
      <c r="M37" s="58">
        <f>B37*('Investment Breakdown'!C25/'Investment Breakdown'!C26)</f>
        <v>182.20037315264545</v>
      </c>
    </row>
    <row r="38" spans="1:13" x14ac:dyDescent="0.2">
      <c r="A38" s="16"/>
      <c r="B38" s="58"/>
      <c r="C38" s="58"/>
      <c r="D38" s="58"/>
      <c r="E38" s="58"/>
      <c r="F38" s="58"/>
      <c r="G38" s="58"/>
      <c r="H38" s="58"/>
      <c r="I38" s="58"/>
      <c r="J38" s="58"/>
      <c r="K38" s="58"/>
      <c r="L38" s="58"/>
      <c r="M38" s="58"/>
    </row>
    <row r="39" spans="1:13" ht="15.75" x14ac:dyDescent="0.25">
      <c r="A39" s="268" t="s">
        <v>208</v>
      </c>
      <c r="B39" s="402">
        <f t="shared" ref="B39:M39" si="11">+B34+B37</f>
        <v>2149.6933929000002</v>
      </c>
      <c r="C39" s="402">
        <f t="shared" si="11"/>
        <v>167.13541642714608</v>
      </c>
      <c r="D39" s="402">
        <f t="shared" si="11"/>
        <v>0</v>
      </c>
      <c r="E39" s="402">
        <f t="shared" si="11"/>
        <v>502.63312400063194</v>
      </c>
      <c r="F39" s="402">
        <f t="shared" si="11"/>
        <v>250.77749372882371</v>
      </c>
      <c r="G39" s="402">
        <f t="shared" si="11"/>
        <v>661.15679539054804</v>
      </c>
      <c r="H39" s="402">
        <f t="shared" si="11"/>
        <v>255.63474517329212</v>
      </c>
      <c r="I39" s="402">
        <f t="shared" si="11"/>
        <v>141.10638880214023</v>
      </c>
      <c r="J39" s="402">
        <f t="shared" si="11"/>
        <v>211.60268512970023</v>
      </c>
      <c r="K39" s="402">
        <f t="shared" si="11"/>
        <v>128.01460799622703</v>
      </c>
      <c r="L39" s="402">
        <f t="shared" si="11"/>
        <v>105.9604644488449</v>
      </c>
      <c r="M39" s="402">
        <f t="shared" si="11"/>
        <v>261.76593565264545</v>
      </c>
    </row>
    <row r="40" spans="1:13" x14ac:dyDescent="0.2">
      <c r="A40"/>
      <c r="B40" s="7"/>
      <c r="C40"/>
      <c r="D40"/>
      <c r="E40"/>
      <c r="F40" s="7"/>
      <c r="G40" s="7"/>
      <c r="H40"/>
      <c r="I40"/>
      <c r="J40"/>
      <c r="K40"/>
      <c r="L40"/>
      <c r="M40"/>
    </row>
    <row r="41" spans="1:13" x14ac:dyDescent="0.2">
      <c r="A41" s="1070" t="s">
        <v>57</v>
      </c>
      <c r="B41" s="7"/>
      <c r="C41"/>
      <c r="D41"/>
      <c r="E41"/>
      <c r="F41" s="7"/>
      <c r="G41" s="7"/>
      <c r="H41"/>
      <c r="I41"/>
      <c r="J41"/>
      <c r="K41"/>
      <c r="L41"/>
      <c r="M41"/>
    </row>
    <row r="42" spans="1:13" x14ac:dyDescent="0.2">
      <c r="A42" s="1070"/>
      <c r="B42" s="7"/>
      <c r="C42"/>
      <c r="D42"/>
      <c r="E42"/>
      <c r="F42" s="7"/>
      <c r="G42" s="7"/>
      <c r="H42"/>
      <c r="I42"/>
      <c r="J42"/>
      <c r="K42"/>
      <c r="L42"/>
      <c r="M42"/>
    </row>
    <row r="43" spans="1:13" x14ac:dyDescent="0.2">
      <c r="A43"/>
      <c r="B43" s="7"/>
      <c r="C43"/>
      <c r="D43"/>
      <c r="E43"/>
      <c r="F43" s="7"/>
      <c r="G43" s="7"/>
      <c r="H43"/>
      <c r="I43"/>
      <c r="J43"/>
      <c r="K43"/>
      <c r="L43"/>
      <c r="M43"/>
    </row>
    <row r="44" spans="1:13" x14ac:dyDescent="0.2">
      <c r="A44" s="1070" t="s">
        <v>1245</v>
      </c>
      <c r="B44" s="7"/>
      <c r="C44"/>
      <c r="D44"/>
      <c r="E44"/>
      <c r="F44" s="7"/>
      <c r="G44" s="7"/>
      <c r="H44"/>
      <c r="I44"/>
      <c r="J44"/>
      <c r="K44"/>
      <c r="L44"/>
      <c r="M44"/>
    </row>
    <row r="45" spans="1:13" x14ac:dyDescent="0.2">
      <c r="A45" s="1070"/>
      <c r="B45" s="7"/>
      <c r="C45"/>
      <c r="D45"/>
      <c r="E45"/>
      <c r="F45" s="7"/>
      <c r="G45" s="7"/>
      <c r="H45"/>
      <c r="I45"/>
      <c r="J45"/>
      <c r="K45"/>
      <c r="L45"/>
      <c r="M45"/>
    </row>
    <row r="48" spans="1:13" ht="15.75" x14ac:dyDescent="0.25">
      <c r="A48" s="70" t="s">
        <v>1265</v>
      </c>
    </row>
    <row r="49" spans="1:15" ht="38.25" x14ac:dyDescent="0.2">
      <c r="A49" s="277" t="s">
        <v>166</v>
      </c>
      <c r="E49" s="278" t="s">
        <v>171</v>
      </c>
      <c r="F49" s="278" t="s">
        <v>1246</v>
      </c>
      <c r="G49" s="278" t="s">
        <v>173</v>
      </c>
      <c r="H49" s="278" t="s">
        <v>168</v>
      </c>
      <c r="I49" s="278" t="s">
        <v>167</v>
      </c>
      <c r="J49" s="278" t="s">
        <v>169</v>
      </c>
      <c r="K49" s="278" t="s">
        <v>170</v>
      </c>
      <c r="L49" s="278" t="s">
        <v>172</v>
      </c>
      <c r="M49" s="278" t="s">
        <v>174</v>
      </c>
      <c r="N49" s="278" t="s">
        <v>175</v>
      </c>
      <c r="O49" s="278" t="s">
        <v>176</v>
      </c>
    </row>
    <row r="50" spans="1:15" x14ac:dyDescent="0.2">
      <c r="A50" s="277" t="s">
        <v>1266</v>
      </c>
      <c r="E50" s="530">
        <v>6555.11078</v>
      </c>
      <c r="F50" s="530"/>
      <c r="G50" s="530">
        <v>18056.097000000002</v>
      </c>
      <c r="H50" s="530">
        <v>11969.121300000001</v>
      </c>
      <c r="I50" s="530">
        <v>34400.433100000002</v>
      </c>
      <c r="J50" s="530">
        <v>11973.0821</v>
      </c>
      <c r="K50" s="530">
        <v>5736.4658899999995</v>
      </c>
      <c r="L50" s="530">
        <v>9920.4556799999991</v>
      </c>
      <c r="M50" s="530">
        <v>4803.7089999999998</v>
      </c>
      <c r="N50" s="530">
        <v>4175.5469999999996</v>
      </c>
      <c r="O50" s="530">
        <v>12400.7165</v>
      </c>
    </row>
    <row r="51" spans="1:15" x14ac:dyDescent="0.2">
      <c r="A51" s="277" t="s">
        <v>1267</v>
      </c>
      <c r="E51" s="530">
        <v>386.30900000000003</v>
      </c>
      <c r="F51" s="530"/>
      <c r="G51" s="530">
        <v>390.12299999999999</v>
      </c>
      <c r="H51" s="530">
        <v>446.46300000000002</v>
      </c>
      <c r="I51" s="530">
        <v>580.46199999999999</v>
      </c>
      <c r="J51" s="530">
        <v>351.589</v>
      </c>
      <c r="K51" s="530">
        <v>364.45299999999997</v>
      </c>
      <c r="L51" s="530">
        <v>386.07499999999999</v>
      </c>
      <c r="M51" s="530">
        <v>425.82299999999998</v>
      </c>
      <c r="N51" s="530">
        <v>419.54300000000001</v>
      </c>
      <c r="O51" s="530">
        <v>366.90300000000002</v>
      </c>
    </row>
    <row r="52" spans="1:15" x14ac:dyDescent="0.2">
      <c r="A52" s="277" t="s">
        <v>1268</v>
      </c>
      <c r="E52" s="530">
        <v>2829.5650000000001</v>
      </c>
      <c r="F52" s="530"/>
      <c r="G52" s="530">
        <v>4043.348</v>
      </c>
      <c r="H52" s="530">
        <v>3172.9735000000001</v>
      </c>
      <c r="I52" s="530">
        <v>5789.6049999999996</v>
      </c>
      <c r="J52" s="530">
        <v>3117.4090000000001</v>
      </c>
      <c r="K52" s="530">
        <v>1994.0150000000001</v>
      </c>
      <c r="L52" s="530">
        <v>2572.9499999999998</v>
      </c>
      <c r="M52" s="530">
        <v>2400.8420000000001</v>
      </c>
      <c r="N52" s="530">
        <v>1893.2815000000001</v>
      </c>
      <c r="O52" s="530">
        <v>3145.4929999999999</v>
      </c>
    </row>
    <row r="53" spans="1:15" x14ac:dyDescent="0.2">
      <c r="A53" s="17" t="s">
        <v>1274</v>
      </c>
      <c r="E53" s="530">
        <v>1236.5591397849462</v>
      </c>
      <c r="F53" s="530"/>
      <c r="G53" s="530">
        <v>3357.5268817204301</v>
      </c>
      <c r="H53" s="530">
        <v>495.9677419354839</v>
      </c>
      <c r="I53" s="530">
        <v>1787.6344086021506</v>
      </c>
      <c r="J53" s="530">
        <v>1162.6344086021506</v>
      </c>
      <c r="K53" s="530">
        <v>1270.1612903225805</v>
      </c>
      <c r="L53" s="530">
        <v>819.89247311827955</v>
      </c>
      <c r="M53" s="530">
        <v>732.52688172043008</v>
      </c>
      <c r="N53" s="530">
        <v>353.49462365591398</v>
      </c>
      <c r="O53" s="530">
        <v>1043.010752688172</v>
      </c>
    </row>
    <row r="54" spans="1:15" x14ac:dyDescent="0.2">
      <c r="A54" s="277" t="s">
        <v>1275</v>
      </c>
      <c r="E54" s="530">
        <f>SUM(E50:E53)</f>
        <v>11007.543919784946</v>
      </c>
      <c r="F54" s="530">
        <f t="shared" ref="F54" si="12">SUM(F50:F52)</f>
        <v>0</v>
      </c>
      <c r="G54" s="530">
        <f t="shared" ref="G54:O54" si="13">SUM(G50:G53)</f>
        <v>25847.09488172043</v>
      </c>
      <c r="H54" s="530">
        <f t="shared" si="13"/>
        <v>16084.525541935483</v>
      </c>
      <c r="I54" s="530">
        <f t="shared" si="13"/>
        <v>42558.134508602154</v>
      </c>
      <c r="J54" s="530">
        <f t="shared" si="13"/>
        <v>16604.714508602148</v>
      </c>
      <c r="K54" s="530">
        <f t="shared" si="13"/>
        <v>9365.0951803225798</v>
      </c>
      <c r="L54" s="530">
        <f t="shared" si="13"/>
        <v>13699.37315311828</v>
      </c>
      <c r="M54" s="530">
        <f t="shared" si="13"/>
        <v>8362.9008817204303</v>
      </c>
      <c r="N54" s="530">
        <f t="shared" si="13"/>
        <v>6841.8661236559128</v>
      </c>
      <c r="O54" s="530">
        <f t="shared" si="13"/>
        <v>16956.123252688172</v>
      </c>
    </row>
    <row r="60" spans="1:15" x14ac:dyDescent="0.2">
      <c r="A60" s="143" t="s">
        <v>166</v>
      </c>
      <c r="B60" s="143" t="s">
        <v>1266</v>
      </c>
      <c r="C60" s="277" t="s">
        <v>1267</v>
      </c>
      <c r="D60" s="277" t="s">
        <v>1268</v>
      </c>
      <c r="E60" s="17" t="s">
        <v>1274</v>
      </c>
      <c r="F60" s="143" t="s">
        <v>1275</v>
      </c>
    </row>
    <row r="61" spans="1:15" x14ac:dyDescent="0.2">
      <c r="A61" s="143" t="s">
        <v>171</v>
      </c>
      <c r="B61" s="143">
        <v>6555.11078</v>
      </c>
      <c r="C61" s="143">
        <v>386.30900000000003</v>
      </c>
      <c r="D61" s="143">
        <v>2829.5650000000001</v>
      </c>
      <c r="E61" s="530">
        <f>+D76</f>
        <v>1236.5591397849462</v>
      </c>
      <c r="F61" s="482">
        <f>SUM(B61:E61)</f>
        <v>11007.543919784946</v>
      </c>
      <c r="G61" s="530"/>
    </row>
    <row r="62" spans="1:15" x14ac:dyDescent="0.2">
      <c r="A62" s="17" t="s">
        <v>1246</v>
      </c>
      <c r="E62" s="530"/>
      <c r="G62" s="530"/>
    </row>
    <row r="63" spans="1:15" x14ac:dyDescent="0.2">
      <c r="A63" s="143" t="s">
        <v>173</v>
      </c>
      <c r="B63" s="482">
        <v>18056.097000000002</v>
      </c>
      <c r="C63" s="482">
        <v>390.12299999999999</v>
      </c>
      <c r="D63" s="482">
        <v>4043.348</v>
      </c>
      <c r="E63" s="530">
        <f t="shared" ref="E63:E71" si="14">+D78</f>
        <v>3357.5268817204301</v>
      </c>
      <c r="F63" s="482">
        <f t="shared" ref="F63:F71" si="15">SUM(B63:E63)</f>
        <v>25847.09488172043</v>
      </c>
      <c r="G63" s="530"/>
    </row>
    <row r="64" spans="1:15" x14ac:dyDescent="0.2">
      <c r="A64" s="143" t="s">
        <v>168</v>
      </c>
      <c r="B64" s="482">
        <v>11969.121300000001</v>
      </c>
      <c r="C64" s="482">
        <v>446.46300000000002</v>
      </c>
      <c r="D64" s="482">
        <v>3172.9735000000001</v>
      </c>
      <c r="E64" s="530">
        <f t="shared" si="14"/>
        <v>495.9677419354839</v>
      </c>
      <c r="F64" s="482">
        <f t="shared" si="15"/>
        <v>16084.525541935483</v>
      </c>
      <c r="G64" s="530"/>
    </row>
    <row r="65" spans="1:7" x14ac:dyDescent="0.2">
      <c r="A65" s="143" t="s">
        <v>167</v>
      </c>
      <c r="B65" s="482">
        <v>34400.433100000002</v>
      </c>
      <c r="C65" s="482">
        <v>580.46199999999999</v>
      </c>
      <c r="D65" s="482">
        <v>5789.6049999999996</v>
      </c>
      <c r="E65" s="530">
        <f t="shared" si="14"/>
        <v>1787.6344086021506</v>
      </c>
      <c r="F65" s="482">
        <f t="shared" si="15"/>
        <v>42558.134508602154</v>
      </c>
      <c r="G65" s="530"/>
    </row>
    <row r="66" spans="1:7" x14ac:dyDescent="0.2">
      <c r="A66" s="143" t="s">
        <v>169</v>
      </c>
      <c r="B66" s="482">
        <v>11973.0821</v>
      </c>
      <c r="C66" s="482">
        <v>351.589</v>
      </c>
      <c r="D66" s="482">
        <v>3117.4090000000001</v>
      </c>
      <c r="E66" s="530">
        <f t="shared" si="14"/>
        <v>1162.6344086021506</v>
      </c>
      <c r="F66" s="482">
        <f t="shared" si="15"/>
        <v>16604.714508602148</v>
      </c>
      <c r="G66" s="530"/>
    </row>
    <row r="67" spans="1:7" x14ac:dyDescent="0.2">
      <c r="A67" s="143" t="s">
        <v>170</v>
      </c>
      <c r="B67" s="482">
        <v>5736.4658899999995</v>
      </c>
      <c r="C67" s="482">
        <v>364.45299999999997</v>
      </c>
      <c r="D67" s="482">
        <v>1994.0150000000001</v>
      </c>
      <c r="E67" s="530">
        <f t="shared" si="14"/>
        <v>1270.1612903225805</v>
      </c>
      <c r="F67" s="482">
        <f t="shared" si="15"/>
        <v>9365.0951803225798</v>
      </c>
      <c r="G67" s="530"/>
    </row>
    <row r="68" spans="1:7" x14ac:dyDescent="0.2">
      <c r="A68" s="143" t="s">
        <v>172</v>
      </c>
      <c r="B68" s="482">
        <v>9920.4556799999991</v>
      </c>
      <c r="C68" s="482">
        <v>386.07499999999999</v>
      </c>
      <c r="D68" s="482">
        <v>2572.9499999999998</v>
      </c>
      <c r="E68" s="530">
        <f t="shared" si="14"/>
        <v>819.89247311827955</v>
      </c>
      <c r="F68" s="482">
        <f t="shared" si="15"/>
        <v>13699.37315311828</v>
      </c>
      <c r="G68" s="530"/>
    </row>
    <row r="69" spans="1:7" x14ac:dyDescent="0.2">
      <c r="A69" s="143" t="s">
        <v>174</v>
      </c>
      <c r="B69" s="482">
        <v>4803.7089999999998</v>
      </c>
      <c r="C69" s="482">
        <v>425.82299999999998</v>
      </c>
      <c r="D69" s="482">
        <v>2400.8420000000001</v>
      </c>
      <c r="E69" s="530">
        <f t="shared" si="14"/>
        <v>732.52688172043008</v>
      </c>
      <c r="F69" s="482">
        <f t="shared" si="15"/>
        <v>8362.9008817204303</v>
      </c>
      <c r="G69" s="530"/>
    </row>
    <row r="70" spans="1:7" x14ac:dyDescent="0.2">
      <c r="A70" s="143" t="s">
        <v>175</v>
      </c>
      <c r="B70" s="482">
        <v>4175.5469999999996</v>
      </c>
      <c r="C70" s="482">
        <v>419.54300000000001</v>
      </c>
      <c r="D70" s="482">
        <v>1893.2815000000001</v>
      </c>
      <c r="E70" s="530">
        <f t="shared" si="14"/>
        <v>353.49462365591398</v>
      </c>
      <c r="F70" s="482">
        <f t="shared" si="15"/>
        <v>6841.8661236559128</v>
      </c>
      <c r="G70" s="530"/>
    </row>
    <row r="71" spans="1:7" x14ac:dyDescent="0.2">
      <c r="A71" s="143" t="s">
        <v>176</v>
      </c>
      <c r="B71" s="482">
        <v>12400.7165</v>
      </c>
      <c r="C71" s="482">
        <v>366.90300000000002</v>
      </c>
      <c r="D71" s="482">
        <v>3145.4929999999999</v>
      </c>
      <c r="E71" s="530">
        <f t="shared" si="14"/>
        <v>1043.010752688172</v>
      </c>
      <c r="F71" s="482">
        <f t="shared" si="15"/>
        <v>16956.123252688172</v>
      </c>
      <c r="G71" s="530"/>
    </row>
    <row r="72" spans="1:7" x14ac:dyDescent="0.2">
      <c r="A72" s="143" t="s">
        <v>177</v>
      </c>
      <c r="B72" s="482">
        <v>119990.73835</v>
      </c>
      <c r="C72" s="482">
        <v>4117.7429999999995</v>
      </c>
      <c r="D72" s="482">
        <v>30959.482</v>
      </c>
      <c r="E72" s="530">
        <f>SUM(E61:E71)</f>
        <v>12259.408602150539</v>
      </c>
      <c r="F72" s="482">
        <f>SUM(F61:F71)</f>
        <v>167327.37195215057</v>
      </c>
      <c r="G72" s="530"/>
    </row>
    <row r="73" spans="1:7" x14ac:dyDescent="0.2">
      <c r="B73" s="482"/>
      <c r="C73" s="482"/>
      <c r="D73" s="482"/>
      <c r="E73" s="482"/>
    </row>
    <row r="75" spans="1:7" x14ac:dyDescent="0.2">
      <c r="B75" s="17" t="s">
        <v>238</v>
      </c>
      <c r="C75" s="17" t="s">
        <v>239</v>
      </c>
      <c r="D75" s="17" t="s">
        <v>1312</v>
      </c>
    </row>
    <row r="76" spans="1:7" x14ac:dyDescent="0.2">
      <c r="A76" s="143" t="s">
        <v>171</v>
      </c>
      <c r="B76" s="143">
        <v>920</v>
      </c>
      <c r="C76" s="528">
        <f>+B76/$B$87</f>
        <v>4.2639970337411938E-2</v>
      </c>
      <c r="D76" s="530">
        <f>+$D$87*C76</f>
        <v>1236.5591397849462</v>
      </c>
    </row>
    <row r="77" spans="1:7" x14ac:dyDescent="0.2">
      <c r="A77" s="17" t="s">
        <v>1246</v>
      </c>
      <c r="B77" s="143">
        <v>1510</v>
      </c>
      <c r="C77" s="528">
        <f t="shared" ref="C77:C86" si="16">+B77/$B$87</f>
        <v>6.9985168705969603E-2</v>
      </c>
      <c r="D77" s="530">
        <f t="shared" ref="D77:D86" si="17">+$D$87*C77</f>
        <v>2029.5698924731184</v>
      </c>
    </row>
    <row r="78" spans="1:7" x14ac:dyDescent="0.2">
      <c r="A78" s="143" t="s">
        <v>173</v>
      </c>
      <c r="B78" s="143">
        <v>2498</v>
      </c>
      <c r="C78" s="528">
        <f t="shared" si="16"/>
        <v>0.11577678902484241</v>
      </c>
      <c r="D78" s="530">
        <f t="shared" si="17"/>
        <v>3357.5268817204301</v>
      </c>
    </row>
    <row r="79" spans="1:7" x14ac:dyDescent="0.2">
      <c r="A79" s="143" t="s">
        <v>168</v>
      </c>
      <c r="B79" s="17">
        <v>369</v>
      </c>
      <c r="C79" s="528">
        <f t="shared" si="16"/>
        <v>1.7102335928809789E-2</v>
      </c>
      <c r="D79" s="530">
        <f t="shared" si="17"/>
        <v>495.9677419354839</v>
      </c>
    </row>
    <row r="80" spans="1:7" x14ac:dyDescent="0.2">
      <c r="A80" s="143" t="s">
        <v>167</v>
      </c>
      <c r="B80" s="17">
        <v>1330</v>
      </c>
      <c r="C80" s="528">
        <f t="shared" si="16"/>
        <v>6.1642565813867262E-2</v>
      </c>
      <c r="D80" s="530">
        <f t="shared" si="17"/>
        <v>1787.6344086021506</v>
      </c>
    </row>
    <row r="81" spans="1:4" x14ac:dyDescent="0.2">
      <c r="A81" s="143" t="s">
        <v>169</v>
      </c>
      <c r="B81" s="17">
        <v>865</v>
      </c>
      <c r="C81" s="528">
        <f t="shared" si="16"/>
        <v>4.0090841675936226E-2</v>
      </c>
      <c r="D81" s="530">
        <f t="shared" si="17"/>
        <v>1162.6344086021506</v>
      </c>
    </row>
    <row r="82" spans="1:4" x14ac:dyDescent="0.2">
      <c r="A82" s="143" t="s">
        <v>170</v>
      </c>
      <c r="B82" s="143">
        <v>945</v>
      </c>
      <c r="C82" s="528">
        <f t="shared" si="16"/>
        <v>4.3798665183537262E-2</v>
      </c>
      <c r="D82" s="530">
        <f t="shared" si="17"/>
        <v>1270.1612903225805</v>
      </c>
    </row>
    <row r="83" spans="1:4" x14ac:dyDescent="0.2">
      <c r="A83" s="143" t="s">
        <v>172</v>
      </c>
      <c r="B83" s="143">
        <v>610</v>
      </c>
      <c r="C83" s="528">
        <f t="shared" si="16"/>
        <v>2.8272154245457915E-2</v>
      </c>
      <c r="D83" s="530">
        <f t="shared" si="17"/>
        <v>819.89247311827955</v>
      </c>
    </row>
    <row r="84" spans="1:4" x14ac:dyDescent="0.2">
      <c r="A84" s="143" t="s">
        <v>174</v>
      </c>
      <c r="B84" s="143">
        <v>545</v>
      </c>
      <c r="C84" s="528">
        <f t="shared" si="16"/>
        <v>2.5259547645532072E-2</v>
      </c>
      <c r="D84" s="530">
        <f t="shared" si="17"/>
        <v>732.52688172043008</v>
      </c>
    </row>
    <row r="85" spans="1:4" x14ac:dyDescent="0.2">
      <c r="A85" s="143" t="s">
        <v>175</v>
      </c>
      <c r="B85" s="143">
        <v>263</v>
      </c>
      <c r="C85" s="528">
        <f t="shared" si="16"/>
        <v>1.2189469781238414E-2</v>
      </c>
      <c r="D85" s="530">
        <f t="shared" si="17"/>
        <v>353.49462365591398</v>
      </c>
    </row>
    <row r="86" spans="1:4" x14ac:dyDescent="0.2">
      <c r="A86" s="143" t="s">
        <v>176</v>
      </c>
      <c r="B86" s="17">
        <v>776</v>
      </c>
      <c r="C86" s="528">
        <f t="shared" si="16"/>
        <v>3.5965888023730068E-2</v>
      </c>
      <c r="D86" s="530">
        <f t="shared" si="17"/>
        <v>1043.010752688172</v>
      </c>
    </row>
    <row r="87" spans="1:4" x14ac:dyDescent="0.2">
      <c r="A87" s="17" t="s">
        <v>1303</v>
      </c>
      <c r="B87" s="17">
        <v>21576</v>
      </c>
      <c r="C87" s="528">
        <f>+B87/$B$87</f>
        <v>1</v>
      </c>
      <c r="D87" s="143">
        <v>29000</v>
      </c>
    </row>
    <row r="88" spans="1:4" x14ac:dyDescent="0.2">
      <c r="C88" s="529"/>
    </row>
  </sheetData>
  <mergeCells count="8">
    <mergeCell ref="A41:A42"/>
    <mergeCell ref="A44:A45"/>
    <mergeCell ref="B1:P1"/>
    <mergeCell ref="E24:O25"/>
    <mergeCell ref="A2:O2"/>
    <mergeCell ref="E26:O26"/>
    <mergeCell ref="E27:O27"/>
    <mergeCell ref="A30:F30"/>
  </mergeCells>
  <phoneticPr fontId="4" type="noConversion"/>
  <conditionalFormatting sqref="A32 A2">
    <cfRule type="cellIs" dxfId="5" priority="3" stopIfTrue="1" operator="equal">
      <formula>0</formula>
    </cfRule>
    <cfRule type="cellIs" dxfId="4" priority="4" stopIfTrue="1" operator="notEqual">
      <formula>0</formula>
    </cfRule>
  </conditionalFormatting>
  <pageMargins left="0.78740157499999996" right="0.78740157499999996" top="0.984251969" bottom="0.984251969" header="0.5" footer="0.5"/>
  <pageSetup orientation="portrait" r:id="rId1"/>
  <headerFooter alignWithMargins="0"/>
  <ignoredErrors>
    <ignoredError sqref="F7 F18" emptyCellReference="1"/>
  </ignoredErrors>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P44"/>
  <sheetViews>
    <sheetView topLeftCell="A7" workbookViewId="0">
      <selection activeCell="H8" sqref="H8"/>
    </sheetView>
  </sheetViews>
  <sheetFormatPr defaultRowHeight="12.75" x14ac:dyDescent="0.2"/>
  <cols>
    <col min="1" max="1" width="22.5703125" customWidth="1"/>
    <col min="2" max="2" width="9.5703125" bestFit="1" customWidth="1"/>
    <col min="3" max="256" width="11.42578125" customWidth="1"/>
  </cols>
  <sheetData>
    <row r="1" spans="1:16" ht="18.75" thickBot="1" x14ac:dyDescent="0.3">
      <c r="A1" s="1038" t="s">
        <v>10</v>
      </c>
      <c r="B1" s="1039"/>
      <c r="C1" s="1039"/>
      <c r="D1" s="1039"/>
      <c r="E1" s="1039"/>
      <c r="F1" s="1039"/>
      <c r="G1" s="1039"/>
      <c r="H1" s="1039"/>
      <c r="I1" s="1039"/>
      <c r="J1" s="1039"/>
      <c r="K1" s="1039"/>
      <c r="L1" s="1039"/>
      <c r="M1" s="1039"/>
      <c r="N1" s="1039"/>
      <c r="O1" s="1039"/>
      <c r="P1" s="1040"/>
    </row>
    <row r="2" spans="1:16" ht="13.5" customHeight="1" thickTop="1" x14ac:dyDescent="0.2">
      <c r="A2" s="1042">
        <f>IF('ERR &amp; Sensitivity Analysis'!$I$10="N","Note: Current calculations are based on user input and are not the original MCC estimates.",IF('ERR &amp; Sensitivity Analysis'!$I$11="N","Note: Current calculations are based on user input and are not the original MCC estimates.",0))</f>
        <v>0</v>
      </c>
      <c r="B2" s="1042"/>
      <c r="C2" s="1042"/>
      <c r="D2" s="1042"/>
      <c r="E2" s="1042"/>
      <c r="F2" s="1042"/>
      <c r="G2" s="1042"/>
      <c r="H2" s="1042"/>
      <c r="I2" s="1042"/>
      <c r="J2" s="1042"/>
      <c r="K2" s="1042"/>
      <c r="L2" s="7"/>
      <c r="M2" s="7"/>
      <c r="N2" s="7"/>
      <c r="O2" s="7"/>
      <c r="P2" s="6"/>
    </row>
    <row r="3" spans="1:16" x14ac:dyDescent="0.2">
      <c r="A3" s="1081" t="s">
        <v>12</v>
      </c>
      <c r="B3" s="1082"/>
      <c r="C3" s="1082"/>
      <c r="D3" s="1082"/>
      <c r="E3" s="1082"/>
      <c r="F3" s="1082"/>
      <c r="G3" s="1082"/>
      <c r="H3" s="1082"/>
      <c r="I3" s="1082"/>
      <c r="J3" s="1082"/>
      <c r="K3" s="1082"/>
      <c r="L3" s="1082"/>
      <c r="M3" s="1082"/>
      <c r="N3" s="1082"/>
      <c r="O3" s="1082"/>
      <c r="P3" s="1083"/>
    </row>
    <row r="4" spans="1:16" x14ac:dyDescent="0.2">
      <c r="A4" s="2"/>
      <c r="B4" s="7"/>
      <c r="C4" s="7"/>
      <c r="D4" s="7"/>
      <c r="E4" s="7"/>
      <c r="F4" s="7"/>
      <c r="G4" s="7"/>
      <c r="H4" s="7"/>
      <c r="I4" s="7"/>
      <c r="J4" s="7"/>
      <c r="K4" s="7"/>
      <c r="L4" s="7"/>
      <c r="M4" s="7"/>
      <c r="N4" s="7"/>
      <c r="O4" s="7"/>
      <c r="P4" s="6"/>
    </row>
    <row r="5" spans="1:16" s="1" customFormat="1" ht="33" customHeight="1" thickBot="1" x14ac:dyDescent="0.25">
      <c r="A5" s="36" t="s">
        <v>11</v>
      </c>
      <c r="B5" s="3"/>
      <c r="C5" s="3"/>
      <c r="D5" s="3" t="s">
        <v>18</v>
      </c>
      <c r="E5" s="3" t="s">
        <v>19</v>
      </c>
      <c r="F5" s="3" t="s">
        <v>20</v>
      </c>
      <c r="G5" s="3" t="s">
        <v>21</v>
      </c>
      <c r="H5" s="3"/>
      <c r="I5" s="3" t="s">
        <v>22</v>
      </c>
      <c r="J5" s="3" t="s">
        <v>23</v>
      </c>
      <c r="K5" s="3" t="s">
        <v>24</v>
      </c>
      <c r="L5" s="3" t="s">
        <v>25</v>
      </c>
      <c r="M5" s="3" t="s">
        <v>26</v>
      </c>
      <c r="N5" s="3" t="s">
        <v>27</v>
      </c>
      <c r="O5" s="3" t="s">
        <v>28</v>
      </c>
      <c r="P5" s="64" t="s">
        <v>29</v>
      </c>
    </row>
    <row r="6" spans="1:16" ht="15" customHeight="1" x14ac:dyDescent="0.2">
      <c r="A6" s="2" t="s">
        <v>14</v>
      </c>
      <c r="B6" s="7"/>
      <c r="C6" s="7"/>
      <c r="D6" s="2">
        <v>50</v>
      </c>
      <c r="E6" s="7">
        <v>1</v>
      </c>
      <c r="F6" s="7">
        <v>1</v>
      </c>
      <c r="G6" s="7"/>
      <c r="H6" s="7"/>
      <c r="I6" s="7">
        <v>1</v>
      </c>
      <c r="J6" s="7">
        <v>1</v>
      </c>
      <c r="K6" s="7"/>
      <c r="L6" s="7"/>
      <c r="M6" s="7"/>
      <c r="N6" s="7"/>
      <c r="O6" s="7"/>
      <c r="P6" s="6"/>
    </row>
    <row r="7" spans="1:16" ht="15" customHeight="1" x14ac:dyDescent="0.2">
      <c r="A7" s="2" t="s">
        <v>15</v>
      </c>
      <c r="B7" s="7"/>
      <c r="C7" s="7"/>
      <c r="D7" s="2">
        <v>1000</v>
      </c>
      <c r="E7" s="7">
        <v>1</v>
      </c>
      <c r="F7" s="7">
        <v>2</v>
      </c>
      <c r="G7" s="7"/>
      <c r="H7" s="7"/>
      <c r="I7" s="7"/>
      <c r="J7" s="7"/>
      <c r="K7" s="7"/>
      <c r="L7" s="7"/>
      <c r="M7" s="7"/>
      <c r="N7" s="7"/>
      <c r="O7" s="7"/>
      <c r="P7" s="6"/>
    </row>
    <row r="8" spans="1:16" ht="15" customHeight="1" x14ac:dyDescent="0.2">
      <c r="A8" s="2" t="s">
        <v>16</v>
      </c>
      <c r="B8" s="7"/>
      <c r="C8" s="7"/>
      <c r="D8" s="2">
        <v>300</v>
      </c>
      <c r="E8" s="7">
        <v>1</v>
      </c>
      <c r="F8" s="7"/>
      <c r="G8" s="7"/>
      <c r="H8" s="7"/>
      <c r="I8" s="7"/>
      <c r="J8" s="7">
        <v>1</v>
      </c>
      <c r="K8" s="7"/>
      <c r="L8" s="7"/>
      <c r="M8" s="7"/>
      <c r="N8" s="7"/>
      <c r="O8" s="7">
        <v>1</v>
      </c>
      <c r="P8" s="6">
        <v>1</v>
      </c>
    </row>
    <row r="9" spans="1:16" ht="15" customHeight="1" x14ac:dyDescent="0.2">
      <c r="A9" s="2" t="s">
        <v>17</v>
      </c>
      <c r="B9" s="7"/>
      <c r="C9" s="7"/>
      <c r="D9" s="2">
        <v>160</v>
      </c>
      <c r="E9" s="7">
        <v>1</v>
      </c>
      <c r="F9" s="7">
        <v>1</v>
      </c>
      <c r="G9" s="7"/>
      <c r="H9" s="7">
        <v>1</v>
      </c>
      <c r="I9" s="7"/>
      <c r="J9" s="7"/>
      <c r="K9" s="7">
        <v>1</v>
      </c>
      <c r="L9" s="7">
        <v>4</v>
      </c>
      <c r="M9" s="7">
        <v>1</v>
      </c>
      <c r="N9" s="7">
        <v>1</v>
      </c>
      <c r="O9" s="7"/>
      <c r="P9" s="6"/>
    </row>
    <row r="10" spans="1:16" x14ac:dyDescent="0.2">
      <c r="A10" s="2" t="s">
        <v>30</v>
      </c>
      <c r="B10" s="7"/>
      <c r="C10" s="7"/>
      <c r="D10" s="2">
        <f t="shared" ref="D10:P10" si="0">SUM(D6:D9)</f>
        <v>1510</v>
      </c>
      <c r="E10" s="7">
        <f t="shared" si="0"/>
        <v>4</v>
      </c>
      <c r="F10" s="7">
        <f>SUM(F6:F9)</f>
        <v>4</v>
      </c>
      <c r="G10" s="7">
        <f t="shared" si="0"/>
        <v>0</v>
      </c>
      <c r="H10" s="7">
        <f t="shared" si="0"/>
        <v>1</v>
      </c>
      <c r="I10" s="7">
        <f t="shared" si="0"/>
        <v>1</v>
      </c>
      <c r="J10" s="7">
        <f>SUM(J6:J9)</f>
        <v>2</v>
      </c>
      <c r="K10" s="7">
        <f t="shared" si="0"/>
        <v>1</v>
      </c>
      <c r="L10" s="7">
        <f t="shared" si="0"/>
        <v>4</v>
      </c>
      <c r="M10" s="7">
        <f t="shared" si="0"/>
        <v>1</v>
      </c>
      <c r="N10" s="7">
        <f t="shared" si="0"/>
        <v>1</v>
      </c>
      <c r="O10" s="7">
        <f t="shared" si="0"/>
        <v>1</v>
      </c>
      <c r="P10" s="6">
        <f t="shared" si="0"/>
        <v>1</v>
      </c>
    </row>
    <row r="11" spans="1:16" s="7" customFormat="1" ht="13.5" thickBot="1" x14ac:dyDescent="0.25">
      <c r="A11" s="253"/>
      <c r="B11" s="5"/>
      <c r="C11" s="5"/>
      <c r="D11" s="5"/>
      <c r="E11" s="5"/>
      <c r="F11" s="5"/>
      <c r="G11" s="5"/>
      <c r="H11" s="5"/>
      <c r="I11" s="5"/>
      <c r="J11" s="5"/>
      <c r="K11" s="5"/>
      <c r="L11" s="5"/>
      <c r="M11" s="5"/>
      <c r="N11" s="5"/>
      <c r="O11" s="5"/>
      <c r="P11" s="254"/>
    </row>
    <row r="12" spans="1:16" ht="13.5" thickTop="1" x14ac:dyDescent="0.2">
      <c r="A12" s="1081" t="s">
        <v>58</v>
      </c>
      <c r="B12" s="1082"/>
      <c r="C12" s="1082"/>
      <c r="D12" s="1082"/>
      <c r="E12" s="1082"/>
      <c r="F12" s="1082"/>
      <c r="G12" s="1082"/>
      <c r="H12" s="1082"/>
      <c r="I12" s="1082"/>
      <c r="J12" s="1082"/>
      <c r="K12" s="1082"/>
      <c r="L12" s="1082"/>
      <c r="M12" s="1082"/>
      <c r="N12" s="1082"/>
      <c r="O12" s="1082"/>
      <c r="P12" s="1083"/>
    </row>
    <row r="13" spans="1:16" x14ac:dyDescent="0.2">
      <c r="A13" s="2"/>
      <c r="B13" s="7"/>
      <c r="C13" s="7"/>
      <c r="D13" s="7"/>
      <c r="E13" s="7"/>
      <c r="F13" s="7"/>
      <c r="G13" s="7"/>
      <c r="H13" s="7"/>
      <c r="I13" s="7"/>
      <c r="J13" s="7"/>
      <c r="K13" s="7"/>
      <c r="L13" s="7"/>
      <c r="M13" s="7"/>
      <c r="N13" s="7"/>
      <c r="O13" s="7"/>
      <c r="P13" s="6"/>
    </row>
    <row r="14" spans="1:16" ht="23.25" thickBot="1" x14ac:dyDescent="0.25">
      <c r="A14" s="36" t="s">
        <v>11</v>
      </c>
      <c r="B14" s="3"/>
      <c r="C14" s="3" t="s">
        <v>30</v>
      </c>
      <c r="D14" s="3" t="s">
        <v>18</v>
      </c>
      <c r="E14" s="3" t="s">
        <v>19</v>
      </c>
      <c r="F14" s="3" t="s">
        <v>20</v>
      </c>
      <c r="G14" s="3" t="s">
        <v>21</v>
      </c>
      <c r="H14" s="3"/>
      <c r="I14" s="3" t="s">
        <v>22</v>
      </c>
      <c r="J14" s="3" t="s">
        <v>23</v>
      </c>
      <c r="K14" s="3" t="s">
        <v>24</v>
      </c>
      <c r="L14" s="3" t="s">
        <v>25</v>
      </c>
      <c r="M14" s="3" t="s">
        <v>26</v>
      </c>
      <c r="N14" s="3" t="s">
        <v>27</v>
      </c>
      <c r="O14" s="3" t="s">
        <v>28</v>
      </c>
      <c r="P14" s="64" t="s">
        <v>29</v>
      </c>
    </row>
    <row r="15" spans="1:16" x14ac:dyDescent="0.2">
      <c r="A15" s="2" t="s">
        <v>14</v>
      </c>
      <c r="B15" s="7"/>
      <c r="C15" s="38">
        <f>'ERR &amp; Sensitivity Analysis'!G$10*'Equipment Operational Costs'!F61</f>
        <v>11007.543919784946</v>
      </c>
      <c r="D15" s="2"/>
      <c r="E15" s="7"/>
      <c r="F15" s="7"/>
      <c r="G15" s="7"/>
      <c r="H15" s="7"/>
      <c r="I15" s="7"/>
      <c r="J15" s="7"/>
      <c r="K15" s="7"/>
      <c r="L15" s="7"/>
      <c r="M15" s="7"/>
      <c r="N15" s="7"/>
      <c r="O15" s="7"/>
      <c r="P15" s="6"/>
    </row>
    <row r="16" spans="1:16" x14ac:dyDescent="0.2">
      <c r="A16" s="2" t="s">
        <v>15</v>
      </c>
      <c r="B16" s="7"/>
      <c r="C16" s="38">
        <f>'ERR &amp; Sensitivity Analysis'!G$10*'Equipment Operational Costs'!F62</f>
        <v>0</v>
      </c>
      <c r="D16" s="2"/>
      <c r="E16" s="7"/>
      <c r="F16" s="7"/>
      <c r="G16" s="7"/>
      <c r="H16" s="7"/>
      <c r="I16" s="7"/>
      <c r="J16" s="7"/>
      <c r="K16" s="7"/>
      <c r="L16" s="7"/>
      <c r="M16" s="7"/>
      <c r="N16" s="7"/>
      <c r="O16" s="7"/>
      <c r="P16" s="6"/>
    </row>
    <row r="17" spans="1:16" x14ac:dyDescent="0.2">
      <c r="A17" s="2" t="s">
        <v>16</v>
      </c>
      <c r="B17" s="7"/>
      <c r="C17" s="38">
        <f>'ERR &amp; Sensitivity Analysis'!G$10*'Equipment Operational Costs'!F63</f>
        <v>25847.09488172043</v>
      </c>
      <c r="D17" s="2"/>
      <c r="E17" s="7"/>
      <c r="F17" s="7"/>
      <c r="G17" s="7"/>
      <c r="H17" s="7"/>
      <c r="I17" s="7"/>
      <c r="J17" s="7"/>
      <c r="K17" s="7"/>
      <c r="L17" s="7"/>
      <c r="M17" s="7"/>
      <c r="N17" s="7"/>
      <c r="O17" s="7"/>
      <c r="P17" s="6"/>
    </row>
    <row r="18" spans="1:16" x14ac:dyDescent="0.2">
      <c r="A18" s="2" t="s">
        <v>17</v>
      </c>
      <c r="B18" s="7"/>
      <c r="C18" s="38">
        <f>'ERR &amp; Sensitivity Analysis'!G$10*'Equipment Operational Costs'!F64</f>
        <v>16084.525541935483</v>
      </c>
      <c r="D18" s="2"/>
      <c r="E18" s="7"/>
      <c r="F18" s="7"/>
      <c r="G18" s="7"/>
      <c r="H18" s="7"/>
      <c r="I18" s="7"/>
      <c r="J18" s="7"/>
      <c r="K18" s="7"/>
      <c r="L18" s="7"/>
      <c r="M18" s="7"/>
      <c r="N18" s="7"/>
      <c r="O18" s="7"/>
      <c r="P18" s="6"/>
    </row>
    <row r="19" spans="1:16" x14ac:dyDescent="0.2">
      <c r="A19" s="143" t="s">
        <v>167</v>
      </c>
      <c r="B19" s="7"/>
      <c r="C19" s="38">
        <f>'ERR &amp; Sensitivity Analysis'!G$10*'Equipment Operational Costs'!F65</f>
        <v>42558.134508602154</v>
      </c>
      <c r="D19" s="2"/>
      <c r="E19" s="7"/>
      <c r="F19" s="7"/>
      <c r="G19" s="7"/>
      <c r="H19" s="7"/>
      <c r="I19" s="7"/>
      <c r="J19" s="7"/>
      <c r="K19" s="7"/>
      <c r="L19" s="7"/>
      <c r="M19" s="7"/>
      <c r="N19" s="7"/>
      <c r="O19" s="7"/>
      <c r="P19" s="6"/>
    </row>
    <row r="20" spans="1:16" x14ac:dyDescent="0.2">
      <c r="A20" s="143" t="s">
        <v>169</v>
      </c>
      <c r="B20" s="7"/>
      <c r="C20" s="38">
        <f>'ERR &amp; Sensitivity Analysis'!G$10*'Equipment Operational Costs'!F66</f>
        <v>16604.714508602148</v>
      </c>
      <c r="D20" s="2"/>
      <c r="E20" s="7"/>
      <c r="F20" s="7"/>
      <c r="G20" s="7"/>
      <c r="H20" s="7"/>
      <c r="I20" s="7"/>
      <c r="J20" s="7"/>
      <c r="K20" s="7"/>
      <c r="L20" s="7"/>
      <c r="M20" s="7"/>
      <c r="N20" s="7"/>
      <c r="O20" s="7"/>
      <c r="P20" s="6"/>
    </row>
    <row r="21" spans="1:16" x14ac:dyDescent="0.2">
      <c r="A21" s="143" t="s">
        <v>170</v>
      </c>
      <c r="B21" s="7"/>
      <c r="C21" s="38">
        <f>'ERR &amp; Sensitivity Analysis'!G$10*'Equipment Operational Costs'!F67</f>
        <v>9365.0951803225798</v>
      </c>
      <c r="D21" s="2"/>
      <c r="E21" s="7"/>
      <c r="F21" s="7"/>
      <c r="G21" s="7"/>
      <c r="H21" s="7"/>
      <c r="I21" s="7"/>
      <c r="J21" s="7"/>
      <c r="K21" s="7"/>
      <c r="L21" s="7"/>
      <c r="M21" s="7"/>
      <c r="N21" s="7"/>
      <c r="O21" s="7"/>
      <c r="P21" s="6"/>
    </row>
    <row r="22" spans="1:16" x14ac:dyDescent="0.2">
      <c r="A22" s="143" t="s">
        <v>172</v>
      </c>
      <c r="B22" s="7"/>
      <c r="C22" s="38">
        <f>'ERR &amp; Sensitivity Analysis'!G$10*'Equipment Operational Costs'!F68</f>
        <v>13699.37315311828</v>
      </c>
      <c r="D22" s="2"/>
      <c r="E22" s="7"/>
      <c r="F22" s="7"/>
      <c r="G22" s="7"/>
      <c r="H22" s="7"/>
      <c r="I22" s="7"/>
      <c r="J22" s="7"/>
      <c r="K22" s="7"/>
      <c r="L22" s="7"/>
      <c r="M22" s="7"/>
      <c r="N22" s="7"/>
      <c r="O22" s="7"/>
      <c r="P22" s="6"/>
    </row>
    <row r="23" spans="1:16" x14ac:dyDescent="0.2">
      <c r="A23" s="143" t="s">
        <v>174</v>
      </c>
      <c r="B23" s="7"/>
      <c r="C23" s="38">
        <f>'ERR &amp; Sensitivity Analysis'!G$10*'Equipment Operational Costs'!F69</f>
        <v>8362.9008817204303</v>
      </c>
      <c r="D23" s="2"/>
      <c r="E23" s="7"/>
      <c r="F23" s="7"/>
      <c r="G23" s="7"/>
      <c r="H23" s="7"/>
      <c r="I23" s="7"/>
      <c r="J23" s="7"/>
      <c r="K23" s="7"/>
      <c r="L23" s="7"/>
      <c r="M23" s="7"/>
      <c r="N23" s="7"/>
      <c r="O23" s="7"/>
      <c r="P23" s="6"/>
    </row>
    <row r="24" spans="1:16" x14ac:dyDescent="0.2">
      <c r="A24" s="143" t="s">
        <v>175</v>
      </c>
      <c r="B24" s="7"/>
      <c r="C24" s="38">
        <f>'ERR &amp; Sensitivity Analysis'!G$10*'Equipment Operational Costs'!F70</f>
        <v>6841.8661236559128</v>
      </c>
      <c r="D24" s="2"/>
      <c r="E24" s="7"/>
      <c r="F24" s="7"/>
      <c r="G24" s="7"/>
      <c r="H24" s="7"/>
      <c r="I24" s="7"/>
      <c r="J24" s="7"/>
      <c r="K24" s="7"/>
      <c r="L24" s="7"/>
      <c r="M24" s="7"/>
      <c r="N24" s="7"/>
      <c r="O24" s="7"/>
      <c r="P24" s="6"/>
    </row>
    <row r="25" spans="1:16" x14ac:dyDescent="0.2">
      <c r="A25" s="143" t="s">
        <v>176</v>
      </c>
      <c r="B25" s="7"/>
      <c r="C25" s="38">
        <f>'ERR &amp; Sensitivity Analysis'!G$10*'Equipment Operational Costs'!F71</f>
        <v>16956.123252688172</v>
      </c>
      <c r="D25" s="2"/>
      <c r="E25" s="7"/>
      <c r="F25" s="7"/>
      <c r="G25" s="7"/>
      <c r="H25" s="7"/>
      <c r="I25" s="7"/>
      <c r="J25" s="7"/>
      <c r="K25" s="7"/>
      <c r="L25" s="7"/>
      <c r="M25" s="7"/>
      <c r="N25" s="7"/>
      <c r="O25" s="7"/>
      <c r="P25" s="6"/>
    </row>
    <row r="26" spans="1:16" x14ac:dyDescent="0.2">
      <c r="A26" s="39" t="s">
        <v>30</v>
      </c>
      <c r="B26" s="8"/>
      <c r="C26" s="26">
        <f>SUM(C15:C25)</f>
        <v>167327.37195215057</v>
      </c>
      <c r="D26" s="39"/>
      <c r="E26" s="8"/>
      <c r="F26" s="8"/>
      <c r="G26" s="8"/>
      <c r="H26" s="8"/>
      <c r="I26" s="8"/>
      <c r="J26" s="8"/>
      <c r="K26" s="8"/>
      <c r="L26" s="8"/>
      <c r="M26" s="8"/>
      <c r="N26" s="8"/>
      <c r="O26" s="8"/>
      <c r="P26" s="25"/>
    </row>
    <row r="28" spans="1:16" x14ac:dyDescent="0.2">
      <c r="D28" s="14" t="s">
        <v>59</v>
      </c>
    </row>
    <row r="32" spans="1:16" x14ac:dyDescent="0.2">
      <c r="A32" s="143" t="s">
        <v>166</v>
      </c>
      <c r="B32" t="str">
        <f>+'Equipment Operational Costs'!F60</f>
        <v>Total expenses</v>
      </c>
    </row>
    <row r="33" spans="1:2" x14ac:dyDescent="0.2">
      <c r="A33" s="143" t="s">
        <v>171</v>
      </c>
      <c r="B33" s="279">
        <f>+'Equipment Operational Costs'!F61</f>
        <v>11007.543919784946</v>
      </c>
    </row>
    <row r="34" spans="1:2" x14ac:dyDescent="0.2">
      <c r="A34" s="17" t="s">
        <v>1246</v>
      </c>
      <c r="B34" s="279">
        <f>+'Equipment Operational Costs'!F62</f>
        <v>0</v>
      </c>
    </row>
    <row r="35" spans="1:2" x14ac:dyDescent="0.2">
      <c r="A35" s="143" t="s">
        <v>173</v>
      </c>
      <c r="B35" s="279">
        <f>+'Equipment Operational Costs'!F63</f>
        <v>25847.09488172043</v>
      </c>
    </row>
    <row r="36" spans="1:2" x14ac:dyDescent="0.2">
      <c r="A36" s="143" t="s">
        <v>168</v>
      </c>
      <c r="B36" s="279">
        <f>+'Equipment Operational Costs'!F64</f>
        <v>16084.525541935483</v>
      </c>
    </row>
    <row r="37" spans="1:2" x14ac:dyDescent="0.2">
      <c r="A37" s="143" t="s">
        <v>167</v>
      </c>
      <c r="B37" s="279">
        <f>+'Equipment Operational Costs'!F65</f>
        <v>42558.134508602154</v>
      </c>
    </row>
    <row r="38" spans="1:2" x14ac:dyDescent="0.2">
      <c r="A38" s="143" t="s">
        <v>169</v>
      </c>
      <c r="B38" s="279">
        <f>+'Equipment Operational Costs'!F66</f>
        <v>16604.714508602148</v>
      </c>
    </row>
    <row r="39" spans="1:2" x14ac:dyDescent="0.2">
      <c r="A39" s="143" t="s">
        <v>170</v>
      </c>
      <c r="B39" s="279">
        <f>+'Equipment Operational Costs'!F67</f>
        <v>9365.0951803225798</v>
      </c>
    </row>
    <row r="40" spans="1:2" x14ac:dyDescent="0.2">
      <c r="A40" s="143" t="s">
        <v>172</v>
      </c>
      <c r="B40" s="279">
        <f>+'Equipment Operational Costs'!F68</f>
        <v>13699.37315311828</v>
      </c>
    </row>
    <row r="41" spans="1:2" x14ac:dyDescent="0.2">
      <c r="A41" s="143" t="s">
        <v>174</v>
      </c>
      <c r="B41" s="279">
        <f>+'Equipment Operational Costs'!F69</f>
        <v>8362.9008817204303</v>
      </c>
    </row>
    <row r="42" spans="1:2" x14ac:dyDescent="0.2">
      <c r="A42" s="143" t="s">
        <v>175</v>
      </c>
      <c r="B42" s="279">
        <f>+'Equipment Operational Costs'!F70</f>
        <v>6841.8661236559128</v>
      </c>
    </row>
    <row r="43" spans="1:2" x14ac:dyDescent="0.2">
      <c r="A43" s="143" t="s">
        <v>176</v>
      </c>
      <c r="B43" s="279">
        <f>+'Equipment Operational Costs'!F71</f>
        <v>16956.123252688172</v>
      </c>
    </row>
    <row r="44" spans="1:2" x14ac:dyDescent="0.2">
      <c r="A44" s="143" t="s">
        <v>177</v>
      </c>
      <c r="B44" s="279">
        <f>SUM(B33:B43)</f>
        <v>167327.37195215057</v>
      </c>
    </row>
  </sheetData>
  <mergeCells count="4">
    <mergeCell ref="A1:P1"/>
    <mergeCell ref="A3:P3"/>
    <mergeCell ref="A12:P12"/>
    <mergeCell ref="A2:K2"/>
  </mergeCells>
  <phoneticPr fontId="4" type="noConversion"/>
  <conditionalFormatting sqref="A2">
    <cfRule type="cellIs" dxfId="3" priority="1" stopIfTrue="1" operator="equal">
      <formula>0</formula>
    </cfRule>
    <cfRule type="cellIs" dxfId="2" priority="2" stopIfTrue="1" operator="notEqual">
      <formula>0</formula>
    </cfRule>
  </conditionalFormatting>
  <pageMargins left="0.78740157499999996" right="0.78740157499999996" top="0.984251969" bottom="0.984251969" header="0.5" footer="0.5"/>
  <pageSetup orientation="portrait" r:id="rId1"/>
  <headerFooter alignWithMargins="0"/>
  <ignoredErrors>
    <ignoredError sqref="F10:P10" emptyCellReference="1"/>
  </ignoredError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T141"/>
  <sheetViews>
    <sheetView workbookViewId="0">
      <selection activeCell="D41" sqref="D41"/>
    </sheetView>
  </sheetViews>
  <sheetFormatPr defaultRowHeight="12.75" x14ac:dyDescent="0.2"/>
  <cols>
    <col min="1" max="1" width="4.42578125" customWidth="1"/>
    <col min="2" max="2" width="16" customWidth="1"/>
    <col min="3" max="3" width="15.5703125" customWidth="1"/>
    <col min="4" max="4" width="16.85546875" customWidth="1"/>
    <col min="5" max="5" width="15.5703125" customWidth="1"/>
    <col min="6" max="6" width="12.42578125" bestFit="1" customWidth="1"/>
    <col min="7" max="7" width="13.28515625" bestFit="1" customWidth="1"/>
    <col min="8" max="8" width="16.28515625" customWidth="1"/>
    <col min="9" max="10" width="10.28515625" customWidth="1"/>
    <col min="11" max="14" width="7.7109375" customWidth="1"/>
    <col min="15" max="15" width="10.7109375" customWidth="1"/>
    <col min="16" max="256" width="11.42578125" customWidth="1"/>
  </cols>
  <sheetData>
    <row r="1" spans="1:20" ht="18.75" thickBot="1" x14ac:dyDescent="0.3">
      <c r="A1" s="1094" t="s">
        <v>31</v>
      </c>
      <c r="B1" s="1095"/>
      <c r="C1" s="1095"/>
      <c r="D1" s="1095"/>
      <c r="E1" s="1096"/>
      <c r="F1" s="1096"/>
      <c r="G1" s="1096"/>
      <c r="H1" s="1096"/>
      <c r="I1" s="1096"/>
      <c r="J1" s="1096"/>
      <c r="K1" s="1096"/>
      <c r="L1" s="1096"/>
      <c r="M1" s="1096"/>
      <c r="N1" s="1096"/>
      <c r="O1" s="1097"/>
    </row>
    <row r="2" spans="1:20" ht="12.75" customHeight="1" thickTop="1" x14ac:dyDescent="0.2">
      <c r="A2" s="384">
        <f>IF('ERR &amp; Sensitivity Analysis'!$I$10="N","Note: Current calculations are based on user input and are not the original MCC estimates.",IF('ERR &amp; Sensitivity Analysis'!$I$11="N","Note: Current calculations are based on user input and are not the original MCC estimates.",0))</f>
        <v>0</v>
      </c>
      <c r="B2" s="384"/>
      <c r="C2" s="384"/>
      <c r="D2" s="384"/>
      <c r="E2" s="384"/>
      <c r="F2" s="384"/>
      <c r="G2" s="384"/>
      <c r="H2" s="384"/>
      <c r="I2" s="384"/>
      <c r="J2" s="7"/>
      <c r="K2" s="378"/>
      <c r="L2" s="381"/>
      <c r="M2" s="378"/>
      <c r="N2" s="378"/>
      <c r="O2" s="378"/>
      <c r="P2" s="7"/>
    </row>
    <row r="3" spans="1:20" ht="12.75" customHeight="1" x14ac:dyDescent="0.2">
      <c r="A3" s="32"/>
      <c r="B3" s="7"/>
      <c r="C3" s="7"/>
      <c r="D3" s="7"/>
      <c r="E3" s="103"/>
      <c r="F3" s="378"/>
      <c r="G3" s="103"/>
      <c r="H3" s="103"/>
      <c r="I3" s="103"/>
      <c r="J3" s="103"/>
      <c r="K3" s="378"/>
      <c r="L3" s="381"/>
      <c r="M3" s="378"/>
      <c r="N3" s="378"/>
      <c r="O3" s="378"/>
      <c r="P3" s="7"/>
    </row>
    <row r="4" spans="1:20" s="4" customFormat="1" ht="52.5" customHeight="1" thickBot="1" x14ac:dyDescent="0.25">
      <c r="A4" s="36" t="s">
        <v>11</v>
      </c>
      <c r="B4" s="54" t="s">
        <v>13</v>
      </c>
      <c r="C4" s="3" t="s">
        <v>63</v>
      </c>
      <c r="D4" s="3" t="s">
        <v>65</v>
      </c>
      <c r="E4" s="378"/>
      <c r="F4" s="378"/>
      <c r="G4" s="378"/>
      <c r="H4" s="378"/>
      <c r="I4" s="378"/>
      <c r="J4" s="378"/>
      <c r="K4" s="378"/>
      <c r="L4" s="381"/>
      <c r="M4" s="378"/>
      <c r="N4" s="378"/>
      <c r="O4" s="378"/>
      <c r="P4" s="7"/>
      <c r="Q4"/>
      <c r="R4"/>
      <c r="S4"/>
      <c r="T4"/>
    </row>
    <row r="5" spans="1:20" ht="13.5" thickBot="1" x14ac:dyDescent="0.25">
      <c r="A5" s="2" t="s">
        <v>14</v>
      </c>
      <c r="B5" s="6"/>
      <c r="C5" s="37">
        <v>135</v>
      </c>
      <c r="D5" s="37">
        <f>C5*(1+Assumptions!$Q$11)</f>
        <v>135</v>
      </c>
      <c r="E5" s="379"/>
      <c r="F5" s="380"/>
      <c r="G5" s="349" t="s">
        <v>161</v>
      </c>
      <c r="H5" s="331">
        <v>56</v>
      </c>
      <c r="I5" s="380"/>
      <c r="J5" s="380"/>
      <c r="K5" s="380"/>
      <c r="L5" s="380"/>
      <c r="M5" s="382"/>
      <c r="N5" s="383"/>
      <c r="O5" s="383"/>
      <c r="P5" s="7"/>
    </row>
    <row r="6" spans="1:20" ht="13.5" thickBot="1" x14ac:dyDescent="0.25">
      <c r="A6" s="2" t="s">
        <v>15</v>
      </c>
      <c r="B6" s="6"/>
      <c r="C6" s="37">
        <v>500</v>
      </c>
      <c r="D6" s="37">
        <f>C6*(1+Assumptions!$Q$11)</f>
        <v>500</v>
      </c>
      <c r="E6" s="379"/>
      <c r="F6" s="380"/>
      <c r="G6" s="349" t="s">
        <v>185</v>
      </c>
      <c r="H6" s="331">
        <v>124</v>
      </c>
      <c r="I6" s="380"/>
      <c r="J6" s="380"/>
      <c r="K6" s="380"/>
      <c r="L6" s="380"/>
      <c r="M6" s="382"/>
      <c r="N6" s="383"/>
      <c r="O6" s="383"/>
      <c r="P6" s="7"/>
    </row>
    <row r="7" spans="1:20" ht="13.5" thickBot="1" x14ac:dyDescent="0.25">
      <c r="A7" s="2" t="s">
        <v>16</v>
      </c>
      <c r="B7" s="6"/>
      <c r="C7" s="37">
        <v>459</v>
      </c>
      <c r="D7" s="37">
        <f>C7*(1+Assumptions!$Q$11)</f>
        <v>459</v>
      </c>
      <c r="E7" s="379"/>
      <c r="F7" s="380"/>
      <c r="G7" s="349" t="s">
        <v>162</v>
      </c>
      <c r="H7" s="331">
        <v>59</v>
      </c>
      <c r="I7" s="380"/>
      <c r="J7" s="380"/>
      <c r="K7" s="380"/>
      <c r="L7" s="380"/>
      <c r="M7" s="382"/>
      <c r="N7" s="383"/>
      <c r="O7" s="383"/>
      <c r="P7" s="7"/>
    </row>
    <row r="8" spans="1:20" ht="13.5" thickBot="1" x14ac:dyDescent="0.25">
      <c r="A8" s="2" t="s">
        <v>17</v>
      </c>
      <c r="B8" s="2"/>
      <c r="C8" s="483">
        <v>236</v>
      </c>
      <c r="D8" s="37">
        <f>C8*(1+Assumptions!$Q$11)</f>
        <v>236</v>
      </c>
      <c r="E8" s="379"/>
      <c r="F8" s="380"/>
      <c r="G8" s="349" t="s">
        <v>163</v>
      </c>
      <c r="H8" s="331">
        <v>109</v>
      </c>
      <c r="I8" s="380"/>
      <c r="J8" s="380"/>
      <c r="K8" s="380"/>
      <c r="L8" s="380"/>
      <c r="M8" s="382"/>
      <c r="N8" s="383"/>
      <c r="O8" s="383"/>
      <c r="P8" s="7"/>
    </row>
    <row r="9" spans="1:20" ht="13.5" thickBot="1" x14ac:dyDescent="0.25">
      <c r="A9" s="2" t="s">
        <v>178</v>
      </c>
      <c r="B9" s="2"/>
      <c r="C9" s="467">
        <v>314</v>
      </c>
      <c r="D9" s="37">
        <f>C9*(1+Assumptions!$Q$11)</f>
        <v>314</v>
      </c>
      <c r="E9" s="379"/>
      <c r="F9" s="380"/>
      <c r="G9" s="349" t="s">
        <v>164</v>
      </c>
      <c r="H9" s="331">
        <v>126</v>
      </c>
      <c r="I9" s="380"/>
      <c r="J9" s="380"/>
      <c r="K9" s="380"/>
      <c r="L9" s="380"/>
      <c r="M9" s="382"/>
      <c r="N9" s="383"/>
      <c r="O9" s="383"/>
      <c r="P9" s="7"/>
    </row>
    <row r="10" spans="1:20" ht="13.5" thickBot="1" x14ac:dyDescent="0.25">
      <c r="A10" s="2" t="s">
        <v>165</v>
      </c>
      <c r="B10" s="2"/>
      <c r="C10" s="467">
        <v>220</v>
      </c>
      <c r="D10" s="37">
        <f>C10*(1+Assumptions!$Q$11)</f>
        <v>220</v>
      </c>
      <c r="E10" s="379"/>
      <c r="F10" s="380"/>
      <c r="G10" s="349" t="s">
        <v>14</v>
      </c>
      <c r="H10" s="331">
        <v>135</v>
      </c>
      <c r="I10" s="380"/>
      <c r="J10" s="380"/>
      <c r="K10" s="380"/>
      <c r="L10" s="380"/>
      <c r="M10" s="382"/>
      <c r="N10" s="383"/>
      <c r="O10" s="383"/>
      <c r="P10" s="7"/>
    </row>
    <row r="11" spans="1:20" ht="13.5" thickBot="1" x14ac:dyDescent="0.25">
      <c r="A11" s="2" t="s">
        <v>161</v>
      </c>
      <c r="B11" s="2"/>
      <c r="C11" s="37">
        <v>56</v>
      </c>
      <c r="D11" s="37">
        <f>C11*(1+Assumptions!$Q$11)</f>
        <v>56</v>
      </c>
      <c r="E11" s="379"/>
      <c r="F11" s="380"/>
      <c r="G11" s="349" t="s">
        <v>15</v>
      </c>
      <c r="H11" s="331">
        <v>500</v>
      </c>
      <c r="I11" s="380"/>
      <c r="J11" s="380"/>
      <c r="K11" s="380"/>
      <c r="L11" s="380"/>
      <c r="M11" s="382"/>
      <c r="N11" s="383"/>
      <c r="O11" s="383"/>
      <c r="P11" s="7"/>
    </row>
    <row r="12" spans="1:20" ht="13.5" thickBot="1" x14ac:dyDescent="0.25">
      <c r="A12" s="2" t="s">
        <v>163</v>
      </c>
      <c r="B12" s="2"/>
      <c r="C12" s="37">
        <v>109</v>
      </c>
      <c r="D12" s="37">
        <f>C12*(1+Assumptions!$Q$11)</f>
        <v>109</v>
      </c>
      <c r="E12" s="379"/>
      <c r="F12" s="380"/>
      <c r="G12" s="349" t="s">
        <v>16</v>
      </c>
      <c r="H12" s="331">
        <v>459</v>
      </c>
      <c r="I12" s="380"/>
      <c r="J12" s="380"/>
      <c r="K12" s="380"/>
      <c r="L12" s="380"/>
      <c r="M12" s="382"/>
      <c r="N12" s="383"/>
      <c r="O12" s="383"/>
      <c r="P12" s="7"/>
    </row>
    <row r="13" spans="1:20" ht="13.5" thickBot="1" x14ac:dyDescent="0.25">
      <c r="A13" s="2" t="s">
        <v>185</v>
      </c>
      <c r="B13" s="2"/>
      <c r="C13" s="37">
        <v>124</v>
      </c>
      <c r="D13" s="37">
        <f>C13*(1+Assumptions!$Q$11)</f>
        <v>124</v>
      </c>
      <c r="E13" s="379"/>
      <c r="F13" s="380"/>
      <c r="G13" s="349" t="s">
        <v>178</v>
      </c>
      <c r="H13" s="331">
        <v>214</v>
      </c>
      <c r="I13" s="380"/>
      <c r="J13" s="380"/>
      <c r="K13" s="380"/>
      <c r="L13" s="380"/>
      <c r="M13" s="382"/>
      <c r="N13" s="383"/>
      <c r="O13" s="383"/>
      <c r="P13" s="7"/>
    </row>
    <row r="14" spans="1:20" ht="13.5" thickBot="1" x14ac:dyDescent="0.25">
      <c r="A14" s="2" t="s">
        <v>162</v>
      </c>
      <c r="B14" s="2"/>
      <c r="C14" s="37">
        <v>59</v>
      </c>
      <c r="D14" s="37">
        <f>C14*(1+Assumptions!$Q$11)</f>
        <v>59</v>
      </c>
      <c r="E14" s="379"/>
      <c r="F14" s="380"/>
      <c r="G14" s="334" t="s">
        <v>165</v>
      </c>
      <c r="H14" s="335">
        <v>300</v>
      </c>
      <c r="I14" s="380"/>
      <c r="J14" s="380"/>
      <c r="K14" s="380"/>
      <c r="L14" s="380"/>
      <c r="M14" s="382"/>
      <c r="N14" s="383"/>
      <c r="O14" s="383"/>
      <c r="P14" s="7"/>
    </row>
    <row r="15" spans="1:20" ht="13.5" thickTop="1" x14ac:dyDescent="0.2">
      <c r="A15" s="2" t="s">
        <v>164</v>
      </c>
      <c r="B15" s="2"/>
      <c r="C15">
        <v>126</v>
      </c>
      <c r="D15" s="37">
        <f>C15*(1+Assumptions!$Q$11)</f>
        <v>126</v>
      </c>
      <c r="E15" s="103"/>
      <c r="F15" s="103"/>
      <c r="G15" s="103"/>
      <c r="H15" s="103"/>
      <c r="I15" s="103"/>
      <c r="J15" s="103"/>
      <c r="K15" s="103"/>
      <c r="L15" s="103"/>
      <c r="M15" s="103"/>
      <c r="N15" s="103"/>
      <c r="O15" s="103"/>
      <c r="P15" s="7"/>
    </row>
    <row r="16" spans="1:20" x14ac:dyDescent="0.2">
      <c r="A16" s="27" t="s">
        <v>30</v>
      </c>
      <c r="B16" s="28"/>
      <c r="C16" s="29">
        <f>SUM(C5:C13)</f>
        <v>2153</v>
      </c>
      <c r="D16" s="29">
        <f>SUM(D5:D13)</f>
        <v>2153</v>
      </c>
      <c r="E16" s="379"/>
      <c r="F16" s="380"/>
      <c r="G16" s="380"/>
      <c r="H16" s="380"/>
      <c r="I16" s="380"/>
      <c r="J16" s="380"/>
      <c r="K16" s="380"/>
      <c r="L16" s="380"/>
      <c r="M16" s="382"/>
      <c r="N16" s="383"/>
      <c r="O16" s="383"/>
      <c r="P16" s="7"/>
    </row>
    <row r="17" spans="1:16" x14ac:dyDescent="0.2">
      <c r="A17" s="1098" t="s">
        <v>62</v>
      </c>
      <c r="B17" s="1098"/>
      <c r="C17" s="56"/>
      <c r="D17" s="1"/>
      <c r="E17" s="35"/>
      <c r="F17" s="1099"/>
      <c r="G17" s="1099"/>
      <c r="H17" s="1099"/>
      <c r="I17" s="55"/>
      <c r="J17" s="55"/>
      <c r="K17" s="35"/>
      <c r="L17" s="35"/>
      <c r="M17" s="35"/>
      <c r="N17" s="35"/>
      <c r="O17" s="35"/>
      <c r="P17" s="7"/>
    </row>
    <row r="18" spans="1:16" ht="12.75" customHeight="1" x14ac:dyDescent="0.2">
      <c r="D18" s="1"/>
    </row>
    <row r="19" spans="1:16" ht="12.75" customHeight="1" x14ac:dyDescent="0.2">
      <c r="D19" s="1"/>
    </row>
    <row r="20" spans="1:16" ht="12.75" customHeight="1" x14ac:dyDescent="0.2">
      <c r="D20" s="1"/>
    </row>
    <row r="21" spans="1:16" ht="12.75" customHeight="1" x14ac:dyDescent="0.2">
      <c r="D21" s="1"/>
    </row>
    <row r="22" spans="1:16" ht="12.75" customHeight="1" x14ac:dyDescent="0.2">
      <c r="D22" s="1"/>
    </row>
    <row r="23" spans="1:16" x14ac:dyDescent="0.2">
      <c r="D23" s="1"/>
    </row>
    <row r="24" spans="1:16" x14ac:dyDescent="0.2">
      <c r="D24" s="1"/>
    </row>
    <row r="25" spans="1:16" x14ac:dyDescent="0.2">
      <c r="D25" s="1"/>
    </row>
    <row r="26" spans="1:16" ht="13.5" thickBot="1" x14ac:dyDescent="0.25">
      <c r="B26" s="472" t="s">
        <v>1276</v>
      </c>
      <c r="C26" s="91"/>
      <c r="D26" s="473"/>
      <c r="E26" s="91"/>
      <c r="F26" s="91"/>
      <c r="G26" s="91"/>
      <c r="H26" s="91"/>
    </row>
    <row r="27" spans="1:16" x14ac:dyDescent="0.2">
      <c r="B27" s="1089"/>
      <c r="C27" s="1090"/>
      <c r="D27" s="1100" t="s">
        <v>33</v>
      </c>
      <c r="E27" s="1100"/>
      <c r="F27" s="1100" t="s">
        <v>183</v>
      </c>
      <c r="G27" s="1100"/>
      <c r="H27" s="1101" t="s">
        <v>34</v>
      </c>
    </row>
    <row r="28" spans="1:16" x14ac:dyDescent="0.2">
      <c r="B28" s="1091"/>
      <c r="C28" s="1092"/>
      <c r="D28" s="1103" t="s">
        <v>1358</v>
      </c>
      <c r="E28" s="283" t="s">
        <v>1223</v>
      </c>
      <c r="F28" s="1103" t="s">
        <v>1224</v>
      </c>
      <c r="G28" s="1103" t="s">
        <v>1226</v>
      </c>
      <c r="H28" s="1102"/>
    </row>
    <row r="29" spans="1:16" x14ac:dyDescent="0.2">
      <c r="B29" s="1093"/>
      <c r="C29" s="1006"/>
      <c r="D29" s="1103"/>
      <c r="E29" s="283" t="s">
        <v>1360</v>
      </c>
      <c r="F29" s="1103"/>
      <c r="G29" s="1103"/>
      <c r="H29" s="1102"/>
    </row>
    <row r="30" spans="1:16" x14ac:dyDescent="0.2">
      <c r="B30" s="1086" t="s">
        <v>1362</v>
      </c>
      <c r="C30" s="1087"/>
      <c r="D30" s="285">
        <v>2420</v>
      </c>
      <c r="E30" s="285">
        <v>4340</v>
      </c>
      <c r="F30" s="285">
        <v>13637</v>
      </c>
      <c r="G30" s="285">
        <v>50503</v>
      </c>
      <c r="H30" s="286">
        <f>SUM(D30:G30)</f>
        <v>70900</v>
      </c>
    </row>
    <row r="31" spans="1:16" x14ac:dyDescent="0.2">
      <c r="B31" s="1086" t="s">
        <v>1336</v>
      </c>
      <c r="C31" s="1087"/>
      <c r="D31" s="285">
        <v>126136</v>
      </c>
      <c r="E31" s="285">
        <v>337309</v>
      </c>
      <c r="F31" s="285">
        <v>305639</v>
      </c>
      <c r="G31" s="285">
        <v>162966</v>
      </c>
      <c r="H31" s="286">
        <f>SUM(D31:G31)</f>
        <v>932050</v>
      </c>
    </row>
    <row r="32" spans="1:16" x14ac:dyDescent="0.2">
      <c r="B32" s="1086" t="s">
        <v>1337</v>
      </c>
      <c r="C32" s="1087"/>
      <c r="D32" s="285">
        <v>244253</v>
      </c>
      <c r="E32" s="285">
        <v>569533</v>
      </c>
      <c r="F32" s="285">
        <v>470965</v>
      </c>
      <c r="G32" s="285">
        <v>517232</v>
      </c>
      <c r="H32" s="286">
        <f>SUM(D32:G32)</f>
        <v>1801983</v>
      </c>
    </row>
    <row r="33" spans="1:15" x14ac:dyDescent="0.2">
      <c r="B33" s="1086" t="s">
        <v>1345</v>
      </c>
      <c r="C33" s="1087"/>
      <c r="D33" s="287"/>
      <c r="E33" s="287"/>
      <c r="F33" s="287"/>
      <c r="G33" s="287"/>
      <c r="H33" s="288"/>
    </row>
    <row r="34" spans="1:15" x14ac:dyDescent="0.2">
      <c r="B34" s="1084" t="s">
        <v>1302</v>
      </c>
      <c r="C34" s="1085"/>
      <c r="D34" s="291">
        <f>+D31/D30</f>
        <v>52.122314049586777</v>
      </c>
      <c r="E34" s="291">
        <f>+E31/E30</f>
        <v>77.720967741935482</v>
      </c>
      <c r="F34" s="291">
        <f>+F31/F30</f>
        <v>22.41248075089829</v>
      </c>
      <c r="G34" s="291">
        <f>+G31/G30</f>
        <v>3.2268578104271035</v>
      </c>
      <c r="H34" s="292">
        <f>+H31/H30</f>
        <v>13.145980253878703</v>
      </c>
    </row>
    <row r="35" spans="1:15" x14ac:dyDescent="0.2">
      <c r="B35" s="1084" t="s">
        <v>1282</v>
      </c>
      <c r="C35" s="1085"/>
      <c r="D35" s="291">
        <f>+D32/D30</f>
        <v>100.93099173553719</v>
      </c>
      <c r="E35" s="291">
        <f>+E32/E30</f>
        <v>131.22880184331797</v>
      </c>
      <c r="F35" s="291">
        <f>+F32/F30</f>
        <v>34.535821661655788</v>
      </c>
      <c r="G35" s="291">
        <f>+G32/G30</f>
        <v>10.241609409342018</v>
      </c>
      <c r="H35" s="292">
        <f>+H32/H30</f>
        <v>25.415839210155148</v>
      </c>
    </row>
    <row r="36" spans="1:15" ht="13.5" thickBot="1" x14ac:dyDescent="0.25">
      <c r="B36" s="1086" t="s">
        <v>1313</v>
      </c>
      <c r="C36" s="1087"/>
      <c r="D36" s="295">
        <f>+(D35/D34)-1</f>
        <v>0.93642576266886546</v>
      </c>
      <c r="E36" s="295">
        <f>+(E35/E34)-1</f>
        <v>0.68846072888656984</v>
      </c>
      <c r="F36" s="295">
        <f>+(F35/F34)-1</f>
        <v>0.54091918897784641</v>
      </c>
      <c r="G36" s="295">
        <f>+(G35/G34)-1</f>
        <v>2.1738644870709223</v>
      </c>
      <c r="H36" s="296">
        <f>+(H35/H34)-1</f>
        <v>0.93335443377501215</v>
      </c>
    </row>
    <row r="38" spans="1:15" ht="13.5" thickBot="1" x14ac:dyDescent="0.25">
      <c r="A38" s="7"/>
      <c r="B38" s="1088" t="s">
        <v>1361</v>
      </c>
      <c r="C38" s="1088"/>
      <c r="D38" s="1088"/>
      <c r="E38" s="1088"/>
      <c r="F38" s="1088"/>
      <c r="G38" s="1088"/>
      <c r="H38" s="1088"/>
      <c r="I38" s="1088"/>
      <c r="J38" s="1088"/>
      <c r="K38" s="1088"/>
      <c r="L38" s="1088"/>
      <c r="M38" s="1088"/>
      <c r="N38" s="1088"/>
      <c r="O38" s="1088"/>
    </row>
    <row r="39" spans="1:15" ht="13.5" customHeight="1" thickBot="1" x14ac:dyDescent="0.25">
      <c r="B39" s="300"/>
      <c r="C39" s="1049" t="s">
        <v>1220</v>
      </c>
      <c r="D39" s="301" t="s">
        <v>1369</v>
      </c>
      <c r="E39" s="301" t="s">
        <v>1342</v>
      </c>
      <c r="F39" s="1104" t="s">
        <v>1339</v>
      </c>
      <c r="G39" s="1105"/>
      <c r="H39" s="1104" t="s">
        <v>1340</v>
      </c>
      <c r="I39" s="1105"/>
      <c r="J39" s="1049" t="s">
        <v>34</v>
      </c>
      <c r="K39" s="1104" t="s">
        <v>1364</v>
      </c>
      <c r="L39" s="1105"/>
      <c r="M39" s="1104" t="s">
        <v>1365</v>
      </c>
      <c r="N39" s="1105"/>
      <c r="O39" s="1123" t="s">
        <v>1295</v>
      </c>
    </row>
    <row r="40" spans="1:15" ht="12" customHeight="1" x14ac:dyDescent="0.2">
      <c r="B40" s="1061" t="s">
        <v>166</v>
      </c>
      <c r="C40" s="1050"/>
      <c r="D40" s="302"/>
      <c r="E40" s="302"/>
      <c r="F40" s="1106" t="s">
        <v>1358</v>
      </c>
      <c r="G40" s="470" t="s">
        <v>1359</v>
      </c>
      <c r="H40" s="1108" t="s">
        <v>1224</v>
      </c>
      <c r="I40" s="1108" t="s">
        <v>1226</v>
      </c>
      <c r="J40" s="1050"/>
      <c r="K40" s="1108" t="s">
        <v>1358</v>
      </c>
      <c r="L40" s="470" t="s">
        <v>1223</v>
      </c>
      <c r="M40" s="1108" t="s">
        <v>1224</v>
      </c>
      <c r="N40" s="1108" t="s">
        <v>1226</v>
      </c>
      <c r="O40" s="1124"/>
    </row>
    <row r="41" spans="1:15" ht="20.25" customHeight="1" thickBot="1" x14ac:dyDescent="0.25">
      <c r="B41" s="1062"/>
      <c r="C41" s="1051"/>
      <c r="D41" s="305" t="s">
        <v>1294</v>
      </c>
      <c r="E41" s="305" t="s">
        <v>1294</v>
      </c>
      <c r="F41" s="1107"/>
      <c r="G41" s="471"/>
      <c r="H41" s="1109"/>
      <c r="I41" s="1109"/>
      <c r="J41" s="1051"/>
      <c r="K41" s="1109"/>
      <c r="L41" s="471" t="s">
        <v>1360</v>
      </c>
      <c r="M41" s="1109"/>
      <c r="N41" s="1109"/>
      <c r="O41" s="1125"/>
    </row>
    <row r="42" spans="1:15" ht="13.5" thickBot="1" x14ac:dyDescent="0.25">
      <c r="A42">
        <v>7</v>
      </c>
      <c r="B42" s="307" t="s">
        <v>161</v>
      </c>
      <c r="C42" s="331">
        <v>56</v>
      </c>
      <c r="D42" s="413">
        <f t="shared" ref="D42:D51" si="0">+(C81*C67*D67)/1000</f>
        <v>150.416</v>
      </c>
      <c r="E42" s="412">
        <f>+F67/1000000</f>
        <v>5.56372</v>
      </c>
      <c r="F42" s="309">
        <v>60</v>
      </c>
      <c r="G42" s="310"/>
      <c r="H42" s="309">
        <v>40</v>
      </c>
      <c r="I42" s="310"/>
      <c r="J42" s="311">
        <v>100</v>
      </c>
      <c r="K42" s="412">
        <f>+($E42*1000000)*(F42/100)/($C42*$D67*D$34)</f>
        <v>7.238485576175937</v>
      </c>
      <c r="L42" s="412">
        <f>+($E42*1000000)*(G42/100)/($C42*$D67*E$34)</f>
        <v>0</v>
      </c>
      <c r="M42" s="412">
        <f>+($E42*1000000)*(H42/100)/($C42*$D67*F$34)</f>
        <v>11.222515485550751</v>
      </c>
      <c r="N42" s="412">
        <f>+($E42*1000000)*(I42/100)/($C42*$D67*G$34)</f>
        <v>0</v>
      </c>
      <c r="O42" s="469">
        <f>+((($D$35/$D$34)*(F42/100))+(($E$35/$E$34)*(G42/100))+(($F$35/$F$34)*(H42/100))+(($H$35/$H$34)*(I42/100)))-1</f>
        <v>0.77822313319245762</v>
      </c>
    </row>
    <row r="43" spans="1:15" ht="13.5" thickBot="1" x14ac:dyDescent="0.25">
      <c r="A43">
        <v>9</v>
      </c>
      <c r="B43" s="307" t="s">
        <v>185</v>
      </c>
      <c r="C43" s="331">
        <v>124</v>
      </c>
      <c r="D43" s="413">
        <f t="shared" si="0"/>
        <v>830.428</v>
      </c>
      <c r="E43" s="412">
        <f>+F68/1000000</f>
        <v>15.69956</v>
      </c>
      <c r="F43" s="309">
        <v>27</v>
      </c>
      <c r="G43" s="310"/>
      <c r="H43" s="309">
        <v>51</v>
      </c>
      <c r="I43" s="309">
        <v>22</v>
      </c>
      <c r="J43" s="311">
        <v>100</v>
      </c>
      <c r="K43" s="412">
        <f t="shared" ref="K43:K51" si="1">+($E43*1000000)*(F43/100)/($C43*$D68*D$34)</f>
        <v>3.623491913298043</v>
      </c>
      <c r="L43" s="412">
        <f t="shared" ref="L43:L51" si="2">+($E43*1000000)*(G43/100)/($C43*$D68*E$34)</f>
        <v>0</v>
      </c>
      <c r="M43" s="412">
        <f t="shared" ref="M43:M51" si="3">+($E43*1000000)*(H43/100)/($C43*$D68*F$34)</f>
        <v>15.917229107612346</v>
      </c>
      <c r="N43" s="412">
        <f t="shared" ref="N43:N51" si="4">+($E43*1000000)*(I43/100)/($C43*$D68*G$34)</f>
        <v>47.69030202185882</v>
      </c>
      <c r="O43" s="469">
        <f t="shared" ref="O43:O52" si="5">+((($D$35/$D$34)*(F43/100))+(($E$35/$E$34)*(G43/100))+(($F$35/$F$34)*(H43/100))+(($H$35/$H$34)*(I43/100)))-1</f>
        <v>0.73404171772979798</v>
      </c>
    </row>
    <row r="44" spans="1:15" ht="13.5" thickBot="1" x14ac:dyDescent="0.25">
      <c r="A44">
        <v>10</v>
      </c>
      <c r="B44" s="307" t="s">
        <v>162</v>
      </c>
      <c r="C44" s="331">
        <v>59</v>
      </c>
      <c r="D44" s="413">
        <f t="shared" si="0"/>
        <v>215.232</v>
      </c>
      <c r="E44" s="412">
        <f t="shared" ref="E44:E51" si="6">+F69/1000000</f>
        <v>5.5969749999999996</v>
      </c>
      <c r="F44" s="309">
        <v>70</v>
      </c>
      <c r="G44" s="310"/>
      <c r="H44" s="309">
        <v>20</v>
      </c>
      <c r="I44" s="309">
        <v>10</v>
      </c>
      <c r="J44" s="311">
        <v>100</v>
      </c>
      <c r="K44" s="412">
        <f t="shared" si="1"/>
        <v>6.6355125985103873</v>
      </c>
      <c r="L44" s="412">
        <f t="shared" si="2"/>
        <v>0</v>
      </c>
      <c r="M44" s="412">
        <f t="shared" si="3"/>
        <v>4.4090009539590511</v>
      </c>
      <c r="N44" s="412">
        <f t="shared" si="4"/>
        <v>15.311590224395442</v>
      </c>
      <c r="O44" s="469">
        <f t="shared" si="5"/>
        <v>0.8570173150412761</v>
      </c>
    </row>
    <row r="45" spans="1:15" ht="13.5" thickBot="1" x14ac:dyDescent="0.25">
      <c r="A45">
        <v>8</v>
      </c>
      <c r="B45" s="307" t="s">
        <v>163</v>
      </c>
      <c r="C45" s="331">
        <v>109</v>
      </c>
      <c r="D45" s="413">
        <f t="shared" si="0"/>
        <v>965.19500000000005</v>
      </c>
      <c r="E45" s="412">
        <f t="shared" si="6"/>
        <v>21.566168000000001</v>
      </c>
      <c r="F45" s="309">
        <v>5</v>
      </c>
      <c r="G45" s="309">
        <v>21</v>
      </c>
      <c r="H45" s="312">
        <v>64</v>
      </c>
      <c r="I45" s="309">
        <v>10</v>
      </c>
      <c r="J45" s="311">
        <v>100</v>
      </c>
      <c r="K45" s="412">
        <f t="shared" si="1"/>
        <v>1.1788727412984061</v>
      </c>
      <c r="L45" s="412">
        <f t="shared" si="2"/>
        <v>3.3204863955374493</v>
      </c>
      <c r="M45" s="412">
        <f t="shared" si="3"/>
        <v>35.092204736107703</v>
      </c>
      <c r="N45" s="412">
        <f t="shared" si="4"/>
        <v>38.083844319325571</v>
      </c>
      <c r="O45" s="469">
        <f t="shared" si="5"/>
        <v>0.63092176552294577</v>
      </c>
    </row>
    <row r="46" spans="1:15" ht="13.5" thickBot="1" x14ac:dyDescent="0.25">
      <c r="A46">
        <v>11</v>
      </c>
      <c r="B46" s="307" t="s">
        <v>164</v>
      </c>
      <c r="C46" s="331">
        <v>126</v>
      </c>
      <c r="D46" s="413">
        <f t="shared" si="0"/>
        <v>1398.222</v>
      </c>
      <c r="E46" s="412">
        <f t="shared" si="6"/>
        <v>26.294965000000001</v>
      </c>
      <c r="F46" s="309">
        <v>5</v>
      </c>
      <c r="G46" s="309">
        <v>24</v>
      </c>
      <c r="H46" s="309">
        <v>50</v>
      </c>
      <c r="I46" s="309">
        <v>21</v>
      </c>
      <c r="J46" s="311">
        <v>100</v>
      </c>
      <c r="K46" s="412">
        <f t="shared" si="1"/>
        <v>1.4612610237829557</v>
      </c>
      <c r="L46" s="412">
        <f t="shared" si="2"/>
        <v>4.7038615109126294</v>
      </c>
      <c r="M46" s="412">
        <f t="shared" si="3"/>
        <v>33.982987798877758</v>
      </c>
      <c r="N46" s="412">
        <f t="shared" si="4"/>
        <v>99.133616648516195</v>
      </c>
      <c r="O46" s="469">
        <f t="shared" si="5"/>
        <v>0.67851588864789569</v>
      </c>
    </row>
    <row r="47" spans="1:15" ht="13.5" thickBot="1" x14ac:dyDescent="0.25">
      <c r="A47">
        <v>1</v>
      </c>
      <c r="B47" s="307" t="s">
        <v>14</v>
      </c>
      <c r="C47" s="331">
        <v>135</v>
      </c>
      <c r="D47" s="413">
        <f t="shared" si="0"/>
        <v>1069.605</v>
      </c>
      <c r="E47" s="412">
        <f t="shared" si="6"/>
        <v>25.615822999999999</v>
      </c>
      <c r="F47" s="310"/>
      <c r="G47" s="309">
        <v>21</v>
      </c>
      <c r="H47" s="312">
        <v>64</v>
      </c>
      <c r="I47" s="309">
        <v>15</v>
      </c>
      <c r="J47" s="311">
        <v>100</v>
      </c>
      <c r="K47" s="412">
        <f t="shared" si="1"/>
        <v>0</v>
      </c>
      <c r="L47" s="412">
        <f t="shared" si="2"/>
        <v>3.688424007344024</v>
      </c>
      <c r="M47" s="412">
        <f t="shared" si="3"/>
        <v>38.980713968063455</v>
      </c>
      <c r="N47" s="412">
        <f t="shared" si="4"/>
        <v>63.455778286640097</v>
      </c>
      <c r="O47" s="469">
        <f t="shared" si="5"/>
        <v>0.63076819907825321</v>
      </c>
    </row>
    <row r="48" spans="1:15" ht="13.5" thickBot="1" x14ac:dyDescent="0.25">
      <c r="A48">
        <v>2</v>
      </c>
      <c r="B48" s="307" t="s">
        <v>15</v>
      </c>
      <c r="C48" s="331">
        <v>500</v>
      </c>
      <c r="D48" s="413">
        <f t="shared" si="0"/>
        <v>2679</v>
      </c>
      <c r="E48" s="412">
        <f t="shared" si="6"/>
        <v>91.807193999999996</v>
      </c>
      <c r="F48" s="309">
        <v>45</v>
      </c>
      <c r="G48" s="309">
        <v>12</v>
      </c>
      <c r="H48" s="312">
        <v>38</v>
      </c>
      <c r="I48" s="309">
        <v>5</v>
      </c>
      <c r="J48" s="311">
        <v>100</v>
      </c>
      <c r="K48" s="412">
        <f t="shared" si="1"/>
        <v>13.905630439826021</v>
      </c>
      <c r="L48" s="412">
        <f t="shared" si="2"/>
        <v>2.4868231672005878</v>
      </c>
      <c r="M48" s="412">
        <f t="shared" si="3"/>
        <v>27.308354073007699</v>
      </c>
      <c r="N48" s="412">
        <f t="shared" si="4"/>
        <v>24.956980148167812</v>
      </c>
      <c r="O48" s="469">
        <f t="shared" si="5"/>
        <v>0.75622389416771019</v>
      </c>
    </row>
    <row r="49" spans="1:15" ht="13.5" thickBot="1" x14ac:dyDescent="0.25">
      <c r="A49">
        <v>3</v>
      </c>
      <c r="B49" s="307" t="s">
        <v>16</v>
      </c>
      <c r="C49" s="331">
        <v>459</v>
      </c>
      <c r="D49" s="413">
        <f t="shared" si="0"/>
        <v>11502.54</v>
      </c>
      <c r="E49" s="412">
        <f t="shared" si="6"/>
        <v>130.08054899999999</v>
      </c>
      <c r="F49" s="309">
        <v>15</v>
      </c>
      <c r="G49" s="309">
        <v>11</v>
      </c>
      <c r="H49" s="312">
        <v>34</v>
      </c>
      <c r="I49" s="309">
        <v>40</v>
      </c>
      <c r="J49" s="311">
        <v>100</v>
      </c>
      <c r="K49" s="412">
        <f t="shared" si="1"/>
        <v>4.5563199704401107</v>
      </c>
      <c r="L49" s="412">
        <f t="shared" si="2"/>
        <v>2.2407898583906323</v>
      </c>
      <c r="M49" s="412">
        <f t="shared" si="3"/>
        <v>24.017933173552894</v>
      </c>
      <c r="N49" s="412">
        <f t="shared" si="4"/>
        <v>196.25774617217073</v>
      </c>
      <c r="O49" s="469">
        <f t="shared" si="5"/>
        <v>0.77344884234032518</v>
      </c>
    </row>
    <row r="50" spans="1:15" ht="13.5" thickBot="1" x14ac:dyDescent="0.25">
      <c r="A50">
        <v>5</v>
      </c>
      <c r="B50" s="307" t="s">
        <v>178</v>
      </c>
      <c r="C50" s="331">
        <v>214</v>
      </c>
      <c r="D50" s="413">
        <f t="shared" si="0"/>
        <v>4519.68</v>
      </c>
      <c r="E50" s="412">
        <f t="shared" si="6"/>
        <v>55.261930999999997</v>
      </c>
      <c r="F50" s="309">
        <v>36</v>
      </c>
      <c r="G50" s="309">
        <v>21</v>
      </c>
      <c r="H50" s="312">
        <v>23</v>
      </c>
      <c r="I50" s="309">
        <v>20</v>
      </c>
      <c r="J50" s="311">
        <v>100</v>
      </c>
      <c r="K50" s="412">
        <f t="shared" si="1"/>
        <v>13.934170663320158</v>
      </c>
      <c r="L50" s="412">
        <f t="shared" si="2"/>
        <v>5.451090702039358</v>
      </c>
      <c r="M50" s="412">
        <f t="shared" si="3"/>
        <v>20.703330719989165</v>
      </c>
      <c r="N50" s="412">
        <f t="shared" si="4"/>
        <v>125.04101203124398</v>
      </c>
      <c r="O50" s="469">
        <f t="shared" si="5"/>
        <v>0.79277232784687834</v>
      </c>
    </row>
    <row r="51" spans="1:15" ht="13.5" thickBot="1" x14ac:dyDescent="0.25">
      <c r="A51">
        <v>6</v>
      </c>
      <c r="B51" s="307" t="s">
        <v>165</v>
      </c>
      <c r="C51" s="335">
        <v>300</v>
      </c>
      <c r="D51" s="413">
        <f t="shared" si="0"/>
        <v>1294.8</v>
      </c>
      <c r="E51" s="412">
        <f t="shared" si="6"/>
        <v>60.493918999999998</v>
      </c>
      <c r="F51" s="309">
        <v>30</v>
      </c>
      <c r="G51" s="309">
        <v>12</v>
      </c>
      <c r="H51" s="309">
        <v>58</v>
      </c>
      <c r="I51" s="310"/>
      <c r="J51" s="311">
        <v>100</v>
      </c>
      <c r="K51" s="412">
        <f t="shared" si="1"/>
        <v>13.983308509614023</v>
      </c>
      <c r="L51" s="412">
        <f t="shared" si="2"/>
        <v>3.7510721688922248</v>
      </c>
      <c r="M51" s="412">
        <f t="shared" si="3"/>
        <v>62.871010026480697</v>
      </c>
      <c r="N51" s="412">
        <f t="shared" si="4"/>
        <v>0</v>
      </c>
      <c r="O51" s="469">
        <f t="shared" si="5"/>
        <v>0.67727614587419893</v>
      </c>
    </row>
    <row r="52" spans="1:15" ht="13.5" thickBot="1" x14ac:dyDescent="0.25">
      <c r="A52">
        <v>4</v>
      </c>
      <c r="B52" s="307" t="s">
        <v>186</v>
      </c>
      <c r="C52" s="306">
        <v>190</v>
      </c>
      <c r="D52" s="308">
        <v>2152</v>
      </c>
      <c r="E52" s="308">
        <v>61</v>
      </c>
      <c r="F52" s="309">
        <v>15</v>
      </c>
      <c r="G52" s="309">
        <v>20</v>
      </c>
      <c r="H52" s="309">
        <v>62.5</v>
      </c>
      <c r="I52" s="309">
        <v>3</v>
      </c>
      <c r="J52" s="311">
        <v>100</v>
      </c>
      <c r="K52" s="412">
        <f>+($E52*1000000)*(F52/100)/($C52*$D77*D$34)</f>
        <v>11.131808128991953</v>
      </c>
      <c r="L52" s="412">
        <f>+($E52*1000000)*(G52/100)/($C52*$D77*E$34)</f>
        <v>9.9538235493173985</v>
      </c>
      <c r="M52" s="412">
        <f>+($E52*1000000)*(H52/100)/($C52*$D77*F$34)</f>
        <v>107.86690789383175</v>
      </c>
      <c r="N52" s="412">
        <f>+($E52*1000000)*(I52/100)/($C52*$D77*G$34)</f>
        <v>35.961646488679015</v>
      </c>
      <c r="O52" s="469">
        <f t="shared" si="5"/>
        <v>0.64923113630204798</v>
      </c>
    </row>
    <row r="53" spans="1:15" ht="13.5" thickBot="1" x14ac:dyDescent="0.25">
      <c r="B53" s="307"/>
      <c r="C53" s="306">
        <f>SUM(C42:C52)</f>
        <v>2272</v>
      </c>
      <c r="D53" s="308">
        <f>SUM(D42:D52)</f>
        <v>26777.117999999999</v>
      </c>
      <c r="E53" s="412">
        <f>SUM(E42:E52)</f>
        <v>498.98080400000003</v>
      </c>
      <c r="F53" s="309"/>
      <c r="G53" s="309"/>
      <c r="H53" s="309"/>
      <c r="I53" s="309"/>
      <c r="J53" s="311"/>
    </row>
    <row r="54" spans="1:15" ht="13.5" thickBot="1" x14ac:dyDescent="0.25">
      <c r="B54" s="313"/>
      <c r="D54" s="314"/>
      <c r="E54" s="314"/>
      <c r="F54" s="315"/>
      <c r="G54" s="315"/>
      <c r="H54" s="315"/>
      <c r="I54" s="315"/>
      <c r="J54" s="316"/>
    </row>
    <row r="55" spans="1:15" ht="13.5" thickBot="1" x14ac:dyDescent="0.25">
      <c r="B55" s="1110" t="s">
        <v>1357</v>
      </c>
      <c r="C55" s="1113" t="s">
        <v>218</v>
      </c>
      <c r="D55" s="1048"/>
      <c r="E55" s="1047" t="s">
        <v>219</v>
      </c>
      <c r="F55" s="1048"/>
      <c r="G55" s="1049" t="s">
        <v>34</v>
      </c>
      <c r="H55" s="315"/>
      <c r="I55" s="315"/>
      <c r="J55" s="316"/>
    </row>
    <row r="56" spans="1:15" x14ac:dyDescent="0.2">
      <c r="B56" s="1111"/>
      <c r="C56" s="1114" t="s">
        <v>1358</v>
      </c>
      <c r="D56" s="1049" t="s">
        <v>1359</v>
      </c>
      <c r="E56" s="1106" t="s">
        <v>1224</v>
      </c>
      <c r="F56" s="1106" t="s">
        <v>1226</v>
      </c>
      <c r="G56" s="1050"/>
      <c r="H56" s="315"/>
      <c r="I56" s="315"/>
      <c r="J56" s="316"/>
    </row>
    <row r="57" spans="1:15" ht="13.5" thickBot="1" x14ac:dyDescent="0.25">
      <c r="B57" s="1112"/>
      <c r="C57" s="1115"/>
      <c r="D57" s="1051"/>
      <c r="E57" s="1116"/>
      <c r="F57" s="1116"/>
      <c r="G57" s="1050"/>
    </row>
    <row r="58" spans="1:15" ht="13.5" thickBot="1" x14ac:dyDescent="0.25">
      <c r="B58" s="317" t="s">
        <v>1302</v>
      </c>
      <c r="C58" s="319">
        <v>52.122314049586777</v>
      </c>
      <c r="D58" s="319">
        <v>77.720967741935482</v>
      </c>
      <c r="E58" s="320">
        <v>22.41248075089829</v>
      </c>
      <c r="F58" s="319">
        <v>3.2268578104271035</v>
      </c>
      <c r="G58" s="318">
        <v>13.145980253878703</v>
      </c>
    </row>
    <row r="59" spans="1:15" ht="13.5" thickBot="1" x14ac:dyDescent="0.25">
      <c r="B59" s="321" t="s">
        <v>1282</v>
      </c>
      <c r="C59" s="323">
        <v>100.93099173553719</v>
      </c>
      <c r="D59" s="323">
        <v>131.22880184331797</v>
      </c>
      <c r="E59" s="323">
        <v>34.535821661655788</v>
      </c>
      <c r="F59" s="324">
        <v>10.241609409342018</v>
      </c>
      <c r="G59" s="322">
        <v>25.415839210155148</v>
      </c>
    </row>
    <row r="60" spans="1:15" ht="13.5" thickBot="1" x14ac:dyDescent="0.25">
      <c r="B60" s="325" t="s">
        <v>1295</v>
      </c>
      <c r="C60" s="326">
        <f>+(C59/C58)-1</f>
        <v>0.93642576266886546</v>
      </c>
      <c r="D60" s="326">
        <f>+(D59/D58)-1</f>
        <v>0.68846072888656984</v>
      </c>
      <c r="E60" s="326">
        <f>+(E59/E58)-1</f>
        <v>0.54091918897784641</v>
      </c>
      <c r="F60" s="326">
        <f>+(F59/F58)-1</f>
        <v>2.1738644870709223</v>
      </c>
      <c r="G60" s="326">
        <f>+(G59/G58)-1</f>
        <v>0.93335443377501215</v>
      </c>
    </row>
    <row r="64" spans="1:15" ht="13.5" thickBot="1" x14ac:dyDescent="0.25">
      <c r="B64" s="327" t="s">
        <v>1278</v>
      </c>
    </row>
    <row r="65" spans="2:10" ht="20.25" customHeight="1" thickTop="1" x14ac:dyDescent="0.2">
      <c r="B65" s="1119" t="s">
        <v>187</v>
      </c>
      <c r="C65" s="1117" t="s">
        <v>1248</v>
      </c>
      <c r="D65" s="1045" t="s">
        <v>1331</v>
      </c>
      <c r="E65" s="1117" t="s">
        <v>1347</v>
      </c>
      <c r="F65" s="1117" t="s">
        <v>1348</v>
      </c>
      <c r="G65" s="328" t="s">
        <v>1335</v>
      </c>
      <c r="H65" s="1121" t="s">
        <v>1346</v>
      </c>
      <c r="I65" s="1117" t="s">
        <v>1349</v>
      </c>
      <c r="J65" s="1117" t="s">
        <v>1351</v>
      </c>
    </row>
    <row r="66" spans="2:10" ht="13.5" thickBot="1" x14ac:dyDescent="0.25">
      <c r="B66" s="1120"/>
      <c r="C66" s="1118"/>
      <c r="D66" s="1046"/>
      <c r="E66" s="1118"/>
      <c r="F66" s="1118"/>
      <c r="G66" s="329" t="s">
        <v>1315</v>
      </c>
      <c r="H66" s="1122"/>
      <c r="I66" s="1118"/>
      <c r="J66" s="1118"/>
    </row>
    <row r="67" spans="2:10" ht="13.5" thickBot="1" x14ac:dyDescent="0.25">
      <c r="B67" s="330" t="s">
        <v>161</v>
      </c>
      <c r="C67" s="331">
        <v>56</v>
      </c>
      <c r="D67" s="331">
        <v>158</v>
      </c>
      <c r="E67" s="332">
        <v>146984</v>
      </c>
      <c r="F67" s="332">
        <v>5563720</v>
      </c>
      <c r="G67" s="332">
        <v>99352</v>
      </c>
      <c r="H67" s="333">
        <v>37.85</v>
      </c>
      <c r="I67" s="332">
        <f t="shared" ref="I67:I76" si="7">+C67*H81</f>
        <v>3536288</v>
      </c>
      <c r="J67" s="425">
        <f>+I67/F67</f>
        <v>0.63559776552378622</v>
      </c>
    </row>
    <row r="68" spans="2:10" ht="13.5" thickBot="1" x14ac:dyDescent="0.25">
      <c r="B68" s="330" t="s">
        <v>185</v>
      </c>
      <c r="C68" s="331">
        <v>124</v>
      </c>
      <c r="D68" s="331">
        <v>181</v>
      </c>
      <c r="E68" s="332">
        <v>831306</v>
      </c>
      <c r="F68" s="332">
        <v>15699560</v>
      </c>
      <c r="G68" s="332">
        <v>126609</v>
      </c>
      <c r="H68" s="333">
        <v>18.89</v>
      </c>
      <c r="I68" s="332">
        <f t="shared" si="7"/>
        <v>9741936</v>
      </c>
      <c r="J68" s="425">
        <f t="shared" ref="J68:J76" si="8">+I68/F68</f>
        <v>0.62052286815681457</v>
      </c>
    </row>
    <row r="69" spans="2:10" ht="13.5" thickBot="1" x14ac:dyDescent="0.25">
      <c r="B69" s="330" t="s">
        <v>162</v>
      </c>
      <c r="C69" s="331">
        <v>59</v>
      </c>
      <c r="D69" s="331">
        <v>192</v>
      </c>
      <c r="E69" s="332">
        <v>215171</v>
      </c>
      <c r="F69" s="332">
        <v>5596975</v>
      </c>
      <c r="G69" s="332">
        <v>94864</v>
      </c>
      <c r="H69" s="333">
        <v>26.01</v>
      </c>
      <c r="I69" s="332">
        <f t="shared" si="7"/>
        <v>2939262</v>
      </c>
      <c r="J69" s="425">
        <f t="shared" si="8"/>
        <v>0.52515189008348262</v>
      </c>
    </row>
    <row r="70" spans="2:10" ht="13.5" thickBot="1" x14ac:dyDescent="0.25">
      <c r="B70" s="330" t="s">
        <v>163</v>
      </c>
      <c r="C70" s="331">
        <v>109</v>
      </c>
      <c r="D70" s="331">
        <v>161</v>
      </c>
      <c r="E70" s="332">
        <v>955941</v>
      </c>
      <c r="F70" s="332">
        <v>21566168</v>
      </c>
      <c r="G70" s="332">
        <v>198767</v>
      </c>
      <c r="H70" s="333">
        <v>22.56</v>
      </c>
      <c r="I70" s="332">
        <f t="shared" si="7"/>
        <v>14109723</v>
      </c>
      <c r="J70" s="425">
        <f t="shared" si="8"/>
        <v>0.65425267020084421</v>
      </c>
    </row>
    <row r="71" spans="2:10" ht="13.5" thickBot="1" x14ac:dyDescent="0.25">
      <c r="B71" s="330" t="s">
        <v>164</v>
      </c>
      <c r="C71" s="331">
        <v>126</v>
      </c>
      <c r="D71" s="331">
        <v>137</v>
      </c>
      <c r="E71" s="332">
        <v>1393184</v>
      </c>
      <c r="F71" s="332">
        <v>26294965</v>
      </c>
      <c r="G71" s="332">
        <v>208277</v>
      </c>
      <c r="H71" s="333">
        <v>18.87</v>
      </c>
      <c r="I71" s="332">
        <f t="shared" si="7"/>
        <v>14294196</v>
      </c>
      <c r="J71" s="425">
        <f t="shared" si="8"/>
        <v>0.54360962260265411</v>
      </c>
    </row>
    <row r="72" spans="2:10" ht="13.5" thickBot="1" x14ac:dyDescent="0.25">
      <c r="B72" s="330" t="s">
        <v>14</v>
      </c>
      <c r="C72" s="331">
        <v>135</v>
      </c>
      <c r="D72" s="331">
        <v>139</v>
      </c>
      <c r="E72" s="332">
        <v>1071481</v>
      </c>
      <c r="F72" s="332">
        <v>25615823</v>
      </c>
      <c r="G72" s="332">
        <v>189747</v>
      </c>
      <c r="H72" s="333">
        <v>23.91</v>
      </c>
      <c r="I72" s="332">
        <f t="shared" si="7"/>
        <v>14203485</v>
      </c>
      <c r="J72" s="425">
        <f t="shared" si="8"/>
        <v>0.55448091595573568</v>
      </c>
    </row>
    <row r="73" spans="2:10" ht="13.5" thickBot="1" x14ac:dyDescent="0.25">
      <c r="B73" s="330" t="s">
        <v>15</v>
      </c>
      <c r="C73" s="331">
        <v>500</v>
      </c>
      <c r="D73" s="331">
        <v>114</v>
      </c>
      <c r="E73" s="332">
        <v>2686989</v>
      </c>
      <c r="F73" s="332">
        <v>91807194</v>
      </c>
      <c r="G73" s="332">
        <v>183614</v>
      </c>
      <c r="H73" s="333">
        <v>34.17</v>
      </c>
      <c r="I73" s="332">
        <f t="shared" si="7"/>
        <v>49409000</v>
      </c>
      <c r="J73" s="425">
        <f t="shared" si="8"/>
        <v>0.53818222567612728</v>
      </c>
    </row>
    <row r="74" spans="2:10" ht="13.5" thickBot="1" x14ac:dyDescent="0.25">
      <c r="B74" s="330" t="s">
        <v>16</v>
      </c>
      <c r="C74" s="331">
        <v>459</v>
      </c>
      <c r="D74" s="331">
        <v>179</v>
      </c>
      <c r="E74" s="332">
        <v>11518057</v>
      </c>
      <c r="F74" s="332">
        <v>130080549</v>
      </c>
      <c r="G74" s="332">
        <v>283400</v>
      </c>
      <c r="H74" s="333">
        <v>11.29</v>
      </c>
      <c r="I74" s="332">
        <f t="shared" si="7"/>
        <v>73283940</v>
      </c>
      <c r="J74" s="425">
        <f t="shared" si="8"/>
        <v>0.56337354480261304</v>
      </c>
    </row>
    <row r="75" spans="2:10" ht="13.5" thickBot="1" x14ac:dyDescent="0.25">
      <c r="B75" s="330" t="s">
        <v>178</v>
      </c>
      <c r="C75" s="331">
        <v>214</v>
      </c>
      <c r="D75" s="331">
        <v>128</v>
      </c>
      <c r="E75" s="332">
        <v>4499876</v>
      </c>
      <c r="F75" s="332">
        <v>55261931</v>
      </c>
      <c r="G75" s="332">
        <v>257932</v>
      </c>
      <c r="H75" s="333">
        <v>12.28</v>
      </c>
      <c r="I75" s="332">
        <f t="shared" si="7"/>
        <v>30127562</v>
      </c>
      <c r="J75" s="425">
        <f t="shared" si="8"/>
        <v>0.54517751107901025</v>
      </c>
    </row>
    <row r="76" spans="2:10" ht="13.5" thickBot="1" x14ac:dyDescent="0.25">
      <c r="B76" s="334" t="s">
        <v>165</v>
      </c>
      <c r="C76" s="335">
        <v>300</v>
      </c>
      <c r="D76" s="335">
        <v>83</v>
      </c>
      <c r="E76" s="336">
        <v>1304177</v>
      </c>
      <c r="F76" s="336">
        <v>60493919</v>
      </c>
      <c r="G76" s="336">
        <v>201646</v>
      </c>
      <c r="H76" s="337">
        <v>46.38</v>
      </c>
      <c r="I76" s="336">
        <f t="shared" si="7"/>
        <v>38012100</v>
      </c>
      <c r="J76" s="425">
        <f t="shared" si="8"/>
        <v>0.62836233175767631</v>
      </c>
    </row>
    <row r="77" spans="2:10" ht="14.25" thickTop="1" thickBot="1" x14ac:dyDescent="0.25">
      <c r="B77" s="334" t="s">
        <v>186</v>
      </c>
      <c r="C77" s="335">
        <v>190</v>
      </c>
      <c r="D77" s="335">
        <v>83</v>
      </c>
      <c r="E77" s="336">
        <f>+D52*1000</f>
        <v>2152000</v>
      </c>
      <c r="F77" s="336">
        <f>+E52*1000000</f>
        <v>61000000</v>
      </c>
      <c r="G77" s="336">
        <f>+F77/C77</f>
        <v>321052.63157894736</v>
      </c>
      <c r="H77" s="481">
        <f>+F77/E77</f>
        <v>28.345724907063197</v>
      </c>
      <c r="I77" s="336">
        <f>+F77*J77</f>
        <v>38330102.237218253</v>
      </c>
      <c r="J77" s="425">
        <f>+J76</f>
        <v>0.62836233175767631</v>
      </c>
    </row>
    <row r="78" spans="2:10" ht="15.75" thickTop="1" x14ac:dyDescent="0.25">
      <c r="B78" s="342"/>
      <c r="D78" s="426"/>
    </row>
    <row r="79" spans="2:10" ht="13.5" thickBot="1" x14ac:dyDescent="0.25">
      <c r="B79" s="327" t="s">
        <v>1277</v>
      </c>
    </row>
    <row r="80" spans="2:10" ht="24" thickTop="1" thickBot="1" x14ac:dyDescent="0.25">
      <c r="B80" s="343" t="s">
        <v>188</v>
      </c>
      <c r="C80" s="344" t="s">
        <v>1323</v>
      </c>
      <c r="D80" s="344" t="s">
        <v>1324</v>
      </c>
      <c r="E80" s="344" t="s">
        <v>1328</v>
      </c>
      <c r="F80" s="344" t="s">
        <v>1329</v>
      </c>
      <c r="G80" s="344" t="s">
        <v>1330</v>
      </c>
      <c r="H80" s="345" t="s">
        <v>1281</v>
      </c>
    </row>
    <row r="81" spans="1:8" ht="13.5" thickBot="1" x14ac:dyDescent="0.25">
      <c r="A81">
        <v>7</v>
      </c>
      <c r="B81" s="330" t="s">
        <v>161</v>
      </c>
      <c r="C81" s="331">
        <v>17</v>
      </c>
      <c r="D81" s="331">
        <v>629</v>
      </c>
      <c r="E81" s="332">
        <v>19755</v>
      </c>
      <c r="F81" s="332">
        <v>26117</v>
      </c>
      <c r="G81" s="332">
        <v>70067</v>
      </c>
      <c r="H81" s="346">
        <v>63148</v>
      </c>
    </row>
    <row r="82" spans="1:8" ht="13.5" thickBot="1" x14ac:dyDescent="0.25">
      <c r="A82">
        <v>9</v>
      </c>
      <c r="B82" s="330" t="s">
        <v>185</v>
      </c>
      <c r="C82" s="331">
        <v>37</v>
      </c>
      <c r="D82" s="331">
        <v>699</v>
      </c>
      <c r="E82" s="332">
        <v>22712</v>
      </c>
      <c r="F82" s="332">
        <v>27421</v>
      </c>
      <c r="G82" s="332">
        <v>82871</v>
      </c>
      <c r="H82" s="346">
        <v>78564</v>
      </c>
    </row>
    <row r="83" spans="1:8" ht="13.5" thickBot="1" x14ac:dyDescent="0.25">
      <c r="A83">
        <v>10</v>
      </c>
      <c r="B83" s="330" t="s">
        <v>162</v>
      </c>
      <c r="C83" s="331">
        <v>19</v>
      </c>
      <c r="D83" s="331">
        <v>494</v>
      </c>
      <c r="E83" s="332">
        <v>16331</v>
      </c>
      <c r="F83" s="332">
        <v>16908</v>
      </c>
      <c r="G83" s="332">
        <v>53580</v>
      </c>
      <c r="H83" s="346">
        <v>49818</v>
      </c>
    </row>
    <row r="84" spans="1:8" ht="13.5" thickBot="1" x14ac:dyDescent="0.25">
      <c r="A84">
        <v>8</v>
      </c>
      <c r="B84" s="330" t="s">
        <v>163</v>
      </c>
      <c r="C84" s="331">
        <v>55</v>
      </c>
      <c r="D84" s="332">
        <v>1236</v>
      </c>
      <c r="E84" s="332">
        <v>24231</v>
      </c>
      <c r="F84" s="332">
        <v>63256</v>
      </c>
      <c r="G84" s="332">
        <v>138304</v>
      </c>
      <c r="H84" s="346">
        <v>129447</v>
      </c>
    </row>
    <row r="85" spans="1:8" ht="13.5" thickBot="1" x14ac:dyDescent="0.25">
      <c r="A85">
        <v>11</v>
      </c>
      <c r="B85" s="330" t="s">
        <v>164</v>
      </c>
      <c r="C85" s="331">
        <v>81</v>
      </c>
      <c r="D85" s="332">
        <v>1522</v>
      </c>
      <c r="E85" s="332">
        <v>21363</v>
      </c>
      <c r="F85" s="332">
        <v>56845</v>
      </c>
      <c r="G85" s="332">
        <v>122780</v>
      </c>
      <c r="H85" s="346">
        <v>113446</v>
      </c>
    </row>
    <row r="86" spans="1:8" ht="13.5" thickBot="1" x14ac:dyDescent="0.25">
      <c r="A86">
        <v>1</v>
      </c>
      <c r="B86" s="330" t="s">
        <v>14</v>
      </c>
      <c r="C86" s="331">
        <v>57</v>
      </c>
      <c r="D86" s="332">
        <v>1361</v>
      </c>
      <c r="E86" s="332">
        <v>22524</v>
      </c>
      <c r="F86" s="332">
        <v>50925</v>
      </c>
      <c r="G86" s="332">
        <v>114685</v>
      </c>
      <c r="H86" s="346">
        <v>105211</v>
      </c>
    </row>
    <row r="87" spans="1:8" ht="13.5" thickBot="1" x14ac:dyDescent="0.25">
      <c r="A87">
        <v>2</v>
      </c>
      <c r="B87" s="330" t="s">
        <v>15</v>
      </c>
      <c r="C87" s="331">
        <v>47</v>
      </c>
      <c r="D87" s="332">
        <v>1610</v>
      </c>
      <c r="E87" s="332">
        <v>19685</v>
      </c>
      <c r="F87" s="332">
        <v>45734</v>
      </c>
      <c r="G87" s="332">
        <v>103804</v>
      </c>
      <c r="H87" s="346">
        <v>98818</v>
      </c>
    </row>
    <row r="88" spans="1:8" ht="13.5" thickBot="1" x14ac:dyDescent="0.25">
      <c r="A88">
        <v>3</v>
      </c>
      <c r="B88" s="330" t="s">
        <v>16</v>
      </c>
      <c r="C88" s="331">
        <v>140</v>
      </c>
      <c r="D88" s="332">
        <v>1585</v>
      </c>
      <c r="E88" s="332">
        <v>34171</v>
      </c>
      <c r="F88" s="332">
        <v>68855</v>
      </c>
      <c r="G88" s="332">
        <v>166181</v>
      </c>
      <c r="H88" s="346">
        <v>159660</v>
      </c>
    </row>
    <row r="89" spans="1:8" ht="13.5" thickBot="1" x14ac:dyDescent="0.25">
      <c r="A89">
        <v>5</v>
      </c>
      <c r="B89" s="330" t="s">
        <v>178</v>
      </c>
      <c r="C89" s="331">
        <v>165</v>
      </c>
      <c r="D89" s="332">
        <v>2023</v>
      </c>
      <c r="E89" s="332">
        <v>31533</v>
      </c>
      <c r="F89" s="332">
        <v>63051</v>
      </c>
      <c r="G89" s="332">
        <v>146520</v>
      </c>
      <c r="H89" s="346">
        <v>140783</v>
      </c>
    </row>
    <row r="90" spans="1:8" ht="13.5" thickBot="1" x14ac:dyDescent="0.25">
      <c r="A90">
        <v>6</v>
      </c>
      <c r="B90" s="334" t="s">
        <v>165</v>
      </c>
      <c r="C90" s="335">
        <v>52</v>
      </c>
      <c r="D90" s="336">
        <v>2430</v>
      </c>
      <c r="E90" s="336">
        <v>29679</v>
      </c>
      <c r="F90" s="336">
        <v>53376</v>
      </c>
      <c r="G90" s="336">
        <v>131334</v>
      </c>
      <c r="H90" s="347">
        <v>126707</v>
      </c>
    </row>
    <row r="91" spans="1:8" ht="13.5" thickTop="1" x14ac:dyDescent="0.2">
      <c r="A91">
        <v>4</v>
      </c>
      <c r="B91" s="327" t="s">
        <v>1334</v>
      </c>
    </row>
    <row r="93" spans="1:8" ht="13.5" thickBot="1" x14ac:dyDescent="0.25"/>
    <row r="94" spans="1:8" ht="24" thickTop="1" thickBot="1" x14ac:dyDescent="0.25">
      <c r="B94" s="343" t="s">
        <v>188</v>
      </c>
      <c r="C94" s="476" t="s">
        <v>1316</v>
      </c>
      <c r="D94" s="476" t="str">
        <f>+O39</f>
        <v>Margin of intermediaries</v>
      </c>
      <c r="E94" s="476" t="s">
        <v>1296</v>
      </c>
    </row>
    <row r="95" spans="1:8" ht="13.5" thickBot="1" x14ac:dyDescent="0.25">
      <c r="A95">
        <v>7</v>
      </c>
      <c r="B95" s="349" t="s">
        <v>161</v>
      </c>
      <c r="C95" s="346">
        <v>63148</v>
      </c>
      <c r="D95" s="474">
        <f>+O42</f>
        <v>0.77822313319245762</v>
      </c>
      <c r="E95" s="474">
        <f>+G$140</f>
        <v>0.75691051025637157</v>
      </c>
    </row>
    <row r="96" spans="1:8" ht="13.5" thickBot="1" x14ac:dyDescent="0.25">
      <c r="A96">
        <v>9</v>
      </c>
      <c r="B96" s="349" t="s">
        <v>185</v>
      </c>
      <c r="C96" s="346">
        <v>78564</v>
      </c>
      <c r="D96" s="474">
        <f t="shared" ref="D96:D105" si="9">+O43</f>
        <v>0.73404171772979798</v>
      </c>
      <c r="E96" s="474">
        <f t="shared" ref="E96:E105" si="10">+G$140</f>
        <v>0.75691051025637157</v>
      </c>
    </row>
    <row r="97" spans="1:5" ht="13.5" thickBot="1" x14ac:dyDescent="0.25">
      <c r="A97">
        <v>10</v>
      </c>
      <c r="B97" s="349" t="s">
        <v>162</v>
      </c>
      <c r="C97" s="346">
        <v>49818</v>
      </c>
      <c r="D97" s="474">
        <f t="shared" si="9"/>
        <v>0.8570173150412761</v>
      </c>
      <c r="E97" s="474">
        <f t="shared" si="10"/>
        <v>0.75691051025637157</v>
      </c>
    </row>
    <row r="98" spans="1:5" ht="13.5" thickBot="1" x14ac:dyDescent="0.25">
      <c r="A98">
        <v>8</v>
      </c>
      <c r="B98" s="349" t="s">
        <v>163</v>
      </c>
      <c r="C98" s="346">
        <v>129447</v>
      </c>
      <c r="D98" s="474">
        <f t="shared" si="9"/>
        <v>0.63092176552294577</v>
      </c>
      <c r="E98" s="474">
        <f t="shared" si="10"/>
        <v>0.75691051025637157</v>
      </c>
    </row>
    <row r="99" spans="1:5" ht="13.5" thickBot="1" x14ac:dyDescent="0.25">
      <c r="A99">
        <v>11</v>
      </c>
      <c r="B99" s="349" t="s">
        <v>164</v>
      </c>
      <c r="C99" s="346">
        <v>113446</v>
      </c>
      <c r="D99" s="474">
        <f t="shared" si="9"/>
        <v>0.67851588864789569</v>
      </c>
      <c r="E99" s="474">
        <f t="shared" si="10"/>
        <v>0.75691051025637157</v>
      </c>
    </row>
    <row r="100" spans="1:5" ht="13.5" thickBot="1" x14ac:dyDescent="0.25">
      <c r="A100">
        <v>1</v>
      </c>
      <c r="B100" s="349" t="s">
        <v>14</v>
      </c>
      <c r="C100" s="346">
        <v>105211</v>
      </c>
      <c r="D100" s="474">
        <f t="shared" si="9"/>
        <v>0.63076819907825321</v>
      </c>
      <c r="E100" s="474">
        <f t="shared" si="10"/>
        <v>0.75691051025637157</v>
      </c>
    </row>
    <row r="101" spans="1:5" ht="13.5" thickBot="1" x14ac:dyDescent="0.25">
      <c r="A101">
        <v>2</v>
      </c>
      <c r="B101" s="349" t="s">
        <v>15</v>
      </c>
      <c r="C101" s="346">
        <v>98818</v>
      </c>
      <c r="D101" s="474">
        <f t="shared" si="9"/>
        <v>0.75622389416771019</v>
      </c>
      <c r="E101" s="474">
        <f t="shared" si="10"/>
        <v>0.75691051025637157</v>
      </c>
    </row>
    <row r="102" spans="1:5" ht="13.5" thickBot="1" x14ac:dyDescent="0.25">
      <c r="A102">
        <v>3</v>
      </c>
      <c r="B102" s="349" t="s">
        <v>16</v>
      </c>
      <c r="C102" s="346">
        <v>159660</v>
      </c>
      <c r="D102" s="474">
        <f t="shared" si="9"/>
        <v>0.77344884234032518</v>
      </c>
      <c r="E102" s="474">
        <f t="shared" si="10"/>
        <v>0.75691051025637157</v>
      </c>
    </row>
    <row r="103" spans="1:5" ht="13.5" thickBot="1" x14ac:dyDescent="0.25">
      <c r="A103">
        <v>5</v>
      </c>
      <c r="B103" s="349" t="s">
        <v>178</v>
      </c>
      <c r="C103" s="346">
        <v>140783</v>
      </c>
      <c r="D103" s="474">
        <f t="shared" si="9"/>
        <v>0.79277232784687834</v>
      </c>
      <c r="E103" s="474">
        <f t="shared" si="10"/>
        <v>0.75691051025637157</v>
      </c>
    </row>
    <row r="104" spans="1:5" ht="13.5" thickBot="1" x14ac:dyDescent="0.25">
      <c r="A104">
        <v>6</v>
      </c>
      <c r="B104" s="334" t="s">
        <v>165</v>
      </c>
      <c r="C104" s="347">
        <v>126707</v>
      </c>
      <c r="D104" s="475">
        <f t="shared" si="9"/>
        <v>0.67727614587419893</v>
      </c>
      <c r="E104" s="475">
        <f t="shared" si="10"/>
        <v>0.75691051025637157</v>
      </c>
    </row>
    <row r="105" spans="1:5" ht="14.25" thickTop="1" thickBot="1" x14ac:dyDescent="0.25">
      <c r="A105">
        <v>4</v>
      </c>
      <c r="B105" s="334" t="s">
        <v>186</v>
      </c>
      <c r="C105" s="347">
        <f>+(E52*1000000/C52)*J76</f>
        <v>201737.38019588555</v>
      </c>
      <c r="D105" s="475">
        <f t="shared" si="9"/>
        <v>0.64923113630204798</v>
      </c>
      <c r="E105" s="475">
        <f t="shared" si="10"/>
        <v>0.75691051025637157</v>
      </c>
    </row>
    <row r="106" spans="1:5" ht="13.5" thickTop="1" x14ac:dyDescent="0.2">
      <c r="B106" s="478" t="s">
        <v>1356</v>
      </c>
      <c r="E106" s="10"/>
    </row>
    <row r="107" spans="1:5" x14ac:dyDescent="0.2">
      <c r="B107" s="479"/>
      <c r="E107" s="10"/>
    </row>
    <row r="108" spans="1:5" x14ac:dyDescent="0.2">
      <c r="B108" t="s">
        <v>188</v>
      </c>
      <c r="C108" t="s">
        <v>1281</v>
      </c>
      <c r="D108" s="424">
        <f>+O52</f>
        <v>0.64923113630204798</v>
      </c>
    </row>
    <row r="109" spans="1:5" x14ac:dyDescent="0.2">
      <c r="A109">
        <v>1</v>
      </c>
      <c r="B109" t="s">
        <v>14</v>
      </c>
      <c r="C109" s="422">
        <v>105211</v>
      </c>
      <c r="D109" s="10">
        <f>+O47</f>
        <v>0.63076819907825321</v>
      </c>
    </row>
    <row r="110" spans="1:5" x14ac:dyDescent="0.2">
      <c r="A110">
        <v>2</v>
      </c>
      <c r="B110" t="s">
        <v>15</v>
      </c>
      <c r="C110" s="422">
        <v>98818</v>
      </c>
      <c r="D110" s="10">
        <f>+D101</f>
        <v>0.75622389416771019</v>
      </c>
    </row>
    <row r="111" spans="1:5" x14ac:dyDescent="0.2">
      <c r="A111">
        <v>3</v>
      </c>
      <c r="B111" t="s">
        <v>16</v>
      </c>
      <c r="C111" s="422">
        <v>159660</v>
      </c>
      <c r="D111" s="10">
        <f>+D102</f>
        <v>0.77344884234032518</v>
      </c>
    </row>
    <row r="112" spans="1:5" x14ac:dyDescent="0.2">
      <c r="A112">
        <v>4</v>
      </c>
      <c r="B112" t="s">
        <v>186</v>
      </c>
      <c r="C112" s="422">
        <v>94254.349763651451</v>
      </c>
      <c r="D112" s="10">
        <f>+D105</f>
        <v>0.64923113630204798</v>
      </c>
    </row>
    <row r="113" spans="1:13" x14ac:dyDescent="0.2">
      <c r="A113">
        <v>5</v>
      </c>
      <c r="B113" t="s">
        <v>178</v>
      </c>
      <c r="C113" s="422">
        <v>140783</v>
      </c>
      <c r="D113" s="10">
        <f>+D103</f>
        <v>0.79277232784687834</v>
      </c>
    </row>
    <row r="114" spans="1:13" x14ac:dyDescent="0.2">
      <c r="A114">
        <v>6</v>
      </c>
      <c r="B114" t="s">
        <v>165</v>
      </c>
      <c r="C114" s="422">
        <v>126707</v>
      </c>
      <c r="D114" s="10">
        <f>+D104</f>
        <v>0.67727614587419893</v>
      </c>
    </row>
    <row r="115" spans="1:13" x14ac:dyDescent="0.2">
      <c r="A115">
        <v>7</v>
      </c>
      <c r="B115" t="s">
        <v>161</v>
      </c>
      <c r="C115" s="422">
        <v>63148</v>
      </c>
      <c r="D115" s="10">
        <f>+D95</f>
        <v>0.77822313319245762</v>
      </c>
    </row>
    <row r="116" spans="1:13" x14ac:dyDescent="0.2">
      <c r="A116">
        <v>8</v>
      </c>
      <c r="B116" t="s">
        <v>163</v>
      </c>
      <c r="C116" s="422">
        <v>129447</v>
      </c>
      <c r="D116" s="10">
        <f>+D98</f>
        <v>0.63092176552294577</v>
      </c>
    </row>
    <row r="117" spans="1:13" x14ac:dyDescent="0.2">
      <c r="A117">
        <v>9</v>
      </c>
      <c r="B117" t="s">
        <v>185</v>
      </c>
      <c r="C117" s="422">
        <v>78564</v>
      </c>
      <c r="D117" s="10">
        <f>+D96</f>
        <v>0.73404171772979798</v>
      </c>
    </row>
    <row r="118" spans="1:13" x14ac:dyDescent="0.2">
      <c r="A118">
        <v>10</v>
      </c>
      <c r="B118" t="s">
        <v>162</v>
      </c>
      <c r="C118" s="422">
        <v>49818</v>
      </c>
      <c r="D118" s="10">
        <f>+D97</f>
        <v>0.8570173150412761</v>
      </c>
    </row>
    <row r="119" spans="1:13" x14ac:dyDescent="0.2">
      <c r="A119">
        <v>11</v>
      </c>
      <c r="B119" t="s">
        <v>164</v>
      </c>
      <c r="C119" s="422">
        <v>113446</v>
      </c>
      <c r="D119" s="10">
        <f>+D99</f>
        <v>0.67851588864789569</v>
      </c>
    </row>
    <row r="122" spans="1:13" x14ac:dyDescent="0.2">
      <c r="B122" t="s">
        <v>188</v>
      </c>
      <c r="C122" t="s">
        <v>14</v>
      </c>
      <c r="D122" t="s">
        <v>15</v>
      </c>
      <c r="E122" t="s">
        <v>16</v>
      </c>
      <c r="F122" t="s">
        <v>186</v>
      </c>
      <c r="G122" t="s">
        <v>178</v>
      </c>
      <c r="H122" t="s">
        <v>165</v>
      </c>
      <c r="I122" t="s">
        <v>161</v>
      </c>
      <c r="J122" t="s">
        <v>163</v>
      </c>
      <c r="K122" t="s">
        <v>185</v>
      </c>
      <c r="L122" t="s">
        <v>162</v>
      </c>
      <c r="M122" t="s">
        <v>164</v>
      </c>
    </row>
    <row r="123" spans="1:13" x14ac:dyDescent="0.2">
      <c r="B123" t="s">
        <v>1281</v>
      </c>
      <c r="C123" s="422">
        <v>105211</v>
      </c>
      <c r="D123" s="422">
        <v>98818</v>
      </c>
      <c r="E123" s="422">
        <v>159660</v>
      </c>
      <c r="F123" s="422">
        <v>94254.349763651451</v>
      </c>
      <c r="G123" s="422">
        <v>140783</v>
      </c>
      <c r="H123" s="422">
        <v>126707</v>
      </c>
      <c r="I123" s="422">
        <v>63148</v>
      </c>
      <c r="J123" s="422">
        <v>129447</v>
      </c>
      <c r="K123" s="422">
        <v>78564</v>
      </c>
      <c r="L123" s="422">
        <v>49818</v>
      </c>
      <c r="M123" s="422">
        <v>113446</v>
      </c>
    </row>
    <row r="126" spans="1:13" x14ac:dyDescent="0.2">
      <c r="B126" s="17" t="s">
        <v>1299</v>
      </c>
      <c r="C126" s="2"/>
    </row>
    <row r="127" spans="1:13" x14ac:dyDescent="0.2">
      <c r="C127" s="421"/>
      <c r="D127" t="s">
        <v>1343</v>
      </c>
      <c r="E127" s="421"/>
      <c r="F127" s="421"/>
      <c r="G127" s="421"/>
    </row>
    <row r="128" spans="1:13" x14ac:dyDescent="0.2">
      <c r="C128" t="s">
        <v>202</v>
      </c>
      <c r="D128" t="s">
        <v>1300</v>
      </c>
      <c r="E128" t="s">
        <v>1253</v>
      </c>
      <c r="F128" t="s">
        <v>203</v>
      </c>
      <c r="G128" s="421" t="s">
        <v>1297</v>
      </c>
    </row>
    <row r="129" spans="2:7" x14ac:dyDescent="0.2">
      <c r="B129" t="s">
        <v>1298</v>
      </c>
      <c r="G129" s="421"/>
    </row>
    <row r="130" spans="2:7" x14ac:dyDescent="0.2">
      <c r="B130" s="386" t="s">
        <v>1301</v>
      </c>
      <c r="C130" s="422">
        <f>1000*74052.1</f>
        <v>74052100</v>
      </c>
      <c r="D130" s="423">
        <f>1550908951+166946606</f>
        <v>1717855557</v>
      </c>
      <c r="E130" s="420">
        <f>+D130/8680</f>
        <v>197909.62638248847</v>
      </c>
      <c r="F130" s="415">
        <f>+D130/C130</f>
        <v>23.197931685934634</v>
      </c>
      <c r="G130" s="421">
        <f>+F130/F130</f>
        <v>1</v>
      </c>
    </row>
    <row r="131" spans="2:7" x14ac:dyDescent="0.2">
      <c r="B131" s="386" t="s">
        <v>1302</v>
      </c>
      <c r="C131" s="422">
        <f>1000*74052.1</f>
        <v>74052100</v>
      </c>
      <c r="D131" s="422">
        <v>927992103</v>
      </c>
      <c r="E131" s="420">
        <f>+D131/8680</f>
        <v>106911.53260368663</v>
      </c>
      <c r="F131" s="415">
        <f>+D131/C131</f>
        <v>12.53161089287137</v>
      </c>
      <c r="G131" s="421">
        <f>+F131/F131</f>
        <v>1</v>
      </c>
    </row>
    <row r="132" spans="2:7" x14ac:dyDescent="0.2">
      <c r="B132" s="386" t="s">
        <v>1282</v>
      </c>
      <c r="C132" s="422">
        <f>1000*74052.1</f>
        <v>74052100</v>
      </c>
      <c r="D132" s="422">
        <f>+D130-D131</f>
        <v>789863454</v>
      </c>
      <c r="E132" s="420">
        <f>+D132/8680</f>
        <v>90998.093778801849</v>
      </c>
      <c r="F132" s="415">
        <f>+D132/C132</f>
        <v>10.666320793063262</v>
      </c>
      <c r="G132" s="421">
        <f>+F132/F132</f>
        <v>1</v>
      </c>
    </row>
    <row r="133" spans="2:7" x14ac:dyDescent="0.2">
      <c r="B133" s="803" t="s">
        <v>1304</v>
      </c>
      <c r="C133" s="422"/>
    </row>
    <row r="134" spans="2:7" x14ac:dyDescent="0.2">
      <c r="B134" s="386" t="s">
        <v>1301</v>
      </c>
      <c r="C134" s="422">
        <f>1000*74052.1</f>
        <v>74052100</v>
      </c>
      <c r="D134" s="422">
        <v>494437432</v>
      </c>
      <c r="E134" s="420">
        <f>+D134/8680</f>
        <v>56962.837788018434</v>
      </c>
      <c r="F134" s="415">
        <f>+D134/C134</f>
        <v>6.6768860302408708</v>
      </c>
      <c r="G134" s="424">
        <f>+F134/F130</f>
        <v>0.28782247144426237</v>
      </c>
    </row>
    <row r="135" spans="2:7" x14ac:dyDescent="0.2">
      <c r="B135" s="386" t="s">
        <v>1302</v>
      </c>
      <c r="C135" s="422">
        <f>1000*74052.1</f>
        <v>74052100</v>
      </c>
      <c r="D135" s="422">
        <v>302429928</v>
      </c>
      <c r="E135" s="420">
        <f>+D135/8680</f>
        <v>34842.157603686639</v>
      </c>
      <c r="F135" s="415">
        <f>+D135/C135</f>
        <v>4.084015551213267</v>
      </c>
      <c r="G135" s="424">
        <f>+F135/F131</f>
        <v>0.32589709225144126</v>
      </c>
    </row>
    <row r="136" spans="2:7" x14ac:dyDescent="0.2">
      <c r="B136" s="386" t="s">
        <v>1282</v>
      </c>
      <c r="C136" s="422">
        <f>1000*74052.1</f>
        <v>74052100</v>
      </c>
      <c r="D136" s="422">
        <f>+D134-D135</f>
        <v>192007504</v>
      </c>
      <c r="E136" s="420">
        <f>+D136/8680</f>
        <v>22120.680184331799</v>
      </c>
      <c r="F136" s="415">
        <f>+D136/C136</f>
        <v>2.5928704790276034</v>
      </c>
      <c r="G136" s="424">
        <f>+F136/F132</f>
        <v>0.24308948974362851</v>
      </c>
    </row>
    <row r="137" spans="2:7" x14ac:dyDescent="0.2">
      <c r="B137" t="s">
        <v>1279</v>
      </c>
      <c r="C137" s="422"/>
    </row>
    <row r="138" spans="2:7" x14ac:dyDescent="0.2">
      <c r="B138" s="386" t="s">
        <v>1301</v>
      </c>
      <c r="C138" s="422">
        <f>1000*74052.1</f>
        <v>74052100</v>
      </c>
      <c r="D138" s="422">
        <f>+D130-D134</f>
        <v>1223418125</v>
      </c>
      <c r="E138" s="420">
        <f>+D138/8680</f>
        <v>140946.78859447004</v>
      </c>
      <c r="F138" s="415">
        <f>+D138/C138</f>
        <v>16.521045655693761</v>
      </c>
      <c r="G138" s="424">
        <f>+F138/F130</f>
        <v>0.71217752855573757</v>
      </c>
    </row>
    <row r="139" spans="2:7" x14ac:dyDescent="0.2">
      <c r="B139" s="386" t="s">
        <v>1302</v>
      </c>
      <c r="C139" s="422">
        <f>1000*74052.1</f>
        <v>74052100</v>
      </c>
      <c r="D139" s="422">
        <f>+D131-D135</f>
        <v>625562175</v>
      </c>
      <c r="E139" s="420">
        <f>+D139/8680</f>
        <v>72069.375</v>
      </c>
      <c r="F139" s="415">
        <f>+D139/C139</f>
        <v>8.4475953416581024</v>
      </c>
      <c r="G139" s="424">
        <f>+F139/F131</f>
        <v>0.67410290774855863</v>
      </c>
    </row>
    <row r="140" spans="2:7" x14ac:dyDescent="0.2">
      <c r="B140" s="386" t="s">
        <v>1282</v>
      </c>
      <c r="C140" s="422">
        <f>1000*74052.1</f>
        <v>74052100</v>
      </c>
      <c r="D140" s="422">
        <f>+D132-D136</f>
        <v>597855950</v>
      </c>
      <c r="E140" s="420">
        <f>+D140/8680</f>
        <v>68877.413594470039</v>
      </c>
      <c r="F140" s="415">
        <f>+D140/C140</f>
        <v>8.073450314035659</v>
      </c>
      <c r="G140" s="424">
        <f>+F140/F132</f>
        <v>0.75691051025637157</v>
      </c>
    </row>
    <row r="141" spans="2:7" x14ac:dyDescent="0.2">
      <c r="B141" s="480" t="s">
        <v>1344</v>
      </c>
    </row>
  </sheetData>
  <mergeCells count="48">
    <mergeCell ref="O39:O41"/>
    <mergeCell ref="K39:L39"/>
    <mergeCell ref="M39:N39"/>
    <mergeCell ref="K40:K41"/>
    <mergeCell ref="M40:M41"/>
    <mergeCell ref="N40:N41"/>
    <mergeCell ref="I65:I66"/>
    <mergeCell ref="J65:J66"/>
    <mergeCell ref="B65:B66"/>
    <mergeCell ref="C65:C66"/>
    <mergeCell ref="D65:D66"/>
    <mergeCell ref="E65:E66"/>
    <mergeCell ref="F65:F66"/>
    <mergeCell ref="H65:H66"/>
    <mergeCell ref="B55:B57"/>
    <mergeCell ref="C55:D55"/>
    <mergeCell ref="E55:F55"/>
    <mergeCell ref="G55:G57"/>
    <mergeCell ref="C56:C57"/>
    <mergeCell ref="D56:D57"/>
    <mergeCell ref="E56:E57"/>
    <mergeCell ref="F56:F57"/>
    <mergeCell ref="C39:C41"/>
    <mergeCell ref="F39:G39"/>
    <mergeCell ref="H39:I39"/>
    <mergeCell ref="J39:J41"/>
    <mergeCell ref="B40:B41"/>
    <mergeCell ref="F40:F41"/>
    <mergeCell ref="H40:H41"/>
    <mergeCell ref="I40:I41"/>
    <mergeCell ref="A1:O1"/>
    <mergeCell ref="A17:B17"/>
    <mergeCell ref="F17:H17"/>
    <mergeCell ref="D27:E27"/>
    <mergeCell ref="F27:G27"/>
    <mergeCell ref="H27:H29"/>
    <mergeCell ref="D28:D29"/>
    <mergeCell ref="F28:F29"/>
    <mergeCell ref="G28:G29"/>
    <mergeCell ref="B35:C35"/>
    <mergeCell ref="B36:C36"/>
    <mergeCell ref="B38:O38"/>
    <mergeCell ref="B30:C30"/>
    <mergeCell ref="B27:C29"/>
    <mergeCell ref="B31:C31"/>
    <mergeCell ref="B32:C32"/>
    <mergeCell ref="B33:C33"/>
    <mergeCell ref="B34:C34"/>
  </mergeCells>
  <phoneticPr fontId="4" type="noConversion"/>
  <conditionalFormatting sqref="A2">
    <cfRule type="cellIs" dxfId="1" priority="1" stopIfTrue="1" operator="equal">
      <formula>0</formula>
    </cfRule>
    <cfRule type="cellIs" dxfId="0" priority="2" stopIfTrue="1" operator="notEqual">
      <formula>0</formula>
    </cfRule>
  </conditionalFormatting>
  <pageMargins left="0.78740157499999996" right="0.78740157499999996" top="0.984251969" bottom="0.984251969"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30"/>
  <sheetViews>
    <sheetView showGridLines="0" tabSelected="1" zoomScale="94" zoomScaleNormal="94" workbookViewId="0">
      <selection activeCell="B19" sqref="B19"/>
    </sheetView>
  </sheetViews>
  <sheetFormatPr defaultColWidth="9.140625" defaultRowHeight="12.75" x14ac:dyDescent="0.2"/>
  <cols>
    <col min="1" max="1" width="5.7109375" style="65" customWidth="1"/>
    <col min="2" max="2" width="106.42578125" style="65" customWidth="1"/>
    <col min="3" max="256" width="11.42578125" style="65" customWidth="1"/>
    <col min="257" max="16384" width="9.140625" style="65"/>
  </cols>
  <sheetData>
    <row r="1" spans="2:3" x14ac:dyDescent="0.2">
      <c r="B1" s="66" t="s">
        <v>1152</v>
      </c>
    </row>
    <row r="2" spans="2:3" ht="20.25" x14ac:dyDescent="0.2">
      <c r="B2" s="110" t="s">
        <v>2</v>
      </c>
      <c r="C2" s="110"/>
    </row>
    <row r="4" spans="2:3" ht="18" x14ac:dyDescent="0.2">
      <c r="B4" s="159" t="s">
        <v>1169</v>
      </c>
    </row>
    <row r="6" spans="2:3" x14ac:dyDescent="0.2">
      <c r="B6" s="160" t="s">
        <v>1170</v>
      </c>
    </row>
    <row r="7" spans="2:3" ht="6.75" customHeight="1" x14ac:dyDescent="0.2"/>
    <row r="8" spans="2:3" ht="63.75" x14ac:dyDescent="0.2">
      <c r="B8" s="867" t="s">
        <v>1375</v>
      </c>
    </row>
    <row r="10" spans="2:3" x14ac:dyDescent="0.2">
      <c r="B10" s="160" t="s">
        <v>1171</v>
      </c>
    </row>
    <row r="11" spans="2:3" ht="38.25" x14ac:dyDescent="0.2">
      <c r="B11" s="868" t="s">
        <v>1172</v>
      </c>
    </row>
    <row r="13" spans="2:3" ht="11.25" customHeight="1" x14ac:dyDescent="0.2">
      <c r="B13" s="160" t="s">
        <v>100</v>
      </c>
    </row>
    <row r="14" spans="2:3" ht="5.25" customHeight="1" x14ac:dyDescent="0.2"/>
    <row r="15" spans="2:3" ht="10.5" customHeight="1" x14ac:dyDescent="0.2">
      <c r="B15" s="65" t="s">
        <v>101</v>
      </c>
    </row>
    <row r="16" spans="2:3" ht="51" customHeight="1" x14ac:dyDescent="0.2">
      <c r="B16" s="868" t="s">
        <v>1377</v>
      </c>
    </row>
    <row r="17" spans="2:2" x14ac:dyDescent="0.2">
      <c r="B17" s="65" t="s">
        <v>105</v>
      </c>
    </row>
    <row r="18" spans="2:2" ht="16.5" customHeight="1" x14ac:dyDescent="0.2">
      <c r="B18" s="65" t="s">
        <v>102</v>
      </c>
    </row>
    <row r="19" spans="2:2" ht="16.5" customHeight="1" x14ac:dyDescent="0.2">
      <c r="B19" s="65" t="s">
        <v>103</v>
      </c>
    </row>
    <row r="20" spans="2:2" ht="16.5" customHeight="1" x14ac:dyDescent="0.2">
      <c r="B20" s="65" t="s">
        <v>104</v>
      </c>
    </row>
    <row r="21" spans="2:2" ht="37.5" customHeight="1" x14ac:dyDescent="0.2">
      <c r="B21" s="868" t="s">
        <v>1379</v>
      </c>
    </row>
    <row r="22" spans="2:2" ht="37.5" customHeight="1" x14ac:dyDescent="0.2">
      <c r="B22" s="868" t="s">
        <v>1378</v>
      </c>
    </row>
    <row r="24" spans="2:2" x14ac:dyDescent="0.2">
      <c r="B24" s="160" t="s">
        <v>106</v>
      </c>
    </row>
    <row r="25" spans="2:2" ht="6.75" customHeight="1" x14ac:dyDescent="0.2"/>
    <row r="26" spans="2:2" ht="76.5" x14ac:dyDescent="0.2">
      <c r="B26" s="868" t="s">
        <v>1376</v>
      </c>
    </row>
    <row r="27" spans="2:2" ht="51" x14ac:dyDescent="0.2">
      <c r="B27" s="65" t="s">
        <v>116</v>
      </c>
    </row>
    <row r="30" spans="2:2" x14ac:dyDescent="0.2">
      <c r="B30" s="66" t="s">
        <v>67</v>
      </c>
    </row>
  </sheetData>
  <phoneticPr fontId="4" type="noConversion"/>
  <pageMargins left="0.78740157499999996" right="0.78740157499999996" top="0.984251969" bottom="0.984251969"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2:J74"/>
  <sheetViews>
    <sheetView showGridLines="0" topLeftCell="B1" zoomScale="90" workbookViewId="0">
      <selection activeCell="G5" sqref="G5"/>
    </sheetView>
  </sheetViews>
  <sheetFormatPr defaultRowHeight="12.75" x14ac:dyDescent="0.2"/>
  <cols>
    <col min="1" max="1" width="5.7109375" customWidth="1"/>
    <col min="2" max="2" width="16.28515625" customWidth="1"/>
    <col min="3" max="3" width="67" customWidth="1"/>
    <col min="4" max="4" width="17.140625" customWidth="1"/>
    <col min="5" max="5" width="15" customWidth="1"/>
    <col min="6" max="6" width="16.42578125" customWidth="1"/>
    <col min="7" max="7" width="17.140625" customWidth="1"/>
    <col min="8" max="8" width="8.42578125" customWidth="1"/>
    <col min="9" max="9" width="20.7109375" customWidth="1"/>
    <col min="10" max="256" width="11.42578125" customWidth="1"/>
  </cols>
  <sheetData>
    <row r="2" spans="2:10" ht="20.25" x14ac:dyDescent="0.2">
      <c r="B2" s="908" t="s">
        <v>2</v>
      </c>
      <c r="C2" s="908"/>
      <c r="G2" s="67"/>
    </row>
    <row r="4" spans="2:10" ht="18" x14ac:dyDescent="0.25">
      <c r="B4" s="68" t="s">
        <v>83</v>
      </c>
      <c r="G4" s="69" t="s">
        <v>1152</v>
      </c>
    </row>
    <row r="5" spans="2:10" ht="12.75" customHeight="1" x14ac:dyDescent="0.25">
      <c r="C5" s="70"/>
    </row>
    <row r="6" spans="2:10" ht="39.75" customHeight="1" x14ac:dyDescent="0.2">
      <c r="B6" s="909" t="s">
        <v>98</v>
      </c>
      <c r="C6" s="909"/>
      <c r="D6" s="909"/>
      <c r="E6" s="909"/>
      <c r="F6" s="909"/>
      <c r="G6" s="909"/>
    </row>
    <row r="8" spans="2:10" s="70" customFormat="1" ht="15.75" x14ac:dyDescent="0.25">
      <c r="B8" s="910" t="s">
        <v>84</v>
      </c>
      <c r="C8" s="912" t="s">
        <v>85</v>
      </c>
      <c r="D8" s="914" t="s">
        <v>86</v>
      </c>
      <c r="E8" s="915"/>
      <c r="F8" s="915"/>
      <c r="G8" s="916"/>
    </row>
    <row r="9" spans="2:10" s="70" customFormat="1" ht="39" thickBot="1" x14ac:dyDescent="0.3">
      <c r="B9" s="911"/>
      <c r="C9" s="913"/>
      <c r="D9" s="71" t="s">
        <v>87</v>
      </c>
      <c r="E9" s="72" t="s">
        <v>88</v>
      </c>
      <c r="F9" s="73" t="s">
        <v>89</v>
      </c>
      <c r="G9" s="72" t="s">
        <v>90</v>
      </c>
      <c r="I9" s="74" t="s">
        <v>91</v>
      </c>
      <c r="J9" s="17"/>
    </row>
    <row r="10" spans="2:10" ht="35.1" customHeight="1" x14ac:dyDescent="0.2">
      <c r="B10" s="75" t="s">
        <v>99</v>
      </c>
      <c r="C10" s="76" t="s">
        <v>92</v>
      </c>
      <c r="D10" s="77">
        <v>1</v>
      </c>
      <c r="E10" s="78">
        <v>1</v>
      </c>
      <c r="F10" s="79" t="s">
        <v>93</v>
      </c>
      <c r="G10" s="80">
        <f>D10</f>
        <v>1</v>
      </c>
      <c r="I10" s="81" t="str">
        <f>IF(D10=E10,IF(D11=E11,"Y","N"),"N")</f>
        <v>Y</v>
      </c>
    </row>
    <row r="11" spans="2:10" ht="35.1" customHeight="1" x14ac:dyDescent="0.2">
      <c r="B11" s="82" t="s">
        <v>99</v>
      </c>
      <c r="C11" s="83" t="s">
        <v>94</v>
      </c>
      <c r="D11" s="84">
        <v>1</v>
      </c>
      <c r="E11" s="85">
        <v>1</v>
      </c>
      <c r="F11" s="86" t="s">
        <v>93</v>
      </c>
      <c r="G11" s="87">
        <f>D11</f>
        <v>1</v>
      </c>
      <c r="I11" s="88" t="str">
        <f>IF(D13=E13,IF(D14=E14,IF(D15=E15,IF(D20=E20,"Y","N"),"N"),"N"),"N")</f>
        <v>Y</v>
      </c>
    </row>
    <row r="12" spans="2:10" ht="14.25" customHeight="1" x14ac:dyDescent="0.2">
      <c r="B12" s="89"/>
      <c r="C12" s="89"/>
      <c r="D12" s="89"/>
      <c r="E12" s="89"/>
      <c r="F12" s="89"/>
      <c r="G12" s="90"/>
      <c r="I12" s="91"/>
    </row>
    <row r="13" spans="2:10" ht="35.1" customHeight="1" x14ac:dyDescent="0.2">
      <c r="B13" s="92" t="s">
        <v>95</v>
      </c>
      <c r="C13" s="148" t="s">
        <v>217</v>
      </c>
      <c r="D13" s="151">
        <f>+Assumptions!Q7</f>
        <v>0.02</v>
      </c>
      <c r="E13" s="155">
        <f>+Assumptions!Q7</f>
        <v>0.02</v>
      </c>
      <c r="F13" s="153" t="s">
        <v>225</v>
      </c>
      <c r="G13" s="93">
        <f t="shared" ref="G13:G18" si="0">IF($I$10="Y",D13,E13)</f>
        <v>0.02</v>
      </c>
      <c r="H13" s="906"/>
      <c r="I13" s="95" t="s">
        <v>96</v>
      </c>
    </row>
    <row r="14" spans="2:10" ht="35.1" customHeight="1" x14ac:dyDescent="0.2">
      <c r="B14" s="96" t="s">
        <v>95</v>
      </c>
      <c r="C14" s="149" t="s">
        <v>6</v>
      </c>
      <c r="D14" s="152">
        <f>+Assumptions!Q5</f>
        <v>0.05</v>
      </c>
      <c r="E14" s="157">
        <f>+Assumptions!Q5</f>
        <v>0.05</v>
      </c>
      <c r="F14" s="154" t="s">
        <v>9</v>
      </c>
      <c r="G14" s="97">
        <f t="shared" si="0"/>
        <v>0.05</v>
      </c>
      <c r="H14" s="906"/>
      <c r="I14" s="98" t="s">
        <v>0</v>
      </c>
    </row>
    <row r="15" spans="2:10" ht="35.1" customHeight="1" x14ac:dyDescent="0.2">
      <c r="B15" s="96" t="s">
        <v>95</v>
      </c>
      <c r="C15" s="149" t="s">
        <v>7</v>
      </c>
      <c r="D15" s="144">
        <f>+Assumptions!Q11</f>
        <v>0</v>
      </c>
      <c r="E15" s="156">
        <f>+Assumptions!Q11</f>
        <v>0</v>
      </c>
      <c r="F15" s="145" t="s">
        <v>229</v>
      </c>
      <c r="G15" s="97">
        <f t="shared" si="0"/>
        <v>0</v>
      </c>
      <c r="H15" s="906"/>
      <c r="I15" s="99" t="s">
        <v>1</v>
      </c>
    </row>
    <row r="16" spans="2:10" ht="35.1" customHeight="1" x14ac:dyDescent="0.2">
      <c r="B16" s="96" t="s">
        <v>95</v>
      </c>
      <c r="C16" s="497" t="s">
        <v>228</v>
      </c>
      <c r="D16" s="144">
        <f>+Assumptions!Q8</f>
        <v>0</v>
      </c>
      <c r="E16" s="156">
        <f>+Assumptions!Q8</f>
        <v>0</v>
      </c>
      <c r="F16" s="145" t="s">
        <v>231</v>
      </c>
      <c r="G16" s="97">
        <f t="shared" si="0"/>
        <v>0</v>
      </c>
      <c r="H16" s="906"/>
      <c r="I16" s="498"/>
    </row>
    <row r="17" spans="2:9" ht="35.1" customHeight="1" x14ac:dyDescent="0.2">
      <c r="B17" s="96" t="s">
        <v>95</v>
      </c>
      <c r="C17" s="497" t="s">
        <v>227</v>
      </c>
      <c r="D17" s="144">
        <f>+Assumptions!Q9</f>
        <v>0</v>
      </c>
      <c r="E17" s="156">
        <f>+Assumptions!Q9</f>
        <v>0</v>
      </c>
      <c r="F17" s="145" t="s">
        <v>232</v>
      </c>
      <c r="G17" s="97">
        <f t="shared" si="0"/>
        <v>0</v>
      </c>
      <c r="H17" s="906"/>
      <c r="I17" s="102"/>
    </row>
    <row r="18" spans="2:9" ht="35.1" customHeight="1" x14ac:dyDescent="0.2">
      <c r="B18" s="551" t="s">
        <v>95</v>
      </c>
      <c r="C18" s="497" t="s">
        <v>241</v>
      </c>
      <c r="D18" s="144">
        <f>+Assumptions!Q13</f>
        <v>0</v>
      </c>
      <c r="E18" s="156">
        <v>0</v>
      </c>
      <c r="F18" s="145" t="s">
        <v>242</v>
      </c>
      <c r="G18" s="97">
        <f t="shared" si="0"/>
        <v>0</v>
      </c>
      <c r="H18" s="94"/>
      <c r="I18" s="102"/>
    </row>
    <row r="19" spans="2:9" ht="35.1" customHeight="1" x14ac:dyDescent="0.2">
      <c r="B19" s="96" t="s">
        <v>95</v>
      </c>
      <c r="C19" s="497" t="s">
        <v>233</v>
      </c>
      <c r="D19" s="144">
        <v>0.02</v>
      </c>
      <c r="E19" s="156">
        <v>0.02</v>
      </c>
      <c r="F19" s="145"/>
      <c r="G19" s="97"/>
      <c r="H19" s="94"/>
      <c r="I19" s="102"/>
    </row>
    <row r="20" spans="2:9" x14ac:dyDescent="0.2">
      <c r="B20" s="100" t="s">
        <v>95</v>
      </c>
      <c r="C20" s="150" t="s">
        <v>8</v>
      </c>
      <c r="D20" s="146">
        <f>+Assumptions!Q6</f>
        <v>0.05</v>
      </c>
      <c r="E20" s="158">
        <f>+Assumptions!Q6</f>
        <v>0.05</v>
      </c>
      <c r="F20" s="147" t="s">
        <v>230</v>
      </c>
      <c r="G20" s="101">
        <f>IF($I$10="Y",D20,E20)</f>
        <v>0.05</v>
      </c>
      <c r="H20" s="94"/>
      <c r="I20" s="102"/>
    </row>
    <row r="21" spans="2:9" ht="39" customHeight="1" x14ac:dyDescent="0.2">
      <c r="D21" s="103"/>
      <c r="E21" s="103"/>
      <c r="F21" s="103"/>
      <c r="G21" s="103"/>
    </row>
    <row r="22" spans="2:9" x14ac:dyDescent="0.2">
      <c r="B22" s="907">
        <f>IF(I10="N",IF(I11="N","Reminder: Please reset all summary parameters to original values before changing specific parameters.  Specific parameters will only be used in ERR computation when all summary parameters are set to initial values",0),0)</f>
        <v>0</v>
      </c>
      <c r="C22" s="907"/>
      <c r="D22" s="907"/>
      <c r="E22" s="907"/>
      <c r="F22" s="907"/>
      <c r="G22" s="907"/>
    </row>
    <row r="23" spans="2:9" ht="18.75" customHeight="1" x14ac:dyDescent="0.2">
      <c r="B23" s="104"/>
      <c r="C23" s="104"/>
      <c r="D23" s="104"/>
      <c r="E23" s="104"/>
      <c r="F23" s="104"/>
    </row>
    <row r="24" spans="2:9" ht="12.75" customHeight="1" x14ac:dyDescent="0.2">
      <c r="C24" s="105" t="s">
        <v>97</v>
      </c>
      <c r="D24" s="493">
        <f>ERR!B112</f>
        <v>0.16600313689511004</v>
      </c>
      <c r="E24" s="106"/>
    </row>
    <row r="25" spans="2:9" ht="12.75" customHeight="1" x14ac:dyDescent="0.2">
      <c r="C25" s="107"/>
      <c r="D25" s="106"/>
      <c r="E25" s="106"/>
    </row>
    <row r="26" spans="2:9" ht="12.75" customHeight="1" x14ac:dyDescent="0.2">
      <c r="C26" s="107" t="s">
        <v>237</v>
      </c>
      <c r="D26" s="108">
        <v>0.18279999999999999</v>
      </c>
      <c r="E26" s="109"/>
    </row>
    <row r="29" spans="2:9" ht="13.5" customHeight="1" x14ac:dyDescent="0.2"/>
    <row r="31" spans="2:9" x14ac:dyDescent="0.2">
      <c r="G31" s="496"/>
    </row>
    <row r="58" spans="3:10" ht="16.5" thickBot="1" x14ac:dyDescent="0.3">
      <c r="C58" s="902" t="s">
        <v>234</v>
      </c>
      <c r="D58" s="902"/>
      <c r="E58" s="902"/>
      <c r="F58" s="902"/>
      <c r="G58" s="902"/>
      <c r="H58" s="902"/>
      <c r="I58" s="902"/>
    </row>
    <row r="59" spans="3:10" ht="18.75" customHeight="1" x14ac:dyDescent="0.2">
      <c r="C59" s="297"/>
      <c r="D59" s="511"/>
      <c r="E59" s="903" t="s">
        <v>236</v>
      </c>
      <c r="F59" s="904"/>
      <c r="G59" s="904"/>
      <c r="H59" s="904"/>
      <c r="I59" s="905"/>
    </row>
    <row r="60" spans="3:10" x14ac:dyDescent="0.2">
      <c r="C60" s="51"/>
      <c r="D60" s="512"/>
      <c r="E60" s="518">
        <v>-0.02</v>
      </c>
      <c r="F60" s="519">
        <v>-0.01</v>
      </c>
      <c r="G60" s="520" t="s">
        <v>235</v>
      </c>
      <c r="H60" s="519">
        <v>0.01</v>
      </c>
      <c r="I60" s="521">
        <v>0.02</v>
      </c>
    </row>
    <row r="61" spans="3:10" x14ac:dyDescent="0.2">
      <c r="C61" s="900" t="s">
        <v>6</v>
      </c>
      <c r="D61" s="513" t="s">
        <v>107</v>
      </c>
      <c r="E61" s="506">
        <v>0.17214124641965634</v>
      </c>
      <c r="F61" s="506">
        <v>0.17873360937091909</v>
      </c>
      <c r="G61" s="522">
        <v>0.18480067013828366</v>
      </c>
      <c r="H61" s="507">
        <v>0.1925227108350587</v>
      </c>
      <c r="I61" s="510">
        <v>0.19915472238997792</v>
      </c>
      <c r="J61" s="7"/>
    </row>
    <row r="62" spans="3:10" x14ac:dyDescent="0.2">
      <c r="C62" s="901"/>
      <c r="D62" s="514" t="s">
        <v>226</v>
      </c>
      <c r="E62" s="504">
        <f>+E61-F61</f>
        <v>-6.5923629512627535E-3</v>
      </c>
      <c r="F62" s="504">
        <f>+F61-G61</f>
        <v>-6.0670607673645738E-3</v>
      </c>
      <c r="G62" s="523"/>
      <c r="H62" s="504">
        <f>+H61-G61</f>
        <v>7.7220406967750399E-3</v>
      </c>
      <c r="I62" s="505">
        <f>+I61-H61</f>
        <v>6.6320115549192149E-3</v>
      </c>
      <c r="J62" s="7"/>
    </row>
    <row r="63" spans="3:10" x14ac:dyDescent="0.2">
      <c r="C63" s="900" t="s">
        <v>8</v>
      </c>
      <c r="D63" s="513" t="s">
        <v>107</v>
      </c>
      <c r="E63" s="506">
        <v>0.15805927647071807</v>
      </c>
      <c r="F63" s="506">
        <v>0.17175878038151823</v>
      </c>
      <c r="G63" s="522">
        <v>0.18480067013828366</v>
      </c>
      <c r="H63" s="507">
        <v>0.19939713999203923</v>
      </c>
      <c r="I63" s="508">
        <v>0.21280817932839827</v>
      </c>
      <c r="J63" s="7"/>
    </row>
    <row r="64" spans="3:10" x14ac:dyDescent="0.2">
      <c r="C64" s="901"/>
      <c r="D64" s="514" t="s">
        <v>226</v>
      </c>
      <c r="E64" s="504">
        <f>+E63-F63</f>
        <v>-1.3699503910800159E-2</v>
      </c>
      <c r="F64" s="504">
        <f>+F63-G63</f>
        <v>-1.3041889756765429E-2</v>
      </c>
      <c r="G64" s="523"/>
      <c r="H64" s="504">
        <f>+H63-G63</f>
        <v>1.4596469853755567E-2</v>
      </c>
      <c r="I64" s="505">
        <f>+I63-H63</f>
        <v>1.3411039336359037E-2</v>
      </c>
      <c r="J64" s="7"/>
    </row>
    <row r="65" spans="3:10" x14ac:dyDescent="0.2">
      <c r="C65" s="900" t="s">
        <v>217</v>
      </c>
      <c r="D65" s="515" t="s">
        <v>107</v>
      </c>
      <c r="E65" s="499">
        <v>8.7028784802678311E-2</v>
      </c>
      <c r="F65" s="499">
        <v>0.13671536167188983</v>
      </c>
      <c r="G65" s="524">
        <v>0.18480067013828366</v>
      </c>
      <c r="H65" s="500">
        <v>0.23452709855947576</v>
      </c>
      <c r="I65" s="501">
        <v>0.28347532112944196</v>
      </c>
      <c r="J65" s="7"/>
    </row>
    <row r="66" spans="3:10" x14ac:dyDescent="0.2">
      <c r="C66" s="901"/>
      <c r="D66" s="516" t="s">
        <v>226</v>
      </c>
      <c r="E66" s="500">
        <f>+E65-F65</f>
        <v>-4.9686576869211518E-2</v>
      </c>
      <c r="F66" s="500">
        <f>+F65-G65</f>
        <v>-4.8085308466393833E-2</v>
      </c>
      <c r="G66" s="525"/>
      <c r="H66" s="500">
        <f>+H65-G65</f>
        <v>4.9726428421192098E-2</v>
      </c>
      <c r="I66" s="501">
        <f>+I65-H65</f>
        <v>4.8948222569966199E-2</v>
      </c>
      <c r="J66" s="7"/>
    </row>
    <row r="67" spans="3:10" x14ac:dyDescent="0.2">
      <c r="C67" s="900" t="s">
        <v>228</v>
      </c>
      <c r="D67" s="513" t="s">
        <v>107</v>
      </c>
      <c r="E67" s="506">
        <v>6.859947110783382E-2</v>
      </c>
      <c r="F67" s="506">
        <v>0.13650500060509951</v>
      </c>
      <c r="G67" s="522">
        <v>0.18480067013828366</v>
      </c>
      <c r="H67" s="507">
        <v>0.23480229264071908</v>
      </c>
      <c r="I67" s="508">
        <v>0.28408314030603155</v>
      </c>
      <c r="J67" s="7"/>
    </row>
    <row r="68" spans="3:10" x14ac:dyDescent="0.2">
      <c r="C68" s="901"/>
      <c r="D68" s="514" t="s">
        <v>226</v>
      </c>
      <c r="E68" s="504">
        <f>+E67-F67</f>
        <v>-6.7905529497265693E-2</v>
      </c>
      <c r="F68" s="504">
        <f>+F67-G67</f>
        <v>-4.8295669533184149E-2</v>
      </c>
      <c r="G68" s="526"/>
      <c r="H68" s="504">
        <f>+H67-G67</f>
        <v>5.0001622502435422E-2</v>
      </c>
      <c r="I68" s="505">
        <f>+I67-H67</f>
        <v>4.9280847665312461E-2</v>
      </c>
      <c r="J68" s="7"/>
    </row>
    <row r="69" spans="3:10" x14ac:dyDescent="0.2">
      <c r="C69" s="900" t="s">
        <v>227</v>
      </c>
      <c r="D69" s="515" t="s">
        <v>107</v>
      </c>
      <c r="E69" s="499">
        <v>0.22934128516540886</v>
      </c>
      <c r="F69" s="499">
        <v>0.24830317712728342</v>
      </c>
      <c r="G69" s="524">
        <v>0.18480067013828366</v>
      </c>
      <c r="H69" s="500">
        <v>0.20837743392276087</v>
      </c>
      <c r="I69" s="501">
        <v>0.22843878462215855</v>
      </c>
      <c r="J69" s="7"/>
    </row>
    <row r="70" spans="3:10" x14ac:dyDescent="0.2">
      <c r="C70" s="901"/>
      <c r="D70" s="516" t="s">
        <v>226</v>
      </c>
      <c r="E70" s="500">
        <f>+E69-F69</f>
        <v>-1.8961891961874561E-2</v>
      </c>
      <c r="F70" s="500">
        <f>+F69-G69</f>
        <v>6.3502506988999757E-2</v>
      </c>
      <c r="G70" s="525"/>
      <c r="H70" s="500">
        <f>+H69-G69</f>
        <v>2.3576763784477206E-2</v>
      </c>
      <c r="I70" s="501">
        <f>+I69-H69</f>
        <v>2.0061350699397684E-2</v>
      </c>
      <c r="J70" s="7"/>
    </row>
    <row r="71" spans="3:10" x14ac:dyDescent="0.2">
      <c r="C71" s="900" t="s">
        <v>7</v>
      </c>
      <c r="D71" s="513" t="s">
        <v>107</v>
      </c>
      <c r="E71" s="506">
        <v>0.15590518000427259</v>
      </c>
      <c r="F71" s="506">
        <v>0.17067504351096041</v>
      </c>
      <c r="G71" s="522">
        <v>0.18480067013828366</v>
      </c>
      <c r="H71" s="507">
        <v>0.2004630569628402</v>
      </c>
      <c r="I71" s="509">
        <v>0.21492851234275323</v>
      </c>
      <c r="J71" s="7"/>
    </row>
    <row r="72" spans="3:10" x14ac:dyDescent="0.2">
      <c r="C72" s="901"/>
      <c r="D72" s="514" t="s">
        <v>226</v>
      </c>
      <c r="E72" s="504">
        <f>+E71-F71</f>
        <v>-1.4769863506687825E-2</v>
      </c>
      <c r="F72" s="504">
        <f>+F71-G71</f>
        <v>-1.4125626627323251E-2</v>
      </c>
      <c r="G72" s="526"/>
      <c r="H72" s="504">
        <f>+H71-G71</f>
        <v>1.5662386824556535E-2</v>
      </c>
      <c r="I72" s="505">
        <f>+I71-H71</f>
        <v>1.4465455379913034E-2</v>
      </c>
      <c r="J72" s="7"/>
    </row>
    <row r="73" spans="3:10" ht="13.5" customHeight="1" x14ac:dyDescent="0.2">
      <c r="C73" s="898" t="s">
        <v>233</v>
      </c>
      <c r="D73" s="515" t="s">
        <v>107</v>
      </c>
      <c r="E73" s="500">
        <v>0.185888784443204</v>
      </c>
      <c r="F73" s="500">
        <v>0.18533320841116077</v>
      </c>
      <c r="G73" s="524">
        <v>0.18480067013828366</v>
      </c>
      <c r="H73" s="500">
        <v>0.18427065333674869</v>
      </c>
      <c r="I73" s="501">
        <v>0.1837500074892531</v>
      </c>
      <c r="J73" s="7"/>
    </row>
    <row r="74" spans="3:10" ht="13.5" thickBot="1" x14ac:dyDescent="0.25">
      <c r="C74" s="899"/>
      <c r="D74" s="517" t="s">
        <v>226</v>
      </c>
      <c r="E74" s="502">
        <f>+E73-F73</f>
        <v>5.5557603204323125E-4</v>
      </c>
      <c r="F74" s="502">
        <f>+F73-G73</f>
        <v>5.3253827287710886E-4</v>
      </c>
      <c r="G74" s="502"/>
      <c r="H74" s="502">
        <f>+H73-G73</f>
        <v>-5.3001680153497155E-4</v>
      </c>
      <c r="I74" s="503">
        <f>+I73-H73</f>
        <v>-5.2064584749558773E-4</v>
      </c>
      <c r="J74" s="7"/>
    </row>
  </sheetData>
  <mergeCells count="16">
    <mergeCell ref="B2:C2"/>
    <mergeCell ref="B6:G6"/>
    <mergeCell ref="B8:B9"/>
    <mergeCell ref="C8:C9"/>
    <mergeCell ref="D8:G8"/>
    <mergeCell ref="C63:C64"/>
    <mergeCell ref="C61:C62"/>
    <mergeCell ref="C58:I58"/>
    <mergeCell ref="E59:I59"/>
    <mergeCell ref="H13:H17"/>
    <mergeCell ref="B22:G22"/>
    <mergeCell ref="C73:C74"/>
    <mergeCell ref="C71:C72"/>
    <mergeCell ref="C69:C70"/>
    <mergeCell ref="C67:C68"/>
    <mergeCell ref="C65:C66"/>
  </mergeCells>
  <phoneticPr fontId="4" type="noConversion"/>
  <conditionalFormatting sqref="B22:B23 B12">
    <cfRule type="cellIs" dxfId="19" priority="1" stopIfTrue="1" operator="equal">
      <formula>0</formula>
    </cfRule>
    <cfRule type="cellIs" dxfId="18" priority="2" stopIfTrue="1" operator="notEqual">
      <formula>0</formula>
    </cfRule>
  </conditionalFormatting>
  <hyperlinks>
    <hyperlink ref="I14" location="'Activity Description'!A1" display="  Activity Description"/>
    <hyperlink ref="I15" location="'User''s Guide'!A1" display="   User's Guide"/>
  </hyperlinks>
  <pageMargins left="0.78740157499999996" right="0.78740157499999996" top="0.984251969" bottom="0.984251969"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Reset1">
                <anchor moveWithCells="1" sizeWithCells="1">
                  <from>
                    <xdr:col>8</xdr:col>
                    <xdr:colOff>0</xdr:colOff>
                    <xdr:row>5</xdr:row>
                    <xdr:rowOff>0</xdr:rowOff>
                  </from>
                  <to>
                    <xdr:col>8</xdr:col>
                    <xdr:colOff>1371600</xdr:colOff>
                    <xdr:row>6</xdr:row>
                    <xdr:rowOff>95250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workbookViewId="0">
      <selection activeCell="C13" sqref="C13:G13"/>
    </sheetView>
  </sheetViews>
  <sheetFormatPr defaultRowHeight="12.75" x14ac:dyDescent="0.2"/>
  <cols>
    <col min="1" max="1" width="11.42578125" customWidth="1"/>
    <col min="2" max="2" width="45.85546875" customWidth="1"/>
    <col min="3" max="3" width="13.5703125" customWidth="1"/>
    <col min="4" max="4" width="14.7109375" bestFit="1" customWidth="1"/>
    <col min="5" max="5" width="16" bestFit="1" customWidth="1"/>
    <col min="6" max="6" width="14.7109375" bestFit="1" customWidth="1"/>
    <col min="7" max="7" width="18.5703125" bestFit="1" customWidth="1"/>
    <col min="8" max="8" width="14.7109375" bestFit="1" customWidth="1"/>
    <col min="9" max="9" width="13.140625" bestFit="1" customWidth="1"/>
    <col min="10" max="10" width="14.140625" customWidth="1"/>
    <col min="11" max="12" width="12.85546875" customWidth="1"/>
    <col min="13" max="13" width="13.85546875" customWidth="1"/>
    <col min="14" max="14" width="14.7109375" customWidth="1"/>
    <col min="15" max="21" width="11.42578125" customWidth="1"/>
    <col min="22" max="22" width="16" bestFit="1" customWidth="1"/>
  </cols>
  <sheetData>
    <row r="1" spans="1:22" x14ac:dyDescent="0.2">
      <c r="A1" s="869"/>
      <c r="B1" s="870">
        <f>IF('[1]ERR &amp; Sensitivity Analysis'!$I$10="N","Note: Current calculations are based on user input and are not the original MCC estimates.",IF('[1]ERR &amp; Sensitivity Analysis'!$J$14="N","Note: Current calculations are based on user input and are not the original MCC estimates.",0))</f>
        <v>0</v>
      </c>
      <c r="C1" s="869"/>
      <c r="D1" s="869"/>
      <c r="E1" s="869"/>
      <c r="F1" s="869"/>
      <c r="G1" s="871" t="s">
        <v>1173</v>
      </c>
      <c r="H1" s="869"/>
      <c r="I1" s="869"/>
      <c r="J1" s="869"/>
      <c r="K1" s="869"/>
      <c r="L1" s="869"/>
      <c r="M1" s="869"/>
      <c r="N1" s="869"/>
      <c r="O1" s="869"/>
      <c r="P1" s="869"/>
      <c r="Q1" s="869"/>
      <c r="R1" s="869"/>
      <c r="S1" s="869"/>
      <c r="T1" s="869"/>
      <c r="U1" s="869"/>
      <c r="V1" s="869"/>
    </row>
    <row r="2" spans="1:22" x14ac:dyDescent="0.2">
      <c r="A2" s="917" t="s">
        <v>2</v>
      </c>
      <c r="B2" s="918"/>
      <c r="C2" s="917"/>
      <c r="D2" s="918"/>
      <c r="E2" s="869"/>
      <c r="F2" s="869"/>
      <c r="G2" s="869"/>
      <c r="H2" s="869"/>
      <c r="I2" s="869"/>
      <c r="J2" s="869"/>
      <c r="K2" s="869"/>
      <c r="L2" s="869"/>
      <c r="M2" s="869"/>
      <c r="N2" s="869"/>
      <c r="O2" s="869"/>
      <c r="P2" s="869"/>
      <c r="Q2" s="869"/>
      <c r="R2" s="869"/>
      <c r="S2" s="869"/>
      <c r="T2" s="869"/>
      <c r="U2" s="869"/>
      <c r="V2" s="869"/>
    </row>
    <row r="3" spans="1:22" x14ac:dyDescent="0.2">
      <c r="A3" s="917"/>
      <c r="B3" s="918"/>
      <c r="C3" s="917"/>
      <c r="D3" s="918"/>
      <c r="E3" s="872"/>
      <c r="F3" s="872"/>
      <c r="G3" s="872"/>
      <c r="H3" s="872"/>
      <c r="I3" s="872"/>
      <c r="J3" s="872"/>
      <c r="K3" s="872"/>
      <c r="L3" s="872"/>
      <c r="M3" s="872"/>
      <c r="N3" s="872"/>
      <c r="O3" s="872"/>
      <c r="P3" s="872"/>
      <c r="Q3" s="872"/>
      <c r="R3" s="872"/>
      <c r="S3" s="872"/>
      <c r="T3" s="872"/>
      <c r="U3" s="872"/>
      <c r="V3" s="872"/>
    </row>
    <row r="4" spans="1:22" x14ac:dyDescent="0.2">
      <c r="A4" s="917"/>
      <c r="B4" s="918"/>
      <c r="C4" s="917"/>
      <c r="D4" s="918"/>
      <c r="E4" s="872"/>
      <c r="F4" s="872"/>
      <c r="G4" s="872"/>
      <c r="H4" s="872"/>
      <c r="I4" s="872"/>
      <c r="J4" s="872"/>
      <c r="K4" s="872"/>
      <c r="L4" s="872"/>
      <c r="M4" s="872"/>
      <c r="N4" s="872"/>
      <c r="O4" s="872"/>
      <c r="P4" s="872"/>
      <c r="Q4" s="872"/>
      <c r="R4" s="872"/>
      <c r="S4" s="872"/>
      <c r="T4" s="872"/>
      <c r="U4" s="872"/>
      <c r="V4" s="872"/>
    </row>
    <row r="5" spans="1:22" x14ac:dyDescent="0.2">
      <c r="A5" s="917"/>
      <c r="B5" s="918"/>
      <c r="C5" s="917"/>
      <c r="D5" s="918"/>
      <c r="E5" s="872"/>
      <c r="F5" s="872"/>
      <c r="G5" s="872"/>
      <c r="H5" s="872"/>
      <c r="I5" s="872"/>
      <c r="J5" s="872"/>
      <c r="K5" s="872"/>
      <c r="L5" s="872"/>
      <c r="M5" s="872"/>
      <c r="N5" s="872"/>
      <c r="O5" s="872"/>
      <c r="P5" s="872"/>
      <c r="Q5" s="872"/>
      <c r="R5" s="872"/>
      <c r="S5" s="872"/>
      <c r="T5" s="872"/>
      <c r="U5" s="872"/>
      <c r="V5" s="872"/>
    </row>
    <row r="6" spans="1:22" ht="13.5" thickBot="1" x14ac:dyDescent="0.25">
      <c r="A6" s="919"/>
      <c r="B6" s="920"/>
      <c r="C6" s="919"/>
      <c r="D6" s="920"/>
      <c r="E6" s="872"/>
      <c r="F6" s="872"/>
      <c r="G6" s="872"/>
      <c r="H6" s="872"/>
      <c r="I6" s="872"/>
      <c r="J6" s="872"/>
      <c r="K6" s="872"/>
      <c r="L6" s="872"/>
      <c r="M6" s="872"/>
      <c r="N6" s="872"/>
      <c r="O6" s="872"/>
      <c r="P6" s="872"/>
      <c r="Q6" s="872"/>
      <c r="R6" s="872"/>
      <c r="S6" s="872"/>
      <c r="T6" s="872"/>
      <c r="U6" s="872"/>
      <c r="V6" s="872"/>
    </row>
    <row r="7" spans="1:22" x14ac:dyDescent="0.2">
      <c r="A7" s="873"/>
      <c r="B7" s="873"/>
      <c r="C7" s="873"/>
      <c r="D7" s="873"/>
      <c r="E7" s="873"/>
      <c r="F7" s="873"/>
      <c r="G7" s="873"/>
      <c r="H7" s="873"/>
      <c r="I7" s="873"/>
      <c r="J7" s="873"/>
      <c r="K7" s="873"/>
      <c r="L7" s="873"/>
      <c r="M7" s="873"/>
      <c r="N7" s="873"/>
      <c r="O7" s="873"/>
      <c r="P7" s="873"/>
      <c r="Q7" s="873"/>
      <c r="R7" s="873"/>
      <c r="S7" s="873"/>
      <c r="T7" s="873"/>
      <c r="U7" s="873"/>
      <c r="V7" s="873"/>
    </row>
    <row r="8" spans="1:22" x14ac:dyDescent="0.2">
      <c r="A8" s="873"/>
      <c r="B8" s="873"/>
      <c r="C8" s="873"/>
      <c r="D8" s="873"/>
      <c r="E8" s="873"/>
      <c r="F8" s="873"/>
      <c r="G8" s="873"/>
      <c r="H8" s="873"/>
      <c r="I8" s="873"/>
      <c r="J8" s="873"/>
      <c r="K8" s="873"/>
      <c r="L8" s="873"/>
      <c r="M8" s="873"/>
      <c r="N8" s="873"/>
      <c r="O8" s="873"/>
      <c r="P8" s="873"/>
      <c r="Q8" s="873"/>
      <c r="R8" s="873"/>
      <c r="S8" s="873"/>
      <c r="T8" s="873"/>
      <c r="U8" s="873"/>
      <c r="V8" s="873"/>
    </row>
    <row r="9" spans="1:22" x14ac:dyDescent="0.2">
      <c r="A9" s="873"/>
      <c r="B9" s="873"/>
      <c r="C9" s="873"/>
      <c r="D9" s="873"/>
      <c r="E9" s="873"/>
      <c r="F9" s="873"/>
      <c r="G9" s="873"/>
      <c r="H9" s="873"/>
      <c r="I9" s="873"/>
      <c r="J9" s="873"/>
      <c r="K9" s="873"/>
      <c r="L9" s="873"/>
      <c r="M9" s="873"/>
      <c r="N9" s="873"/>
      <c r="O9" s="873"/>
      <c r="P9" s="873"/>
      <c r="Q9" s="873"/>
      <c r="R9" s="873"/>
      <c r="S9" s="873"/>
      <c r="T9" s="873"/>
      <c r="U9" s="873"/>
      <c r="V9" s="873"/>
    </row>
    <row r="10" spans="1:22" ht="15" x14ac:dyDescent="0.2">
      <c r="A10" s="874"/>
      <c r="B10" s="873"/>
      <c r="C10" s="873" t="s">
        <v>1174</v>
      </c>
      <c r="D10" s="873"/>
      <c r="E10" s="873"/>
      <c r="F10" s="873"/>
      <c r="G10" s="873"/>
      <c r="H10" s="873"/>
      <c r="I10" s="873"/>
      <c r="J10" s="873"/>
      <c r="K10" s="873"/>
      <c r="L10" s="873"/>
      <c r="M10" s="873"/>
      <c r="N10" s="873"/>
      <c r="O10" s="873"/>
      <c r="P10" s="873"/>
      <c r="Q10" s="873"/>
      <c r="R10" s="873"/>
      <c r="S10" s="873"/>
      <c r="T10" s="873"/>
      <c r="U10" s="873"/>
      <c r="V10" s="873"/>
    </row>
    <row r="11" spans="1:22" x14ac:dyDescent="0.2">
      <c r="A11" s="875"/>
      <c r="B11" s="875"/>
      <c r="C11" s="876">
        <v>1</v>
      </c>
      <c r="D11" s="876">
        <v>2</v>
      </c>
      <c r="E11" s="876">
        <v>3</v>
      </c>
      <c r="F11" s="876">
        <v>4</v>
      </c>
      <c r="G11" s="876">
        <v>5</v>
      </c>
      <c r="H11" s="876">
        <v>6</v>
      </c>
      <c r="I11" s="876">
        <v>7</v>
      </c>
      <c r="J11" s="876">
        <v>8</v>
      </c>
      <c r="K11" s="876">
        <v>9</v>
      </c>
      <c r="L11" s="877">
        <v>10</v>
      </c>
      <c r="M11" s="877">
        <v>11</v>
      </c>
      <c r="N11" s="877">
        <v>12</v>
      </c>
      <c r="O11" s="877">
        <v>13</v>
      </c>
      <c r="P11" s="877">
        <v>14</v>
      </c>
      <c r="Q11" s="877">
        <v>15</v>
      </c>
      <c r="R11" s="877">
        <v>16</v>
      </c>
      <c r="S11" s="877">
        <v>17</v>
      </c>
      <c r="T11" s="877">
        <v>18</v>
      </c>
      <c r="U11" s="877">
        <v>19</v>
      </c>
      <c r="V11" s="877">
        <v>20</v>
      </c>
    </row>
    <row r="12" spans="1:22" x14ac:dyDescent="0.2">
      <c r="A12" s="873"/>
      <c r="B12" s="873"/>
      <c r="C12" s="878"/>
      <c r="D12" s="878"/>
      <c r="E12" s="878"/>
      <c r="F12" s="878"/>
      <c r="G12" s="878"/>
      <c r="H12" s="878"/>
      <c r="I12" s="878"/>
      <c r="J12" s="878"/>
      <c r="K12" s="878"/>
      <c r="L12" s="878"/>
      <c r="M12" s="878"/>
      <c r="N12" s="878"/>
      <c r="O12" s="878"/>
      <c r="P12" s="878"/>
      <c r="Q12" s="878"/>
      <c r="R12" s="878"/>
      <c r="S12" s="878"/>
      <c r="T12" s="878"/>
      <c r="U12" s="878"/>
      <c r="V12" s="878"/>
    </row>
    <row r="13" spans="1:22" x14ac:dyDescent="0.2">
      <c r="A13" s="873"/>
      <c r="B13" s="879" t="s">
        <v>1175</v>
      </c>
      <c r="C13" s="880">
        <f>ERR!D106</f>
        <v>359235.34725454106</v>
      </c>
      <c r="D13" s="880">
        <f>ERR!E106</f>
        <v>1321968.5128831426</v>
      </c>
      <c r="E13" s="880">
        <f>ERR!F106</f>
        <v>2730888.0153516736</v>
      </c>
      <c r="F13" s="880">
        <f>ERR!G106</f>
        <v>4615383.083136024</v>
      </c>
      <c r="G13" s="880">
        <f>ERR!H106</f>
        <v>8676171.0466600321</v>
      </c>
      <c r="H13" s="880"/>
      <c r="I13" s="878"/>
      <c r="J13" s="878"/>
      <c r="K13" s="878"/>
      <c r="L13" s="878"/>
      <c r="M13" s="878"/>
      <c r="N13" s="878"/>
      <c r="O13" s="878"/>
      <c r="P13" s="878"/>
      <c r="Q13" s="878"/>
      <c r="R13" s="878"/>
      <c r="S13" s="878"/>
      <c r="T13" s="878"/>
      <c r="U13" s="878"/>
      <c r="V13" s="878"/>
    </row>
    <row r="14" spans="1:22" x14ac:dyDescent="0.2">
      <c r="A14" s="873"/>
      <c r="B14" s="873"/>
      <c r="C14" s="878"/>
      <c r="D14" s="878"/>
      <c r="E14" s="878"/>
      <c r="F14" s="878"/>
      <c r="G14" s="878"/>
      <c r="H14" s="878"/>
      <c r="I14" s="878"/>
      <c r="J14" s="878"/>
      <c r="K14" s="878"/>
      <c r="L14" s="878"/>
      <c r="M14" s="878"/>
      <c r="N14" s="878"/>
      <c r="O14" s="878"/>
      <c r="P14" s="878"/>
      <c r="Q14" s="878"/>
      <c r="R14" s="878"/>
      <c r="S14" s="878"/>
      <c r="T14" s="878"/>
      <c r="U14" s="878"/>
      <c r="V14" s="878"/>
    </row>
    <row r="15" spans="1:22" x14ac:dyDescent="0.2">
      <c r="A15" s="873"/>
      <c r="B15" s="879" t="s">
        <v>1176</v>
      </c>
      <c r="C15" s="881">
        <f>ERR!D109/ERR!D96</f>
        <v>0</v>
      </c>
      <c r="D15" s="881">
        <f>ERR!E109/ERR!E96</f>
        <v>0</v>
      </c>
      <c r="E15" s="881">
        <f>ERR!F109/ERR!F96</f>
        <v>0</v>
      </c>
      <c r="F15" s="881">
        <f>ERR!G109/ERR!G96</f>
        <v>0</v>
      </c>
      <c r="G15" s="881">
        <f>ERR!H109/ERR!H96</f>
        <v>0</v>
      </c>
      <c r="H15" s="881">
        <f>ERR!I109/ERR!I96</f>
        <v>2944975.4063381744</v>
      </c>
      <c r="I15" s="881">
        <f>ERR!J109/ERR!J96</f>
        <v>3924261.0147371716</v>
      </c>
      <c r="J15" s="881">
        <f>ERR!K109/ERR!K96</f>
        <v>3924261.0147371716</v>
      </c>
      <c r="K15" s="881">
        <f>ERR!L109/ERR!L96</f>
        <v>3924261.0147371716</v>
      </c>
      <c r="L15" s="881">
        <f>ERR!M109/ERR!M96</f>
        <v>3924261.0147371716</v>
      </c>
      <c r="M15" s="881">
        <f>ERR!N109/ERR!N96</f>
        <v>3924261.0147371716</v>
      </c>
      <c r="N15" s="881">
        <f>ERR!O109/ERR!O96</f>
        <v>3924261.0147371716</v>
      </c>
      <c r="O15" s="881">
        <f>ERR!P109/ERR!P96</f>
        <v>3924261.0147371716</v>
      </c>
      <c r="P15" s="881">
        <f>ERR!Q109/ERR!Q96</f>
        <v>3924261.0147371716</v>
      </c>
      <c r="Q15" s="881">
        <f>ERR!R109/ERR!R96</f>
        <v>3924261.0147371716</v>
      </c>
      <c r="R15" s="881">
        <f>ERR!S109/ERR!S96</f>
        <v>4215491.0016136728</v>
      </c>
      <c r="S15" s="881">
        <f>ERR!T109/ERR!T96</f>
        <v>4215491.0016136728</v>
      </c>
      <c r="T15" s="881">
        <f>ERR!U109/ERR!U96</f>
        <v>4267537.9716913039</v>
      </c>
      <c r="U15" s="881">
        <f>ERR!V109/ERR!V96</f>
        <v>4267537.9716913039</v>
      </c>
      <c r="V15" s="881">
        <f>ERR!W109/ERR!W96</f>
        <v>4267537.9716913039</v>
      </c>
    </row>
    <row r="16" spans="1:22" x14ac:dyDescent="0.2">
      <c r="A16" s="873"/>
      <c r="B16" s="873"/>
      <c r="C16" s="878"/>
      <c r="D16" s="878"/>
      <c r="E16" s="878"/>
      <c r="F16" s="878"/>
      <c r="G16" s="878"/>
      <c r="H16" s="878"/>
      <c r="I16" s="878"/>
      <c r="J16" s="878"/>
      <c r="K16" s="878"/>
      <c r="L16" s="878"/>
      <c r="M16" s="878"/>
      <c r="N16" s="878"/>
      <c r="O16" s="878"/>
      <c r="P16" s="878"/>
      <c r="Q16" s="878"/>
      <c r="R16" s="878"/>
      <c r="S16" s="878"/>
      <c r="T16" s="878"/>
      <c r="U16" s="878"/>
      <c r="V16" s="878"/>
    </row>
    <row r="17" spans="1:22" x14ac:dyDescent="0.2">
      <c r="A17" s="873"/>
      <c r="B17" s="879" t="s">
        <v>1177</v>
      </c>
      <c r="C17" s="882">
        <f>C15-C13</f>
        <v>-359235.34725454106</v>
      </c>
      <c r="D17" s="882">
        <f t="shared" ref="D17:V17" si="0">D15-D13</f>
        <v>-1321968.5128831426</v>
      </c>
      <c r="E17" s="882">
        <f t="shared" si="0"/>
        <v>-2730888.0153516736</v>
      </c>
      <c r="F17" s="882">
        <f t="shared" si="0"/>
        <v>-4615383.083136024</v>
      </c>
      <c r="G17" s="882">
        <f t="shared" si="0"/>
        <v>-8676171.0466600321</v>
      </c>
      <c r="H17" s="882">
        <f t="shared" si="0"/>
        <v>2944975.4063381744</v>
      </c>
      <c r="I17" s="882">
        <f t="shared" si="0"/>
        <v>3924261.0147371716</v>
      </c>
      <c r="J17" s="882">
        <f t="shared" si="0"/>
        <v>3924261.0147371716</v>
      </c>
      <c r="K17" s="882">
        <f t="shared" si="0"/>
        <v>3924261.0147371716</v>
      </c>
      <c r="L17" s="882">
        <f t="shared" si="0"/>
        <v>3924261.0147371716</v>
      </c>
      <c r="M17" s="882">
        <f t="shared" si="0"/>
        <v>3924261.0147371716</v>
      </c>
      <c r="N17" s="882">
        <f t="shared" si="0"/>
        <v>3924261.0147371716</v>
      </c>
      <c r="O17" s="882">
        <f t="shared" si="0"/>
        <v>3924261.0147371716</v>
      </c>
      <c r="P17" s="882">
        <f t="shared" si="0"/>
        <v>3924261.0147371716</v>
      </c>
      <c r="Q17" s="882">
        <f t="shared" si="0"/>
        <v>3924261.0147371716</v>
      </c>
      <c r="R17" s="882">
        <f t="shared" si="0"/>
        <v>4215491.0016136728</v>
      </c>
      <c r="S17" s="882">
        <f t="shared" si="0"/>
        <v>4215491.0016136728</v>
      </c>
      <c r="T17" s="882">
        <f t="shared" si="0"/>
        <v>4267537.9716913039</v>
      </c>
      <c r="U17" s="882">
        <f t="shared" si="0"/>
        <v>4267537.9716913039</v>
      </c>
      <c r="V17" s="882">
        <f t="shared" si="0"/>
        <v>4267537.9716913039</v>
      </c>
    </row>
    <row r="18" spans="1:22" x14ac:dyDescent="0.2">
      <c r="A18" s="873"/>
      <c r="B18" s="873"/>
      <c r="C18" s="878"/>
      <c r="D18" s="878"/>
      <c r="E18" s="878"/>
      <c r="F18" s="878"/>
      <c r="G18" s="878"/>
      <c r="H18" s="878"/>
      <c r="I18" s="878"/>
      <c r="J18" s="878"/>
      <c r="K18" s="878"/>
      <c r="L18" s="878"/>
      <c r="M18" s="878"/>
      <c r="N18" s="878"/>
      <c r="O18" s="878"/>
      <c r="P18" s="878"/>
      <c r="Q18" s="878"/>
      <c r="R18" s="878"/>
      <c r="S18" s="878"/>
      <c r="T18" s="878"/>
      <c r="U18" s="878"/>
      <c r="V18" s="878"/>
    </row>
    <row r="19" spans="1:22" x14ac:dyDescent="0.2">
      <c r="A19" s="873"/>
      <c r="B19" s="879" t="s">
        <v>107</v>
      </c>
      <c r="C19" s="883">
        <f>IRR(C17:V17)</f>
        <v>0.16709965810099625</v>
      </c>
      <c r="D19" s="878"/>
      <c r="E19" s="878"/>
      <c r="F19" s="878"/>
      <c r="G19" s="878"/>
      <c r="H19" s="878"/>
      <c r="I19" s="878"/>
      <c r="J19" s="878"/>
      <c r="K19" s="878"/>
      <c r="L19" s="878"/>
      <c r="M19" s="878"/>
      <c r="N19" s="878"/>
      <c r="O19" s="878"/>
      <c r="P19" s="878"/>
      <c r="Q19" s="878"/>
      <c r="R19" s="878"/>
      <c r="S19" s="878"/>
      <c r="T19" s="878"/>
      <c r="U19" s="878"/>
      <c r="V19" s="878"/>
    </row>
    <row r="20" spans="1:22" x14ac:dyDescent="0.2">
      <c r="A20" s="873"/>
      <c r="B20" s="879"/>
      <c r="C20" s="873"/>
      <c r="D20" s="873"/>
      <c r="E20" s="873"/>
      <c r="F20" s="873"/>
      <c r="G20" s="873"/>
      <c r="H20" s="873"/>
      <c r="I20" s="873"/>
      <c r="J20" s="873"/>
      <c r="K20" s="873"/>
      <c r="L20" s="873"/>
      <c r="M20" s="873"/>
      <c r="N20" s="873"/>
      <c r="O20" s="873"/>
      <c r="P20" s="873"/>
      <c r="Q20" s="873"/>
      <c r="R20" s="873"/>
      <c r="S20" s="873"/>
      <c r="T20" s="873"/>
      <c r="U20" s="873"/>
      <c r="V20" s="873"/>
    </row>
    <row r="21" spans="1:22" x14ac:dyDescent="0.2">
      <c r="A21" s="873"/>
      <c r="B21" s="873"/>
      <c r="C21" s="873"/>
      <c r="D21" s="873"/>
      <c r="E21" s="873"/>
      <c r="F21" s="873"/>
      <c r="G21" s="873"/>
      <c r="H21" s="873"/>
      <c r="I21" s="873"/>
      <c r="J21" s="873"/>
      <c r="K21" s="873"/>
      <c r="L21" s="873"/>
      <c r="M21" s="873"/>
      <c r="N21" s="873"/>
      <c r="O21" s="873"/>
      <c r="P21" s="873"/>
      <c r="Q21" s="873"/>
      <c r="R21" s="873"/>
      <c r="S21" s="873"/>
      <c r="T21" s="873"/>
      <c r="U21" s="873"/>
      <c r="V21" s="873"/>
    </row>
  </sheetData>
  <mergeCells count="2">
    <mergeCell ref="A2:B6"/>
    <mergeCell ref="C2:D6"/>
  </mergeCells>
  <conditionalFormatting sqref="B1">
    <cfRule type="cellIs" dxfId="17" priority="1" stopIfTrue="1" operator="equal">
      <formula>0</formula>
    </cfRule>
    <cfRule type="cellIs" dxfId="16" priority="2" stopIfTrue="1" operator="not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W132"/>
  <sheetViews>
    <sheetView topLeftCell="A79" zoomScale="80" zoomScaleNormal="80" workbookViewId="0">
      <selection activeCell="B112" sqref="B112"/>
    </sheetView>
  </sheetViews>
  <sheetFormatPr defaultRowHeight="12.75" x14ac:dyDescent="0.2"/>
  <cols>
    <col min="1" max="1" width="22.140625" bestFit="1" customWidth="1"/>
    <col min="2" max="2" width="11.28515625" customWidth="1"/>
    <col min="3" max="3" width="11.5703125" customWidth="1"/>
    <col min="4" max="4" width="16.28515625" bestFit="1" customWidth="1"/>
    <col min="5" max="5" width="15.85546875" bestFit="1" customWidth="1"/>
    <col min="6" max="7" width="15.140625" bestFit="1" customWidth="1"/>
    <col min="8" max="8" width="15.85546875" bestFit="1" customWidth="1"/>
    <col min="9" max="9" width="12.28515625" bestFit="1" customWidth="1"/>
    <col min="10" max="10" width="15.140625" bestFit="1" customWidth="1"/>
    <col min="11" max="12" width="10.5703125" bestFit="1" customWidth="1"/>
    <col min="13" max="13" width="10.5703125" style="49" bestFit="1" customWidth="1"/>
    <col min="14" max="15" width="11.5703125" bestFit="1" customWidth="1"/>
    <col min="16" max="23" width="10.140625" bestFit="1" customWidth="1"/>
    <col min="24" max="256" width="11.42578125" customWidth="1"/>
  </cols>
  <sheetData>
    <row r="1" spans="1:23" ht="18.75" thickBot="1" x14ac:dyDescent="0.3">
      <c r="A1" s="921" t="s">
        <v>64</v>
      </c>
      <c r="B1" s="922"/>
      <c r="C1" s="922"/>
      <c r="D1" s="922"/>
      <c r="E1" s="922"/>
      <c r="F1" s="922"/>
      <c r="G1" s="922"/>
      <c r="H1" s="922"/>
      <c r="I1" s="922"/>
      <c r="J1" s="922"/>
      <c r="K1" s="922"/>
      <c r="L1" s="922"/>
      <c r="M1" s="922"/>
      <c r="N1" s="922"/>
      <c r="O1" s="922"/>
      <c r="P1" s="141"/>
      <c r="Q1" s="141"/>
      <c r="R1" s="141"/>
      <c r="S1" s="141"/>
      <c r="T1" s="141"/>
      <c r="U1" s="141"/>
      <c r="V1" s="141"/>
      <c r="W1" s="142"/>
    </row>
    <row r="2" spans="1:23" ht="13.5" customHeight="1" thickTop="1" x14ac:dyDescent="0.2">
      <c r="A2" s="926"/>
      <c r="B2" s="927"/>
      <c r="C2" s="927"/>
      <c r="D2" s="927"/>
      <c r="E2" s="927"/>
      <c r="F2" s="927"/>
      <c r="G2" s="927"/>
      <c r="H2" s="927"/>
      <c r="I2" s="927"/>
      <c r="J2" s="7"/>
      <c r="K2" s="7"/>
      <c r="L2" s="7"/>
      <c r="M2" s="116"/>
      <c r="N2" s="7"/>
      <c r="O2" s="7"/>
      <c r="P2" s="7"/>
      <c r="Q2" s="7"/>
      <c r="R2" s="7"/>
      <c r="S2" s="7"/>
      <c r="T2" s="7"/>
      <c r="U2" s="7"/>
      <c r="V2" s="7"/>
      <c r="W2" s="52"/>
    </row>
    <row r="3" spans="1:23" x14ac:dyDescent="0.2">
      <c r="A3" s="117"/>
      <c r="B3" s="41"/>
      <c r="C3" s="41"/>
      <c r="D3" s="925" t="s">
        <v>3</v>
      </c>
      <c r="E3" s="925"/>
      <c r="F3" s="925"/>
      <c r="G3" s="925"/>
      <c r="H3" s="925"/>
      <c r="I3" s="925"/>
      <c r="J3" s="925"/>
      <c r="K3" s="925"/>
      <c r="L3" s="925"/>
      <c r="M3" s="115"/>
      <c r="N3" s="41"/>
      <c r="O3" s="41"/>
      <c r="P3" s="41"/>
      <c r="Q3" s="41"/>
      <c r="R3" s="41"/>
      <c r="S3" s="41"/>
      <c r="T3" s="41"/>
      <c r="U3" s="41"/>
      <c r="V3" s="41"/>
      <c r="W3" s="118"/>
    </row>
    <row r="4" spans="1:23" x14ac:dyDescent="0.2">
      <c r="A4" s="923" t="s">
        <v>14</v>
      </c>
      <c r="B4" s="924"/>
      <c r="C4" s="113"/>
      <c r="D4" s="113"/>
      <c r="E4" s="113"/>
      <c r="F4" s="113"/>
      <c r="G4" s="113"/>
      <c r="H4" s="113"/>
      <c r="I4" s="113"/>
      <c r="J4" s="113"/>
      <c r="K4" s="113"/>
      <c r="L4" s="113"/>
      <c r="M4" s="114"/>
      <c r="N4" s="113"/>
      <c r="O4" s="113"/>
      <c r="P4" s="113"/>
      <c r="Q4" s="113"/>
      <c r="R4" s="113"/>
      <c r="S4" s="113"/>
      <c r="T4" s="113"/>
      <c r="U4" s="113"/>
      <c r="V4" s="113"/>
      <c r="W4" s="119"/>
    </row>
    <row r="5" spans="1:23" x14ac:dyDescent="0.2">
      <c r="A5" s="51" t="s">
        <v>52</v>
      </c>
      <c r="B5" s="7" t="s">
        <v>4</v>
      </c>
      <c r="C5" s="7"/>
      <c r="D5" s="7">
        <v>1</v>
      </c>
      <c r="E5" s="7">
        <v>2</v>
      </c>
      <c r="F5" s="7">
        <v>3</v>
      </c>
      <c r="G5" s="7">
        <v>4</v>
      </c>
      <c r="H5" s="7">
        <v>5</v>
      </c>
      <c r="I5" s="7">
        <v>6</v>
      </c>
      <c r="J5" s="7">
        <v>7</v>
      </c>
      <c r="K5" s="7">
        <v>8</v>
      </c>
      <c r="L5" s="7">
        <v>9</v>
      </c>
      <c r="M5" s="116">
        <v>10</v>
      </c>
      <c r="N5" s="7">
        <v>11</v>
      </c>
      <c r="O5" s="7">
        <v>12</v>
      </c>
      <c r="P5" s="7">
        <v>13</v>
      </c>
      <c r="Q5" s="7">
        <v>14</v>
      </c>
      <c r="R5" s="7">
        <v>15</v>
      </c>
      <c r="S5" s="7">
        <v>16</v>
      </c>
      <c r="T5" s="7">
        <v>17</v>
      </c>
      <c r="U5" s="7">
        <v>18</v>
      </c>
      <c r="V5" s="7">
        <v>19</v>
      </c>
      <c r="W5" s="52">
        <v>20</v>
      </c>
    </row>
    <row r="6" spans="1:23" x14ac:dyDescent="0.2">
      <c r="A6" s="51"/>
      <c r="B6" s="7"/>
      <c r="C6" s="7"/>
      <c r="D6" s="7"/>
      <c r="E6" s="7"/>
      <c r="F6" s="7"/>
      <c r="G6" s="7"/>
      <c r="H6" s="7"/>
      <c r="I6" s="7"/>
      <c r="J6" s="7"/>
      <c r="K6" s="7"/>
      <c r="L6" s="7"/>
      <c r="M6" s="120"/>
      <c r="N6" s="44"/>
      <c r="O6" s="44"/>
      <c r="P6" s="44"/>
      <c r="Q6" s="44"/>
      <c r="R6" s="44"/>
      <c r="S6" s="44"/>
      <c r="T6" s="44"/>
      <c r="U6" s="44"/>
      <c r="V6" s="44"/>
      <c r="W6" s="121"/>
    </row>
    <row r="7" spans="1:23" x14ac:dyDescent="0.2">
      <c r="A7" s="51"/>
      <c r="B7" s="7"/>
      <c r="C7" s="37">
        <f>-'Investment Breakdown'!C15</f>
        <v>-11007.543919784946</v>
      </c>
      <c r="D7" s="37">
        <f>+Summary!B8-Summary!B25</f>
        <v>1807.2782664325616</v>
      </c>
      <c r="E7" s="37">
        <f>+Summary!C8-Summary!C25</f>
        <v>1807.2782664325616</v>
      </c>
      <c r="F7" s="37">
        <f>+Summary!D8-Summary!D25</f>
        <v>1807.2782664325616</v>
      </c>
      <c r="G7" s="37">
        <f>+Summary!E8-Summary!E25</f>
        <v>1807.2782664325616</v>
      </c>
      <c r="H7" s="37">
        <f>+Summary!F8-Summary!F25</f>
        <v>1807.2782664325616</v>
      </c>
      <c r="I7" s="37">
        <f>+Summary!G8-Summary!G25</f>
        <v>1807.2782664325616</v>
      </c>
      <c r="J7" s="37">
        <f>+Summary!H8-Summary!H25</f>
        <v>1807.2782664325616</v>
      </c>
      <c r="K7" s="37">
        <f>+Summary!I8-Summary!I25</f>
        <v>1807.2782664325616</v>
      </c>
      <c r="L7" s="37">
        <f>+Summary!J8-Summary!J25</f>
        <v>1807.2782664325616</v>
      </c>
      <c r="M7" s="37">
        <f>+Summary!K8-Summary!K25</f>
        <v>1807.2782664325616</v>
      </c>
      <c r="N7" s="37">
        <f>+(Summary!$L8-Summary!$L25)/10</f>
        <v>1957.7001412169877</v>
      </c>
      <c r="O7" s="37">
        <f>+(Summary!$L8-Summary!$L25)/10</f>
        <v>1957.7001412169877</v>
      </c>
      <c r="P7" s="37">
        <f>+(Summary!$L8-Summary!$L25)/10</f>
        <v>1957.7001412169877</v>
      </c>
      <c r="Q7" s="37">
        <f>+(Summary!$L8-Summary!$L25)/10</f>
        <v>1957.7001412169877</v>
      </c>
      <c r="R7" s="37">
        <f>+(Summary!$L8-Summary!$L25)/10</f>
        <v>1957.7001412169877</v>
      </c>
      <c r="S7" s="37">
        <f>+(Summary!$L8-Summary!$L25)/10</f>
        <v>1957.7001412169877</v>
      </c>
      <c r="T7" s="37">
        <f>+(Summary!$L8-Summary!$L25)/10</f>
        <v>1957.7001412169877</v>
      </c>
      <c r="U7" s="37">
        <f>+(Summary!$L8-Summary!$L25)/10</f>
        <v>1957.7001412169877</v>
      </c>
      <c r="V7" s="37">
        <f>+(Summary!$L8-Summary!$L25)/10</f>
        <v>1957.7001412169877</v>
      </c>
      <c r="W7" s="468">
        <f>+(Summary!$L8-Summary!$L25)/10</f>
        <v>1957.7001412169877</v>
      </c>
    </row>
    <row r="8" spans="1:23" x14ac:dyDescent="0.2">
      <c r="A8" s="51"/>
      <c r="B8" s="7"/>
      <c r="C8" s="7"/>
      <c r="D8" s="7"/>
      <c r="E8" s="7"/>
      <c r="F8" s="7"/>
      <c r="G8" s="7"/>
      <c r="H8" s="7"/>
      <c r="I8" s="7"/>
      <c r="J8" s="7"/>
      <c r="K8" s="7"/>
      <c r="L8" s="7"/>
      <c r="M8" s="116"/>
      <c r="N8" s="7"/>
      <c r="O8" s="7"/>
      <c r="P8" s="7"/>
      <c r="Q8" s="7"/>
      <c r="R8" s="7"/>
      <c r="S8" s="7"/>
      <c r="T8" s="7"/>
      <c r="U8" s="7"/>
      <c r="V8" s="7"/>
      <c r="W8" s="52"/>
    </row>
    <row r="9" spans="1:23" s="13" customFormat="1" x14ac:dyDescent="0.2">
      <c r="A9" s="122"/>
      <c r="B9" s="40" t="s">
        <v>53</v>
      </c>
      <c r="C9" s="40"/>
      <c r="D9" s="123"/>
      <c r="E9" s="123">
        <f>IRR(C7:E7)</f>
        <v>-0.50447695835869122</v>
      </c>
      <c r="F9" s="123">
        <f>IRR(C7:F7)</f>
        <v>-0.28501073365810214</v>
      </c>
      <c r="G9" s="123">
        <f>IRR(C7:G7)</f>
        <v>-0.14928246288496538</v>
      </c>
      <c r="H9" s="123">
        <f>IRR(C7:H7)</f>
        <v>-6.23633252752539E-2</v>
      </c>
      <c r="I9" s="123">
        <f>IRR(C7:I7)</f>
        <v>-4.2687764474051981E-3</v>
      </c>
      <c r="J9" s="123">
        <f>IRR(C7:J7)</f>
        <v>3.6049158236003409E-2</v>
      </c>
      <c r="K9" s="123">
        <f>IRR(C7:K7)</f>
        <v>6.4919344870584705E-2</v>
      </c>
      <c r="L9" s="123">
        <f>IRR(C7:L7)</f>
        <v>8.6132429185425519E-2</v>
      </c>
      <c r="M9" s="124">
        <f>IRR(C7:M7)</f>
        <v>0.10205579091565986</v>
      </c>
      <c r="N9" s="125">
        <f>IRR(C7:N7)</f>
        <v>0.11515526689625633</v>
      </c>
      <c r="O9" s="125">
        <f>IRR(C7:O7)</f>
        <v>0.12520781353662724</v>
      </c>
      <c r="P9" s="125">
        <f>IRR(C7:P7)</f>
        <v>0.13303978515530934</v>
      </c>
      <c r="Q9" s="125">
        <f>IRR(C7:Q7)</f>
        <v>0.13921831048506594</v>
      </c>
      <c r="R9" s="125">
        <f>IRR(C7:R7)</f>
        <v>0.14414376330223866</v>
      </c>
      <c r="S9" s="125">
        <f>IRR(C7:S7)</f>
        <v>0.1481053832293957</v>
      </c>
      <c r="T9" s="125">
        <f>IRR(C7:T7)</f>
        <v>0.15131620472322593</v>
      </c>
      <c r="U9" s="125">
        <f>IRR(C7:U7)</f>
        <v>0.15393575314218033</v>
      </c>
      <c r="V9" s="125">
        <f>IRR(C7:V7)</f>
        <v>0.15608521247381635</v>
      </c>
      <c r="W9" s="126">
        <f>IRR(C7:W7)</f>
        <v>0.15785780615616329</v>
      </c>
    </row>
    <row r="10" spans="1:23" x14ac:dyDescent="0.2">
      <c r="A10" s="51"/>
      <c r="B10" s="7"/>
      <c r="C10" s="7"/>
      <c r="D10" s="7"/>
      <c r="E10" s="7"/>
      <c r="F10" s="7"/>
      <c r="G10" s="7"/>
      <c r="H10" s="9"/>
      <c r="I10" s="7"/>
      <c r="J10" s="7"/>
      <c r="K10" s="7"/>
      <c r="L10" s="7"/>
      <c r="M10" s="116"/>
      <c r="N10" s="7"/>
      <c r="O10" s="7"/>
      <c r="P10" s="7"/>
      <c r="Q10" s="7"/>
      <c r="R10" s="7"/>
      <c r="S10" s="7"/>
      <c r="T10" s="7"/>
      <c r="U10" s="7"/>
      <c r="V10" s="7"/>
      <c r="W10" s="52"/>
    </row>
    <row r="11" spans="1:23" x14ac:dyDescent="0.2">
      <c r="A11" s="51"/>
      <c r="B11" s="7"/>
      <c r="C11" s="7"/>
      <c r="D11" s="7"/>
      <c r="E11" s="7"/>
      <c r="F11" s="7"/>
      <c r="G11" s="7"/>
      <c r="H11" s="9"/>
      <c r="I11" s="7"/>
      <c r="J11" s="7"/>
      <c r="K11" s="7"/>
      <c r="L11" s="7"/>
      <c r="M11" s="116"/>
      <c r="N11" s="7"/>
      <c r="O11" s="7"/>
      <c r="P11" s="7"/>
      <c r="Q11" s="7"/>
      <c r="R11" s="7"/>
      <c r="S11" s="7"/>
      <c r="T11" s="7"/>
      <c r="U11" s="7"/>
      <c r="V11" s="7"/>
      <c r="W11" s="52"/>
    </row>
    <row r="12" spans="1:23" x14ac:dyDescent="0.2">
      <c r="A12" s="127" t="s">
        <v>15</v>
      </c>
      <c r="B12" s="111"/>
      <c r="C12" s="111"/>
      <c r="D12" s="111"/>
      <c r="E12" s="111"/>
      <c r="F12" s="111"/>
      <c r="G12" s="111"/>
      <c r="H12" s="111"/>
      <c r="I12" s="111"/>
      <c r="J12" s="111"/>
      <c r="K12" s="111"/>
      <c r="L12" s="111"/>
      <c r="M12" s="112"/>
      <c r="N12" s="111"/>
      <c r="O12" s="111"/>
      <c r="P12" s="111"/>
      <c r="Q12" s="111"/>
      <c r="R12" s="111"/>
      <c r="S12" s="111"/>
      <c r="T12" s="111"/>
      <c r="U12" s="111"/>
      <c r="V12" s="111"/>
      <c r="W12" s="128"/>
    </row>
    <row r="13" spans="1:23" x14ac:dyDescent="0.2">
      <c r="A13" s="51" t="s">
        <v>52</v>
      </c>
      <c r="B13" s="7" t="s">
        <v>4</v>
      </c>
      <c r="C13" s="7"/>
      <c r="D13" s="7">
        <v>1</v>
      </c>
      <c r="E13" s="7">
        <v>2</v>
      </c>
      <c r="F13" s="7">
        <v>3</v>
      </c>
      <c r="G13" s="7">
        <v>4</v>
      </c>
      <c r="H13" s="7">
        <v>5</v>
      </c>
      <c r="I13" s="7">
        <v>6</v>
      </c>
      <c r="J13" s="7">
        <v>7</v>
      </c>
      <c r="K13" s="7">
        <v>8</v>
      </c>
      <c r="L13" s="7">
        <v>9</v>
      </c>
      <c r="M13" s="116">
        <v>10</v>
      </c>
      <c r="N13" s="7">
        <v>11</v>
      </c>
      <c r="O13" s="7">
        <v>12</v>
      </c>
      <c r="P13" s="7">
        <v>13</v>
      </c>
      <c r="Q13" s="7">
        <v>14</v>
      </c>
      <c r="R13" s="7">
        <v>15</v>
      </c>
      <c r="S13" s="7">
        <v>16</v>
      </c>
      <c r="T13" s="7">
        <v>17</v>
      </c>
      <c r="U13" s="7">
        <v>18</v>
      </c>
      <c r="V13" s="7">
        <v>19</v>
      </c>
      <c r="W13" s="52">
        <v>20</v>
      </c>
    </row>
    <row r="14" spans="1:23" x14ac:dyDescent="0.2">
      <c r="A14" s="51"/>
      <c r="B14" s="7"/>
      <c r="C14" s="7"/>
      <c r="D14" s="7"/>
      <c r="E14" s="7"/>
      <c r="F14" s="7"/>
      <c r="G14" s="7"/>
      <c r="H14" s="7"/>
      <c r="I14" s="7"/>
      <c r="J14" s="7"/>
      <c r="K14" s="7"/>
      <c r="L14" s="7"/>
      <c r="M14" s="129"/>
      <c r="N14" s="7"/>
      <c r="O14" s="7"/>
      <c r="P14" s="7"/>
      <c r="Q14" s="7"/>
      <c r="R14" s="7"/>
      <c r="S14" s="7"/>
      <c r="T14" s="7"/>
      <c r="U14" s="7"/>
      <c r="V14" s="7"/>
      <c r="W14" s="52"/>
    </row>
    <row r="15" spans="1:23" x14ac:dyDescent="0.2">
      <c r="A15" s="51"/>
      <c r="B15" s="7"/>
      <c r="C15" s="7">
        <f>-'Investment Breakdown'!C16</f>
        <v>0</v>
      </c>
      <c r="D15" s="35">
        <f>+Summary!B9-Summary!B26</f>
        <v>74226.329769306714</v>
      </c>
      <c r="E15" s="35">
        <f>+Summary!C9-Summary!C26</f>
        <v>74226.329769306714</v>
      </c>
      <c r="F15" s="35">
        <f>+Summary!D9-Summary!D26</f>
        <v>74226.329769306714</v>
      </c>
      <c r="G15" s="35">
        <f>+Summary!E9-Summary!E26</f>
        <v>74226.329769306714</v>
      </c>
      <c r="H15" s="35">
        <f>+Summary!F9-Summary!F26</f>
        <v>74226.329769306714</v>
      </c>
      <c r="I15" s="35">
        <f>+Summary!G9-Summary!G26</f>
        <v>74226.329769306714</v>
      </c>
      <c r="J15" s="35">
        <f>+Summary!H9-Summary!H26</f>
        <v>74226.329769306714</v>
      </c>
      <c r="K15" s="35">
        <f>+Summary!I9-Summary!I26</f>
        <v>74226.329769306714</v>
      </c>
      <c r="L15" s="35">
        <f>+Summary!J9-Summary!J26</f>
        <v>74226.329769306714</v>
      </c>
      <c r="M15" s="35">
        <f>+Summary!K9-Summary!K26</f>
        <v>74226.329769306714</v>
      </c>
      <c r="N15" s="35">
        <f>+(Summary!$L9-Summary!$L26)/10</f>
        <v>74226.329769306714</v>
      </c>
      <c r="O15" s="35">
        <f>+(Summary!$L9-Summary!$L26)/10</f>
        <v>74226.329769306714</v>
      </c>
      <c r="P15" s="35">
        <f>+(Summary!$L9-Summary!$L26)/10</f>
        <v>74226.329769306714</v>
      </c>
      <c r="Q15" s="35">
        <f>+(Summary!$L9-Summary!$L26)/10</f>
        <v>74226.329769306714</v>
      </c>
      <c r="R15" s="35">
        <f>+(Summary!$L9-Summary!$L26)/10</f>
        <v>74226.329769306714</v>
      </c>
      <c r="S15" s="35">
        <f>+(Summary!$L9-Summary!$L26)/10</f>
        <v>74226.329769306714</v>
      </c>
      <c r="T15" s="35">
        <f>+(Summary!$L9-Summary!$L26)/10</f>
        <v>74226.329769306714</v>
      </c>
      <c r="U15" s="35">
        <f>+(Summary!$L9-Summary!$L26)/10</f>
        <v>74226.329769306714</v>
      </c>
      <c r="V15" s="35">
        <f>+(Summary!$L9-Summary!$L26)/10</f>
        <v>74226.329769306714</v>
      </c>
      <c r="W15" s="53">
        <f>+(Summary!$L9-Summary!$L26)/10</f>
        <v>74226.329769306714</v>
      </c>
    </row>
    <row r="16" spans="1:23" s="50" customFormat="1" ht="8.25" x14ac:dyDescent="0.15">
      <c r="A16" s="130"/>
      <c r="B16" s="131"/>
      <c r="C16" s="131"/>
      <c r="D16" s="131"/>
      <c r="E16" s="131"/>
      <c r="F16" s="131"/>
      <c r="G16" s="131"/>
      <c r="H16" s="131"/>
      <c r="I16" s="131"/>
      <c r="J16" s="131"/>
      <c r="K16" s="131"/>
      <c r="L16" s="131"/>
      <c r="M16" s="132"/>
      <c r="N16" s="131"/>
      <c r="O16" s="131"/>
      <c r="P16" s="131"/>
      <c r="Q16" s="131"/>
      <c r="R16" s="131"/>
      <c r="S16" s="131"/>
      <c r="T16" s="131"/>
      <c r="U16" s="131"/>
      <c r="V16" s="131"/>
      <c r="W16" s="133"/>
    </row>
    <row r="17" spans="1:23" s="13" customFormat="1" x14ac:dyDescent="0.2">
      <c r="A17" s="122"/>
      <c r="B17" s="40" t="s">
        <v>53</v>
      </c>
      <c r="C17" s="40"/>
      <c r="D17" s="40"/>
      <c r="E17" s="123"/>
      <c r="F17" s="123"/>
      <c r="G17" s="123"/>
      <c r="H17" s="123"/>
      <c r="I17" s="123"/>
      <c r="J17" s="123"/>
      <c r="K17" s="123"/>
      <c r="L17" s="123"/>
      <c r="M17" s="124"/>
      <c r="N17" s="125"/>
      <c r="O17" s="125"/>
      <c r="P17" s="125"/>
      <c r="Q17" s="125"/>
      <c r="R17" s="125"/>
      <c r="S17" s="125"/>
      <c r="T17" s="125"/>
      <c r="U17" s="125"/>
      <c r="V17" s="125"/>
      <c r="W17" s="126"/>
    </row>
    <row r="18" spans="1:23" x14ac:dyDescent="0.2">
      <c r="A18" s="51"/>
      <c r="B18" s="7"/>
      <c r="C18" s="7"/>
      <c r="D18" s="7"/>
      <c r="E18" s="7"/>
      <c r="F18" s="7"/>
      <c r="G18" s="7"/>
      <c r="H18" s="7"/>
      <c r="I18" s="7"/>
      <c r="J18" s="7"/>
      <c r="K18" s="7"/>
      <c r="L18" s="7"/>
      <c r="M18" s="116"/>
      <c r="N18" s="7"/>
      <c r="O18" s="7"/>
      <c r="P18" s="7"/>
      <c r="Q18" s="7"/>
      <c r="R18" s="7"/>
      <c r="S18" s="7"/>
      <c r="T18" s="7"/>
      <c r="U18" s="7"/>
      <c r="V18" s="7"/>
      <c r="W18" s="52"/>
    </row>
    <row r="19" spans="1:23" x14ac:dyDescent="0.2">
      <c r="A19" s="51"/>
      <c r="B19" s="7"/>
      <c r="C19" s="7"/>
      <c r="D19" s="7"/>
      <c r="E19" s="7"/>
      <c r="F19" s="7"/>
      <c r="G19" s="7"/>
      <c r="H19" s="7"/>
      <c r="I19" s="7"/>
      <c r="J19" s="7"/>
      <c r="K19" s="7"/>
      <c r="L19" s="7"/>
      <c r="M19" s="116"/>
      <c r="N19" s="7"/>
      <c r="O19" s="7"/>
      <c r="P19" s="7"/>
      <c r="Q19" s="7"/>
      <c r="R19" s="7"/>
      <c r="S19" s="7"/>
      <c r="T19" s="7"/>
      <c r="U19" s="7"/>
      <c r="V19" s="7"/>
      <c r="W19" s="52"/>
    </row>
    <row r="20" spans="1:23" x14ac:dyDescent="0.2">
      <c r="A20" s="127" t="s">
        <v>16</v>
      </c>
      <c r="B20" s="111"/>
      <c r="C20" s="111"/>
      <c r="D20" s="111"/>
      <c r="E20" s="111"/>
      <c r="F20" s="111"/>
      <c r="G20" s="111"/>
      <c r="H20" s="111"/>
      <c r="I20" s="111"/>
      <c r="J20" s="111"/>
      <c r="K20" s="111"/>
      <c r="L20" s="111"/>
      <c r="M20" s="112"/>
      <c r="N20" s="111"/>
      <c r="O20" s="111"/>
      <c r="P20" s="111"/>
      <c r="Q20" s="111"/>
      <c r="R20" s="111"/>
      <c r="S20" s="111"/>
      <c r="T20" s="111"/>
      <c r="U20" s="111"/>
      <c r="V20" s="111"/>
      <c r="W20" s="128"/>
    </row>
    <row r="21" spans="1:23" x14ac:dyDescent="0.2">
      <c r="A21" s="51" t="s">
        <v>52</v>
      </c>
      <c r="B21" s="7" t="s">
        <v>4</v>
      </c>
      <c r="C21" s="7"/>
      <c r="D21" s="7">
        <v>1</v>
      </c>
      <c r="E21" s="7">
        <v>2</v>
      </c>
      <c r="F21" s="7">
        <v>3</v>
      </c>
      <c r="G21" s="7">
        <v>4</v>
      </c>
      <c r="H21" s="7">
        <v>5</v>
      </c>
      <c r="I21" s="7">
        <v>6</v>
      </c>
      <c r="J21" s="7">
        <v>7</v>
      </c>
      <c r="K21" s="7">
        <v>8</v>
      </c>
      <c r="L21" s="7">
        <v>9</v>
      </c>
      <c r="M21" s="116">
        <v>10</v>
      </c>
      <c r="N21" s="7">
        <v>11</v>
      </c>
      <c r="O21" s="7">
        <v>12</v>
      </c>
      <c r="P21" s="7">
        <v>13</v>
      </c>
      <c r="Q21" s="7">
        <v>14</v>
      </c>
      <c r="R21" s="7">
        <v>15</v>
      </c>
      <c r="S21" s="7">
        <v>16</v>
      </c>
      <c r="T21" s="7">
        <v>17</v>
      </c>
      <c r="U21" s="7">
        <v>18</v>
      </c>
      <c r="V21" s="7">
        <v>19</v>
      </c>
      <c r="W21" s="52">
        <v>20</v>
      </c>
    </row>
    <row r="22" spans="1:23" x14ac:dyDescent="0.2">
      <c r="A22" s="51"/>
      <c r="B22" s="7"/>
      <c r="C22" s="7"/>
      <c r="D22" s="7"/>
      <c r="E22" s="7"/>
      <c r="F22" s="7"/>
      <c r="G22" s="7"/>
      <c r="H22" s="7"/>
      <c r="I22" s="7"/>
      <c r="J22" s="7"/>
      <c r="K22" s="7"/>
      <c r="L22" s="7"/>
      <c r="M22" s="116"/>
      <c r="N22" s="7"/>
      <c r="O22" s="7"/>
      <c r="P22" s="7"/>
      <c r="Q22" s="7"/>
      <c r="R22" s="7"/>
      <c r="S22" s="7"/>
      <c r="T22" s="7"/>
      <c r="U22" s="7"/>
      <c r="V22" s="7"/>
      <c r="W22" s="52"/>
    </row>
    <row r="23" spans="1:23" x14ac:dyDescent="0.2">
      <c r="A23" s="51"/>
      <c r="B23" s="7"/>
      <c r="C23" s="7">
        <f>-'Investment Breakdown'!C17</f>
        <v>-25847.09488172043</v>
      </c>
      <c r="D23" s="35">
        <f>+Summary!B10-Summary!B27</f>
        <v>9157.4696706047926</v>
      </c>
      <c r="E23" s="35">
        <f>+Summary!C10-Summary!C27</f>
        <v>9157.4696706047926</v>
      </c>
      <c r="F23" s="35">
        <f>+Summary!D10-Summary!D27</f>
        <v>9157.4696706047926</v>
      </c>
      <c r="G23" s="35">
        <f>+Summary!E10-Summary!E27</f>
        <v>9157.4696706047926</v>
      </c>
      <c r="H23" s="35">
        <f>+Summary!F10-Summary!F27</f>
        <v>9157.4696706047926</v>
      </c>
      <c r="I23" s="35">
        <f>+Summary!G10-Summary!G27</f>
        <v>9157.4696706047926</v>
      </c>
      <c r="J23" s="35">
        <f>+Summary!H10-Summary!H27</f>
        <v>9157.4696706047926</v>
      </c>
      <c r="K23" s="35">
        <f>+Summary!I10-Summary!I27</f>
        <v>9157.4696706047926</v>
      </c>
      <c r="L23" s="35">
        <f>+Summary!J10-Summary!J27</f>
        <v>9157.4696706047926</v>
      </c>
      <c r="M23" s="35">
        <f>+Summary!K10-Summary!K27</f>
        <v>9157.4696706047926</v>
      </c>
      <c r="N23" s="35">
        <f>+(Summary!$L10-Summary!$L27)/10</f>
        <v>9609.8394822053615</v>
      </c>
      <c r="O23" s="35">
        <f>+(Summary!$L10-Summary!$L27)/10</f>
        <v>9609.8394822053615</v>
      </c>
      <c r="P23" s="35">
        <f>+(Summary!$L10-Summary!$L27)/10</f>
        <v>9609.8394822053615</v>
      </c>
      <c r="Q23" s="35">
        <f>+(Summary!$L10-Summary!$L27)/10</f>
        <v>9609.8394822053615</v>
      </c>
      <c r="R23" s="35">
        <f>+(Summary!$L10-Summary!$L27)/10</f>
        <v>9609.8394822053615</v>
      </c>
      <c r="S23" s="35">
        <f>+(Summary!$L10-Summary!$L27)/10</f>
        <v>9609.8394822053615</v>
      </c>
      <c r="T23" s="35">
        <f>+(Summary!$L10-Summary!$L27)/10</f>
        <v>9609.8394822053615</v>
      </c>
      <c r="U23" s="35">
        <f>+(Summary!$L10-Summary!$L27)/10</f>
        <v>9609.8394822053615</v>
      </c>
      <c r="V23" s="35">
        <f>+(Summary!$L10-Summary!$L27)/10</f>
        <v>9609.8394822053615</v>
      </c>
      <c r="W23" s="53">
        <f>+(Summary!$L10-Summary!$L27)/10</f>
        <v>9609.8394822053615</v>
      </c>
    </row>
    <row r="24" spans="1:23" x14ac:dyDescent="0.2">
      <c r="A24" s="51"/>
      <c r="B24" s="7"/>
      <c r="C24" s="7"/>
      <c r="D24" s="7"/>
      <c r="E24" s="38"/>
      <c r="F24" s="38"/>
      <c r="G24" s="38"/>
      <c r="H24" s="38"/>
      <c r="I24" s="38"/>
      <c r="J24" s="38"/>
      <c r="K24" s="38"/>
      <c r="L24" s="38"/>
      <c r="M24" s="434"/>
      <c r="N24" s="38"/>
      <c r="O24" s="38"/>
      <c r="P24" s="38"/>
      <c r="Q24" s="38"/>
      <c r="R24" s="38"/>
      <c r="S24" s="38"/>
      <c r="T24" s="38"/>
      <c r="U24" s="38"/>
      <c r="V24" s="38"/>
      <c r="W24" s="435"/>
    </row>
    <row r="25" spans="1:23" s="13" customFormat="1" x14ac:dyDescent="0.2">
      <c r="A25" s="122"/>
      <c r="B25" s="40" t="s">
        <v>53</v>
      </c>
      <c r="C25" s="40"/>
      <c r="D25" s="40"/>
      <c r="E25" s="436">
        <f>IRR(C23:E23)</f>
        <v>-0.20182563137197318</v>
      </c>
      <c r="F25" s="436">
        <f>IRR(C23:F23)</f>
        <v>3.1123035389017506E-2</v>
      </c>
      <c r="G25" s="436">
        <f>IRR(C23:G23)</f>
        <v>0.15567475390690744</v>
      </c>
      <c r="H25" s="436">
        <f>IRR(C23:H23)</f>
        <v>0.22679676382737957</v>
      </c>
      <c r="I25" s="436">
        <f>IRR(C23:I23)</f>
        <v>0.26975913361829296</v>
      </c>
      <c r="J25" s="436">
        <f>IRR(C23:J23)</f>
        <v>0.29687086517122907</v>
      </c>
      <c r="K25" s="436">
        <f>IRR(C23:K23)</f>
        <v>0.31456499942824045</v>
      </c>
      <c r="L25" s="436">
        <f>IRR(C23:L23)</f>
        <v>0.32641719132199709</v>
      </c>
      <c r="M25" s="437">
        <f>IRR(C23:M23)</f>
        <v>0.3345189751615425</v>
      </c>
      <c r="N25" s="438">
        <f>IRR(C23:N23)</f>
        <v>0.34041466059412007</v>
      </c>
      <c r="O25" s="438">
        <f>IRR(C23:O23)</f>
        <v>0.34454953843771619</v>
      </c>
      <c r="P25" s="438">
        <f>IRR(C23:P23)</f>
        <v>0.34748044502366104</v>
      </c>
      <c r="Q25" s="438">
        <f>IRR(C23:Q23)</f>
        <v>0.34957545371809773</v>
      </c>
      <c r="R25" s="438">
        <f>IRR(C23:R23)</f>
        <v>0.35108296324486199</v>
      </c>
      <c r="S25" s="438">
        <f>IRR(C23:S23)</f>
        <v>0.35217347491295015</v>
      </c>
      <c r="T25" s="438">
        <f>IRR(C23:T23)</f>
        <v>0.35296565727463447</v>
      </c>
      <c r="U25" s="438">
        <f>IRR(C23:U23)</f>
        <v>0.35354304728817665</v>
      </c>
      <c r="V25" s="438">
        <f>IRR(C23:V23)</f>
        <v>0.35396499938346193</v>
      </c>
      <c r="W25" s="439">
        <f>IRR(C23:W23)</f>
        <v>0.35427400596958813</v>
      </c>
    </row>
    <row r="26" spans="1:23" x14ac:dyDescent="0.2">
      <c r="A26" s="51"/>
      <c r="B26" s="7"/>
      <c r="C26" s="7"/>
      <c r="D26" s="7"/>
      <c r="E26" s="7"/>
      <c r="F26" s="7"/>
      <c r="G26" s="7"/>
      <c r="H26" s="7"/>
      <c r="I26" s="7"/>
      <c r="J26" s="7"/>
      <c r="K26" s="7"/>
      <c r="L26" s="7"/>
      <c r="M26" s="116"/>
      <c r="N26" s="7"/>
      <c r="O26" s="7"/>
      <c r="P26" s="7"/>
      <c r="Q26" s="7"/>
      <c r="R26" s="7"/>
      <c r="S26" s="7"/>
      <c r="T26" s="7"/>
      <c r="U26" s="7"/>
      <c r="V26" s="7"/>
      <c r="W26" s="52"/>
    </row>
    <row r="27" spans="1:23" x14ac:dyDescent="0.2">
      <c r="A27" s="51"/>
      <c r="B27" s="7"/>
      <c r="C27" s="7"/>
      <c r="D27" s="7"/>
      <c r="E27" s="7"/>
      <c r="F27" s="7"/>
      <c r="G27" s="7"/>
      <c r="H27" s="7"/>
      <c r="I27" s="7"/>
      <c r="J27" s="7"/>
      <c r="K27" s="7"/>
      <c r="L27" s="7"/>
      <c r="M27" s="116"/>
      <c r="N27" s="7"/>
      <c r="O27" s="7"/>
      <c r="P27" s="7"/>
      <c r="Q27" s="7"/>
      <c r="R27" s="7"/>
      <c r="S27" s="7"/>
      <c r="T27" s="7"/>
      <c r="U27" s="7"/>
      <c r="V27" s="7"/>
      <c r="W27" s="52"/>
    </row>
    <row r="28" spans="1:23" x14ac:dyDescent="0.2">
      <c r="A28" s="127" t="s">
        <v>50</v>
      </c>
      <c r="B28" s="111"/>
      <c r="C28" s="111"/>
      <c r="D28" s="111"/>
      <c r="E28" s="111"/>
      <c r="F28" s="111"/>
      <c r="G28" s="111"/>
      <c r="H28" s="111"/>
      <c r="I28" s="111"/>
      <c r="J28" s="111"/>
      <c r="K28" s="111"/>
      <c r="L28" s="111"/>
      <c r="M28" s="112"/>
      <c r="N28" s="111"/>
      <c r="O28" s="111"/>
      <c r="P28" s="111"/>
      <c r="Q28" s="111"/>
      <c r="R28" s="111"/>
      <c r="S28" s="111"/>
      <c r="T28" s="111"/>
      <c r="U28" s="111"/>
      <c r="V28" s="111"/>
      <c r="W28" s="128"/>
    </row>
    <row r="29" spans="1:23" x14ac:dyDescent="0.2">
      <c r="A29" s="51" t="s">
        <v>52</v>
      </c>
      <c r="B29" s="7" t="s">
        <v>4</v>
      </c>
      <c r="C29" s="7"/>
      <c r="D29" s="7">
        <v>1</v>
      </c>
      <c r="E29" s="7">
        <v>2</v>
      </c>
      <c r="F29" s="7">
        <v>3</v>
      </c>
      <c r="G29" s="7">
        <v>4</v>
      </c>
      <c r="H29" s="7">
        <v>5</v>
      </c>
      <c r="I29" s="7">
        <v>6</v>
      </c>
      <c r="J29" s="7">
        <v>7</v>
      </c>
      <c r="K29" s="7">
        <v>8</v>
      </c>
      <c r="L29" s="7">
        <v>9</v>
      </c>
      <c r="M29" s="116">
        <v>10</v>
      </c>
      <c r="N29" s="7">
        <v>11</v>
      </c>
      <c r="O29" s="7">
        <v>12</v>
      </c>
      <c r="P29" s="7">
        <v>13</v>
      </c>
      <c r="Q29" s="7">
        <v>14</v>
      </c>
      <c r="R29" s="7">
        <v>15</v>
      </c>
      <c r="S29" s="7">
        <v>16</v>
      </c>
      <c r="T29" s="7">
        <v>17</v>
      </c>
      <c r="U29" s="7">
        <v>18</v>
      </c>
      <c r="V29" s="7">
        <v>19</v>
      </c>
      <c r="W29" s="52">
        <v>20</v>
      </c>
    </row>
    <row r="30" spans="1:23" x14ac:dyDescent="0.2">
      <c r="A30" s="51"/>
      <c r="B30" s="7"/>
      <c r="C30" s="7"/>
      <c r="D30" s="7"/>
      <c r="E30" s="7"/>
      <c r="F30" s="7"/>
      <c r="G30" s="7"/>
      <c r="H30" s="7"/>
      <c r="I30" s="7"/>
      <c r="J30" s="7"/>
      <c r="K30" s="7"/>
      <c r="L30" s="7"/>
      <c r="M30" s="116"/>
      <c r="N30" s="7"/>
      <c r="O30" s="7"/>
      <c r="P30" s="7"/>
      <c r="Q30" s="7"/>
      <c r="R30" s="7"/>
      <c r="S30" s="7"/>
      <c r="T30" s="7"/>
      <c r="U30" s="7"/>
      <c r="V30" s="7"/>
      <c r="W30" s="52"/>
    </row>
    <row r="31" spans="1:23" x14ac:dyDescent="0.2">
      <c r="A31" s="51"/>
      <c r="B31" s="552">
        <v>1494166</v>
      </c>
      <c r="C31" s="552">
        <f>-'Investment Breakdown'!C18</f>
        <v>-16084.525541935483</v>
      </c>
      <c r="D31" s="35">
        <f>+(Summary!$B11-Summary!$B28)/10</f>
        <v>903.11894996796377</v>
      </c>
      <c r="E31" s="35">
        <f>+Summary!C11-Summary!C28</f>
        <v>9031.1894996796382</v>
      </c>
      <c r="F31" s="35">
        <f>+Summary!D11-Summary!D28</f>
        <v>9031.1894996796382</v>
      </c>
      <c r="G31" s="35">
        <f>+Summary!E11-Summary!E28</f>
        <v>9031.1894996796382</v>
      </c>
      <c r="H31" s="35">
        <f>+Summary!F11-Summary!F28</f>
        <v>9031.1894996796382</v>
      </c>
      <c r="I31" s="35">
        <f>+Summary!G11-Summary!G28</f>
        <v>9031.1894996796382</v>
      </c>
      <c r="J31" s="35">
        <f>+Summary!H11-Summary!H28</f>
        <v>9031.1894996796382</v>
      </c>
      <c r="K31" s="35">
        <f>+Summary!I11-Summary!I28</f>
        <v>9031.1894996796382</v>
      </c>
      <c r="L31" s="35">
        <f>+Summary!J11-Summary!J28</f>
        <v>9031.1894996796382</v>
      </c>
      <c r="M31" s="35">
        <f>+Summary!K11-Summary!K28</f>
        <v>9031.1894996796382</v>
      </c>
      <c r="N31" s="35">
        <f>+(Summary!$L11-Summary!$L28)/10</f>
        <v>9256.8892440355685</v>
      </c>
      <c r="O31" s="35">
        <f>+(Summary!$L11-Summary!$L28)/10</f>
        <v>9256.8892440355685</v>
      </c>
      <c r="P31" s="35">
        <f>+(Summary!$L11-Summary!$L28)/10</f>
        <v>9256.8892440355685</v>
      </c>
      <c r="Q31" s="35">
        <f>+(Summary!$L11-Summary!$L28)/10</f>
        <v>9256.8892440355685</v>
      </c>
      <c r="R31" s="35">
        <f>+(Summary!$L11-Summary!$L28)/10</f>
        <v>9256.8892440355685</v>
      </c>
      <c r="S31" s="35">
        <f>+(Summary!$L11-Summary!$L28)/10</f>
        <v>9256.8892440355685</v>
      </c>
      <c r="T31" s="35">
        <f>+(Summary!$L11-Summary!$L28)/10</f>
        <v>9256.8892440355685</v>
      </c>
      <c r="U31" s="35">
        <f>+(Summary!$L11-Summary!$L28)/10</f>
        <v>9256.8892440355685</v>
      </c>
      <c r="V31" s="35">
        <f>+(Summary!$L11-Summary!$L28)/10</f>
        <v>9256.8892440355685</v>
      </c>
      <c r="W31" s="53">
        <f>+(Summary!$L11-Summary!$L28)/10</f>
        <v>9256.8892440355685</v>
      </c>
    </row>
    <row r="32" spans="1:23" x14ac:dyDescent="0.2">
      <c r="A32" s="51"/>
      <c r="B32" s="553">
        <f>B31*8.5/1000</f>
        <v>12700.411</v>
      </c>
      <c r="C32" s="7"/>
      <c r="D32" s="7"/>
      <c r="E32" s="38"/>
      <c r="F32" s="38"/>
      <c r="G32" s="38"/>
      <c r="H32" s="38"/>
      <c r="I32" s="38"/>
      <c r="J32" s="38"/>
      <c r="K32" s="38"/>
      <c r="L32" s="38"/>
      <c r="M32" s="434"/>
      <c r="N32" s="38"/>
      <c r="O32" s="38"/>
      <c r="P32" s="38"/>
      <c r="Q32" s="38"/>
      <c r="R32" s="38"/>
      <c r="S32" s="38"/>
      <c r="T32" s="38"/>
      <c r="U32" s="38"/>
      <c r="V32" s="38"/>
      <c r="W32" s="435"/>
    </row>
    <row r="33" spans="1:23" x14ac:dyDescent="0.2">
      <c r="A33" s="51"/>
      <c r="B33" s="40" t="s">
        <v>53</v>
      </c>
      <c r="C33" s="40"/>
      <c r="D33" s="40"/>
      <c r="E33" s="436">
        <f>IRR(C31:E31)</f>
        <v>-0.22207834449254216</v>
      </c>
      <c r="F33" s="436">
        <f>IRR(C31:F31)</f>
        <v>7.0548589633568914E-2</v>
      </c>
      <c r="G33" s="436">
        <f>IRR(C31:G31)</f>
        <v>0.21380338585533654</v>
      </c>
      <c r="H33" s="436">
        <f>IRR(C31:H31)</f>
        <v>0.29101203720335356</v>
      </c>
      <c r="I33" s="436">
        <f>IRR(C31:I31)</f>
        <v>0.33558514995645172</v>
      </c>
      <c r="J33" s="436">
        <f>IRR(C31:J31)</f>
        <v>0.36262971820104051</v>
      </c>
      <c r="K33" s="436">
        <f>IRR(C31:K31)</f>
        <v>0.37965129033200018</v>
      </c>
      <c r="L33" s="436">
        <f>IRR(C31:L31)</f>
        <v>0.39066237726531106</v>
      </c>
      <c r="M33" s="437">
        <f>IRR(C31:M31)</f>
        <v>0.39793491394102398</v>
      </c>
      <c r="N33" s="438">
        <f>IRR(C31:N31)</f>
        <v>0.4029337330210605</v>
      </c>
      <c r="O33" s="438">
        <f>IRR(C31:O31)</f>
        <v>0.40632527077686698</v>
      </c>
      <c r="P33" s="438">
        <f>IRR(C31:P31)</f>
        <v>0.40864871268721514</v>
      </c>
      <c r="Q33" s="438">
        <f>IRR(C31:Q31)</f>
        <v>0.41025234849966496</v>
      </c>
      <c r="R33" s="438">
        <f>IRR(C31:R31)</f>
        <v>0.4113655542352801</v>
      </c>
      <c r="S33" s="438">
        <f>IRR(C31:S31)</f>
        <v>0.4121417425049434</v>
      </c>
      <c r="T33" s="438">
        <f>IRR(C31:T31)</f>
        <v>0.41268478822786125</v>
      </c>
      <c r="U33" s="438">
        <f>IRR(C31:U31)</f>
        <v>0.41306571303011697</v>
      </c>
      <c r="V33" s="438">
        <f>IRR(C31:V31)</f>
        <v>0.41333345058314608</v>
      </c>
      <c r="W33" s="439">
        <f>IRR(C31:W31)</f>
        <v>0.41352191995196685</v>
      </c>
    </row>
    <row r="34" spans="1:23" x14ac:dyDescent="0.2">
      <c r="A34" s="51"/>
      <c r="B34" s="7"/>
      <c r="C34" s="7"/>
      <c r="D34" s="7"/>
      <c r="E34" s="7"/>
      <c r="F34" s="7"/>
      <c r="G34" s="7"/>
      <c r="H34" s="7"/>
      <c r="I34" s="7"/>
      <c r="J34" s="7"/>
      <c r="K34" s="7"/>
      <c r="L34" s="7"/>
      <c r="M34" s="116"/>
      <c r="N34" s="7"/>
      <c r="O34" s="7"/>
      <c r="P34" s="7"/>
      <c r="Q34" s="7"/>
      <c r="R34" s="7"/>
      <c r="S34" s="7"/>
      <c r="T34" s="7"/>
      <c r="U34" s="7"/>
      <c r="V34" s="7"/>
      <c r="W34" s="52"/>
    </row>
    <row r="35" spans="1:23" x14ac:dyDescent="0.2">
      <c r="A35" s="51"/>
      <c r="B35" s="7"/>
      <c r="C35" s="7"/>
      <c r="D35" s="7"/>
      <c r="E35" s="7"/>
      <c r="F35" s="7"/>
      <c r="G35" s="7"/>
      <c r="H35" s="7"/>
      <c r="I35" s="7"/>
      <c r="J35" s="7"/>
      <c r="K35" s="7"/>
      <c r="L35" s="7"/>
      <c r="M35" s="116"/>
      <c r="N35" s="7"/>
      <c r="O35" s="7"/>
      <c r="P35" s="7"/>
      <c r="Q35" s="7"/>
      <c r="R35" s="7"/>
      <c r="S35" s="7"/>
      <c r="T35" s="7"/>
      <c r="U35" s="7"/>
      <c r="V35" s="7"/>
      <c r="W35" s="52"/>
    </row>
    <row r="36" spans="1:23" x14ac:dyDescent="0.2">
      <c r="A36" s="348" t="s">
        <v>178</v>
      </c>
      <c r="B36" s="111"/>
      <c r="C36" s="111"/>
      <c r="D36" s="111"/>
      <c r="E36" s="111"/>
      <c r="F36" s="111"/>
      <c r="G36" s="111"/>
      <c r="H36" s="111"/>
      <c r="I36" s="111"/>
      <c r="J36" s="111"/>
      <c r="K36" s="111"/>
      <c r="L36" s="111"/>
      <c r="M36" s="112"/>
      <c r="N36" s="111"/>
      <c r="O36" s="111"/>
      <c r="P36" s="111"/>
      <c r="Q36" s="111"/>
      <c r="R36" s="111"/>
      <c r="S36" s="111"/>
      <c r="T36" s="111"/>
      <c r="U36" s="111"/>
      <c r="V36" s="111"/>
      <c r="W36" s="128"/>
    </row>
    <row r="37" spans="1:23" x14ac:dyDescent="0.2">
      <c r="A37" s="51" t="s">
        <v>52</v>
      </c>
      <c r="B37" s="7" t="s">
        <v>4</v>
      </c>
      <c r="C37" s="7"/>
      <c r="D37" s="7">
        <v>1</v>
      </c>
      <c r="E37" s="7">
        <v>2</v>
      </c>
      <c r="F37" s="7">
        <v>3</v>
      </c>
      <c r="G37" s="7">
        <v>4</v>
      </c>
      <c r="H37" s="7">
        <v>5</v>
      </c>
      <c r="I37" s="7">
        <v>6</v>
      </c>
      <c r="J37" s="7">
        <v>7</v>
      </c>
      <c r="K37" s="7">
        <v>8</v>
      </c>
      <c r="L37" s="7">
        <v>9</v>
      </c>
      <c r="M37" s="116">
        <v>10</v>
      </c>
      <c r="N37" s="7">
        <v>11</v>
      </c>
      <c r="O37" s="7">
        <v>12</v>
      </c>
      <c r="P37" s="7">
        <v>13</v>
      </c>
      <c r="Q37" s="7">
        <v>14</v>
      </c>
      <c r="R37" s="7">
        <v>15</v>
      </c>
      <c r="S37" s="7">
        <v>16</v>
      </c>
      <c r="T37" s="7">
        <v>17</v>
      </c>
      <c r="U37" s="7">
        <v>18</v>
      </c>
      <c r="V37" s="7">
        <v>19</v>
      </c>
      <c r="W37" s="52">
        <v>20</v>
      </c>
    </row>
    <row r="38" spans="1:23" x14ac:dyDescent="0.2">
      <c r="A38" s="51"/>
      <c r="B38" s="7"/>
      <c r="C38" s="7"/>
      <c r="D38" s="7"/>
      <c r="E38" s="7"/>
      <c r="F38" s="7"/>
      <c r="G38" s="7"/>
      <c r="H38" s="7"/>
      <c r="I38" s="7"/>
      <c r="J38" s="7"/>
      <c r="K38" s="7"/>
      <c r="L38" s="7"/>
      <c r="M38" s="129"/>
      <c r="N38" s="7"/>
      <c r="O38" s="7"/>
      <c r="P38" s="7"/>
      <c r="Q38" s="7"/>
      <c r="R38" s="7"/>
      <c r="S38" s="7"/>
      <c r="T38" s="7"/>
      <c r="U38" s="7"/>
      <c r="V38" s="7"/>
      <c r="W38" s="52"/>
    </row>
    <row r="39" spans="1:23" x14ac:dyDescent="0.2">
      <c r="A39" s="51"/>
      <c r="B39" s="7"/>
      <c r="C39" s="7">
        <f>-'Investment Breakdown'!C19</f>
        <v>-42558.134508602154</v>
      </c>
      <c r="D39" s="37">
        <f>+(Summary!B12-Summary!B29)</f>
        <v>5872.5300967570447</v>
      </c>
      <c r="E39" s="37">
        <f>+(Summary!C12-Summary!C29)</f>
        <v>5872.5300967570447</v>
      </c>
      <c r="F39" s="37">
        <f>+(Summary!D12-Summary!D29)</f>
        <v>5872.5300967570447</v>
      </c>
      <c r="G39" s="37">
        <f>+(Summary!E12-Summary!E29)</f>
        <v>5872.5300967570447</v>
      </c>
      <c r="H39" s="37">
        <f>+(Summary!F12-Summary!F29)</f>
        <v>5872.5300967570447</v>
      </c>
      <c r="I39" s="37">
        <f>+(Summary!G12-Summary!G29)</f>
        <v>5872.5300967570447</v>
      </c>
      <c r="J39" s="37">
        <f>+(Summary!H12-Summary!H29)</f>
        <v>5872.5300967570447</v>
      </c>
      <c r="K39" s="37">
        <f>+(Summary!I12-Summary!I29)</f>
        <v>5872.5300967570447</v>
      </c>
      <c r="L39" s="37">
        <f>+(Summary!J12-Summary!J29)</f>
        <v>5872.5300967570447</v>
      </c>
      <c r="M39" s="37">
        <f>+(Summary!K12-Summary!K29)</f>
        <v>5872.5300967570447</v>
      </c>
      <c r="N39" s="37">
        <f>+(Summary!$L12-Summary!$L29)/10</f>
        <v>6467.5712126085491</v>
      </c>
      <c r="O39" s="37">
        <f>+(Summary!$L12-Summary!$L29)/10</f>
        <v>6467.5712126085491</v>
      </c>
      <c r="P39" s="37">
        <f>+(Summary!$L12-Summary!$L29)/10</f>
        <v>6467.5712126085491</v>
      </c>
      <c r="Q39" s="37">
        <f>+(Summary!$L12-Summary!$L29)/10</f>
        <v>6467.5712126085491</v>
      </c>
      <c r="R39" s="37">
        <f>+(Summary!$L12-Summary!$L29)/10</f>
        <v>6467.5712126085491</v>
      </c>
      <c r="S39" s="37">
        <f>+(Summary!$L12-Summary!$L29)/10</f>
        <v>6467.5712126085491</v>
      </c>
      <c r="T39" s="37">
        <f>+(Summary!$L12-Summary!$L29)/10</f>
        <v>6467.5712126085491</v>
      </c>
      <c r="U39" s="37">
        <f>+(Summary!$L12-Summary!$L29)/10</f>
        <v>6467.5712126085491</v>
      </c>
      <c r="V39" s="37">
        <f>+(Summary!$L12-Summary!$L29)/10</f>
        <v>6467.5712126085491</v>
      </c>
      <c r="W39" s="468">
        <f>+(Summary!$L12-Summary!$L29)/10</f>
        <v>6467.5712126085491</v>
      </c>
    </row>
    <row r="40" spans="1:23" x14ac:dyDescent="0.2">
      <c r="A40" s="130"/>
      <c r="B40" s="131"/>
      <c r="C40" s="131"/>
      <c r="D40" s="131"/>
      <c r="E40" s="38"/>
      <c r="F40" s="38"/>
      <c r="G40" s="38"/>
      <c r="H40" s="38"/>
      <c r="I40" s="38"/>
      <c r="J40" s="38"/>
      <c r="K40" s="38"/>
      <c r="L40" s="38"/>
      <c r="M40" s="434"/>
      <c r="N40" s="38"/>
      <c r="O40" s="38"/>
      <c r="P40" s="38"/>
      <c r="Q40" s="38"/>
      <c r="R40" s="38"/>
      <c r="S40" s="38"/>
      <c r="T40" s="38"/>
      <c r="U40" s="38"/>
      <c r="V40" s="38"/>
      <c r="W40" s="435"/>
    </row>
    <row r="41" spans="1:23" x14ac:dyDescent="0.2">
      <c r="A41" s="51"/>
      <c r="B41" s="7"/>
      <c r="C41" s="7"/>
      <c r="D41" s="7"/>
      <c r="E41" s="436"/>
      <c r="F41" s="436"/>
      <c r="G41" s="436"/>
      <c r="H41" s="436"/>
      <c r="I41" s="436"/>
      <c r="J41" s="436"/>
      <c r="K41" s="436"/>
      <c r="L41" s="436"/>
      <c r="M41" s="437">
        <f>IRR(C39:M39)</f>
        <v>6.328195635302003E-2</v>
      </c>
      <c r="N41" s="438">
        <f>IRR(C39:N39)</f>
        <v>7.8172013019400133E-2</v>
      </c>
      <c r="O41" s="438">
        <f>IRR(C39:O39)</f>
        <v>8.9702867258223851E-2</v>
      </c>
      <c r="P41" s="438">
        <f>IRR(C39:P39)</f>
        <v>9.8778395973648125E-2</v>
      </c>
      <c r="Q41" s="438">
        <f>IRR(C39:Q39)</f>
        <v>0.10601665805120652</v>
      </c>
      <c r="R41" s="438">
        <f>IRR(C39:R39)</f>
        <v>0.11185386736579672</v>
      </c>
      <c r="S41" s="438">
        <f>IRR(C39:S39)</f>
        <v>0.11660571799377317</v>
      </c>
      <c r="T41" s="438">
        <f>IRR(C39:T39)</f>
        <v>0.12050545428854753</v>
      </c>
      <c r="U41" s="438">
        <f>IRR(C39:U39)</f>
        <v>0.12372844381727699</v>
      </c>
      <c r="V41" s="438">
        <f>IRR(C39:V39)</f>
        <v>0.12640854025831794</v>
      </c>
      <c r="W41" s="439">
        <f>IRR(C39:W39)</f>
        <v>0.12864926404005206</v>
      </c>
    </row>
    <row r="42" spans="1:23" x14ac:dyDescent="0.2">
      <c r="A42" s="51"/>
      <c r="B42" s="7"/>
      <c r="C42" s="7"/>
      <c r="D42" s="7"/>
      <c r="E42" s="7"/>
      <c r="F42" s="7"/>
      <c r="G42" s="7"/>
      <c r="H42" s="7"/>
      <c r="I42" s="7"/>
      <c r="J42" s="7"/>
      <c r="K42" s="7"/>
      <c r="L42" s="7"/>
      <c r="M42" s="116"/>
      <c r="N42" s="7"/>
      <c r="O42" s="7"/>
      <c r="P42" s="7"/>
      <c r="Q42" s="7"/>
      <c r="R42" s="7"/>
      <c r="S42" s="7"/>
      <c r="T42" s="7"/>
      <c r="U42" s="7"/>
      <c r="V42" s="7"/>
      <c r="W42" s="52"/>
    </row>
    <row r="43" spans="1:23" x14ac:dyDescent="0.2">
      <c r="A43" s="348" t="s">
        <v>165</v>
      </c>
      <c r="B43" s="111"/>
      <c r="C43" s="111"/>
      <c r="D43" s="111"/>
      <c r="E43" s="111"/>
      <c r="F43" s="111"/>
      <c r="G43" s="111"/>
      <c r="H43" s="111"/>
      <c r="I43" s="111"/>
      <c r="J43" s="111"/>
      <c r="K43" s="111"/>
      <c r="L43" s="111"/>
      <c r="M43" s="112"/>
      <c r="N43" s="111"/>
      <c r="O43" s="111"/>
      <c r="P43" s="111"/>
      <c r="Q43" s="111"/>
      <c r="R43" s="111"/>
      <c r="S43" s="111"/>
      <c r="T43" s="111"/>
      <c r="U43" s="111"/>
      <c r="V43" s="111"/>
      <c r="W43" s="128"/>
    </row>
    <row r="44" spans="1:23" x14ac:dyDescent="0.2">
      <c r="A44" s="51" t="s">
        <v>52</v>
      </c>
      <c r="B44" s="7" t="s">
        <v>4</v>
      </c>
      <c r="C44" s="7"/>
      <c r="D44" s="7">
        <v>1</v>
      </c>
      <c r="E44" s="7">
        <v>2</v>
      </c>
      <c r="F44" s="7">
        <v>3</v>
      </c>
      <c r="G44" s="7">
        <v>4</v>
      </c>
      <c r="H44" s="7">
        <v>5</v>
      </c>
      <c r="I44" s="7">
        <v>6</v>
      </c>
      <c r="J44" s="7">
        <v>7</v>
      </c>
      <c r="K44" s="7">
        <v>8</v>
      </c>
      <c r="L44" s="7">
        <v>9</v>
      </c>
      <c r="M44" s="116">
        <v>10</v>
      </c>
      <c r="N44" s="7">
        <v>11</v>
      </c>
      <c r="O44" s="7">
        <v>12</v>
      </c>
      <c r="P44" s="7">
        <v>13</v>
      </c>
      <c r="Q44" s="7">
        <v>14</v>
      </c>
      <c r="R44" s="7">
        <v>15</v>
      </c>
      <c r="S44" s="7">
        <v>16</v>
      </c>
      <c r="T44" s="7">
        <v>17</v>
      </c>
      <c r="U44" s="7">
        <v>18</v>
      </c>
      <c r="V44" s="7">
        <v>19</v>
      </c>
      <c r="W44" s="52">
        <v>20</v>
      </c>
    </row>
    <row r="45" spans="1:23" x14ac:dyDescent="0.2">
      <c r="A45" s="51"/>
      <c r="B45" s="7"/>
      <c r="C45" s="7"/>
      <c r="D45" s="7"/>
      <c r="E45" s="7"/>
      <c r="F45" s="7"/>
      <c r="G45" s="7"/>
      <c r="H45" s="7"/>
      <c r="I45" s="7"/>
      <c r="J45" s="7"/>
      <c r="K45" s="7"/>
      <c r="L45" s="7"/>
      <c r="M45" s="129"/>
      <c r="N45" s="7"/>
      <c r="O45" s="7"/>
      <c r="P45" s="7"/>
      <c r="Q45" s="7"/>
      <c r="R45" s="7"/>
      <c r="S45" s="7"/>
      <c r="T45" s="7"/>
      <c r="U45" s="7"/>
      <c r="V45" s="7"/>
      <c r="W45" s="52"/>
    </row>
    <row r="46" spans="1:23" x14ac:dyDescent="0.2">
      <c r="A46" s="51"/>
      <c r="B46" s="7"/>
      <c r="C46" s="7">
        <f>-'Investment Breakdown'!C20</f>
        <v>-16604.714508602148</v>
      </c>
      <c r="D46" s="35">
        <f>+(Summary!B13-Summary!B30)</f>
        <v>4461.3205362317613</v>
      </c>
      <c r="E46" s="35">
        <f>+(Summary!C13-Summary!C30)</f>
        <v>4461.3205362317613</v>
      </c>
      <c r="F46" s="35">
        <f>+(Summary!D13-Summary!D30)</f>
        <v>4461.3205362317613</v>
      </c>
      <c r="G46" s="35">
        <f>+(Summary!E13-Summary!E30)</f>
        <v>4461.3205362317613</v>
      </c>
      <c r="H46" s="35">
        <f>+(Summary!F13-Summary!F30)</f>
        <v>4461.3205362317613</v>
      </c>
      <c r="I46" s="35">
        <f>+(Summary!G13-Summary!G30)</f>
        <v>4461.3205362317613</v>
      </c>
      <c r="J46" s="35">
        <f>+(Summary!H13-Summary!H30)</f>
        <v>4461.3205362317613</v>
      </c>
      <c r="K46" s="35">
        <f>+(Summary!I13-Summary!I30)</f>
        <v>4461.3205362317613</v>
      </c>
      <c r="L46" s="35">
        <f>+(Summary!J13-Summary!J30)</f>
        <v>4461.3205362317613</v>
      </c>
      <c r="M46" s="35">
        <f>+(Summary!K13-Summary!K30)</f>
        <v>4461.3205362317613</v>
      </c>
      <c r="N46" s="35">
        <f>+(Summary!$L13-Summary!$L30)/10</f>
        <v>4691.3918068877165</v>
      </c>
      <c r="O46" s="35">
        <f>+(Summary!$L13-Summary!$L30)/10</f>
        <v>4691.3918068877165</v>
      </c>
      <c r="P46" s="35">
        <f>+(Summary!$L13-Summary!$L30)/10</f>
        <v>4691.3918068877165</v>
      </c>
      <c r="Q46" s="35">
        <f>+(Summary!$L13-Summary!$L30)/10</f>
        <v>4691.3918068877165</v>
      </c>
      <c r="R46" s="35">
        <f>+(Summary!$L13-Summary!$L30)/10</f>
        <v>4691.3918068877165</v>
      </c>
      <c r="S46" s="35">
        <f>+(Summary!$L13-Summary!$L30)/10</f>
        <v>4691.3918068877165</v>
      </c>
      <c r="T46" s="35">
        <f>+(Summary!$L13-Summary!$L30)/10</f>
        <v>4691.3918068877165</v>
      </c>
      <c r="U46" s="35">
        <f>+(Summary!$L13-Summary!$L30)/10</f>
        <v>4691.3918068877165</v>
      </c>
      <c r="V46" s="35">
        <f>+(Summary!$L13-Summary!$L30)/10</f>
        <v>4691.3918068877165</v>
      </c>
      <c r="W46" s="53">
        <f>+(Summary!$L13-Summary!$L30)/10</f>
        <v>4691.3918068877165</v>
      </c>
    </row>
    <row r="47" spans="1:23" x14ac:dyDescent="0.2">
      <c r="A47" s="130"/>
      <c r="B47" s="131"/>
      <c r="C47" s="131"/>
      <c r="D47" s="131"/>
      <c r="E47" s="38"/>
      <c r="F47" s="38"/>
      <c r="G47" s="38"/>
      <c r="H47" s="38"/>
      <c r="I47" s="38"/>
      <c r="J47" s="38"/>
      <c r="K47" s="38"/>
      <c r="L47" s="38"/>
      <c r="M47" s="434"/>
      <c r="N47" s="38"/>
      <c r="O47" s="38"/>
      <c r="P47" s="38"/>
      <c r="Q47" s="38"/>
      <c r="R47" s="38"/>
      <c r="S47" s="38"/>
      <c r="T47" s="38"/>
      <c r="U47" s="38"/>
      <c r="V47" s="38"/>
      <c r="W47" s="435"/>
    </row>
    <row r="48" spans="1:23" x14ac:dyDescent="0.2">
      <c r="A48" s="51"/>
      <c r="B48" s="7"/>
      <c r="C48" s="7"/>
      <c r="D48" s="7"/>
      <c r="E48" s="436">
        <f>IRR(C46:E46)</f>
        <v>-0.33019403413119841</v>
      </c>
      <c r="F48" s="436">
        <f>IRR(C46:F46)</f>
        <v>-0.10052658276826199</v>
      </c>
      <c r="G48" s="436">
        <f>IRR(C46:G46)</f>
        <v>2.9457214368512785E-2</v>
      </c>
      <c r="H48" s="436">
        <f>IRR(C46:H46)</f>
        <v>0.10721589647488128</v>
      </c>
      <c r="I48" s="436">
        <f>IRR(C46:I46)</f>
        <v>0.1562206125074761</v>
      </c>
      <c r="J48" s="436">
        <f>IRR(C46:J46)</f>
        <v>0.18843600480306977</v>
      </c>
      <c r="K48" s="436">
        <f>IRR(C46:K46)</f>
        <v>0.21033523067781634</v>
      </c>
      <c r="L48" s="436">
        <f>IRR(C46:L46)</f>
        <v>0.22562345285734864</v>
      </c>
      <c r="M48" s="437">
        <f>IRR(C46:M46)</f>
        <v>0.23652677360954955</v>
      </c>
      <c r="N48" s="438">
        <f>IRR(C46:N46)</f>
        <v>0.24482635525719987</v>
      </c>
      <c r="O48" s="438">
        <f>IRR(C46:O46)</f>
        <v>0.25090776738557374</v>
      </c>
      <c r="P48" s="438">
        <f>IRR(C46:P46)</f>
        <v>0.25541973109196436</v>
      </c>
      <c r="Q48" s="438">
        <f>IRR(C46:Q46)</f>
        <v>0.25880150517474099</v>
      </c>
      <c r="R48" s="438">
        <f>IRR(C46:R46)</f>
        <v>0.26135748011523274</v>
      </c>
      <c r="S48" s="438">
        <f>IRR(C46:S46)</f>
        <v>0.26330271525731264</v>
      </c>
      <c r="T48" s="438">
        <f>IRR(C46:T46)</f>
        <v>0.26479166466462312</v>
      </c>
      <c r="U48" s="438">
        <f>IRR(C46:U46)</f>
        <v>0.26593681128788371</v>
      </c>
      <c r="V48" s="438">
        <f>IRR(C46:V46)</f>
        <v>0.26682105046229876</v>
      </c>
      <c r="W48" s="439">
        <f>IRR(C46:W46)</f>
        <v>0.26750609531751746</v>
      </c>
    </row>
    <row r="49" spans="1:23" x14ac:dyDescent="0.2">
      <c r="A49" s="51"/>
      <c r="B49" s="7"/>
      <c r="C49" s="7"/>
      <c r="D49" s="7"/>
      <c r="E49" s="7"/>
      <c r="F49" s="7"/>
      <c r="G49" s="7"/>
      <c r="H49" s="7"/>
      <c r="I49" s="7"/>
      <c r="J49" s="7"/>
      <c r="K49" s="7"/>
      <c r="L49" s="7"/>
      <c r="M49" s="116"/>
      <c r="N49" s="7"/>
      <c r="O49" s="7"/>
      <c r="P49" s="7"/>
      <c r="Q49" s="7"/>
      <c r="R49" s="7"/>
      <c r="S49" s="7"/>
      <c r="T49" s="7"/>
      <c r="U49" s="7"/>
      <c r="V49" s="7"/>
      <c r="W49" s="52"/>
    </row>
    <row r="50" spans="1:23" x14ac:dyDescent="0.2">
      <c r="A50" s="348" t="s">
        <v>161</v>
      </c>
      <c r="B50" s="111"/>
      <c r="C50" s="111"/>
      <c r="D50" s="111"/>
      <c r="E50" s="111"/>
      <c r="F50" s="111"/>
      <c r="G50" s="111"/>
      <c r="H50" s="111"/>
      <c r="I50" s="111"/>
      <c r="J50" s="111"/>
      <c r="K50" s="111"/>
      <c r="L50" s="111"/>
      <c r="M50" s="112"/>
      <c r="N50" s="111"/>
      <c r="O50" s="111"/>
      <c r="P50" s="111"/>
      <c r="Q50" s="111"/>
      <c r="R50" s="111"/>
      <c r="S50" s="111"/>
      <c r="T50" s="111"/>
      <c r="U50" s="111"/>
      <c r="V50" s="111"/>
      <c r="W50" s="128"/>
    </row>
    <row r="51" spans="1:23" x14ac:dyDescent="0.2">
      <c r="A51" s="51" t="s">
        <v>52</v>
      </c>
      <c r="B51" s="7" t="s">
        <v>4</v>
      </c>
      <c r="C51" s="7"/>
      <c r="D51" s="7">
        <v>1</v>
      </c>
      <c r="E51" s="7">
        <v>2</v>
      </c>
      <c r="F51" s="7">
        <v>3</v>
      </c>
      <c r="G51" s="7">
        <v>4</v>
      </c>
      <c r="H51" s="7">
        <v>5</v>
      </c>
      <c r="I51" s="7">
        <v>6</v>
      </c>
      <c r="J51" s="7">
        <v>7</v>
      </c>
      <c r="K51" s="7">
        <v>8</v>
      </c>
      <c r="L51" s="7">
        <v>9</v>
      </c>
      <c r="M51" s="116">
        <v>10</v>
      </c>
      <c r="N51" s="7">
        <v>11</v>
      </c>
      <c r="O51" s="7">
        <v>12</v>
      </c>
      <c r="P51" s="7">
        <v>13</v>
      </c>
      <c r="Q51" s="7">
        <v>14</v>
      </c>
      <c r="R51" s="7">
        <v>15</v>
      </c>
      <c r="S51" s="7">
        <v>16</v>
      </c>
      <c r="T51" s="7">
        <v>17</v>
      </c>
      <c r="U51" s="7">
        <v>18</v>
      </c>
      <c r="V51" s="7">
        <v>19</v>
      </c>
      <c r="W51" s="52">
        <v>20</v>
      </c>
    </row>
    <row r="52" spans="1:23" x14ac:dyDescent="0.2">
      <c r="A52" s="51"/>
      <c r="B52" s="7"/>
      <c r="C52" s="7"/>
      <c r="D52" s="7"/>
      <c r="E52" s="7"/>
      <c r="F52" s="7"/>
      <c r="G52" s="7"/>
      <c r="H52" s="7"/>
      <c r="I52" s="7"/>
      <c r="J52" s="7"/>
      <c r="K52" s="7"/>
      <c r="L52" s="7"/>
      <c r="M52" s="129"/>
      <c r="N52" s="7"/>
      <c r="O52" s="7"/>
      <c r="P52" s="7"/>
      <c r="Q52" s="7"/>
      <c r="R52" s="7"/>
      <c r="S52" s="7"/>
      <c r="T52" s="7"/>
      <c r="U52" s="7"/>
      <c r="V52" s="7"/>
      <c r="W52" s="52"/>
    </row>
    <row r="53" spans="1:23" x14ac:dyDescent="0.2">
      <c r="A53" s="51"/>
      <c r="B53" s="7"/>
      <c r="C53" s="7">
        <f>-'Investment Breakdown'!C21</f>
        <v>-9365.0951803225798</v>
      </c>
      <c r="D53" s="35">
        <f>+(Summary!B14-Summary!B31)</f>
        <v>-243.21048290405292</v>
      </c>
      <c r="E53" s="35">
        <f>+(Summary!C14-Summary!C31)</f>
        <v>-243.21048290405292</v>
      </c>
      <c r="F53" s="35">
        <f>+(Summary!D14-Summary!D31)</f>
        <v>-243.21048290405292</v>
      </c>
      <c r="G53" s="35">
        <f>+(Summary!E14-Summary!E31)</f>
        <v>-243.21048290405292</v>
      </c>
      <c r="H53" s="35">
        <f>+(Summary!F14-Summary!F31)</f>
        <v>-243.21048290405292</v>
      </c>
      <c r="I53" s="35">
        <f>+(Summary!G14-Summary!G31)</f>
        <v>-243.21048290405292</v>
      </c>
      <c r="J53" s="35">
        <f>+(Summary!H14-Summary!H31)</f>
        <v>-243.21048290405292</v>
      </c>
      <c r="K53" s="35">
        <f>+(Summary!I14-Summary!I31)</f>
        <v>-243.21048290405292</v>
      </c>
      <c r="L53" s="35">
        <f>+(Summary!J14-Summary!J31)</f>
        <v>-243.21048290405292</v>
      </c>
      <c r="M53" s="35">
        <f>+(Summary!K14-Summary!K31)</f>
        <v>-243.21048290405292</v>
      </c>
      <c r="N53" s="35">
        <f>+(Summary!$L14-Summary!$L31)/10</f>
        <v>-116.21473298212966</v>
      </c>
      <c r="O53" s="35">
        <f>+(Summary!$L14-Summary!$L31)/10</f>
        <v>-116.21473298212966</v>
      </c>
      <c r="P53" s="35">
        <f>+(Summary!$L14-Summary!$L31)/10</f>
        <v>-116.21473298212966</v>
      </c>
      <c r="Q53" s="35">
        <f>+(Summary!$L14-Summary!$L31)/10</f>
        <v>-116.21473298212966</v>
      </c>
      <c r="R53" s="35">
        <f>+(Summary!$L14-Summary!$L31)/10</f>
        <v>-116.21473298212966</v>
      </c>
      <c r="S53" s="35">
        <f>+(Summary!$L14-Summary!$L31)/10</f>
        <v>-116.21473298212966</v>
      </c>
      <c r="T53" s="35">
        <f>+(Summary!$L14-Summary!$L31)/10</f>
        <v>-116.21473298212966</v>
      </c>
      <c r="U53" s="35">
        <f>+(Summary!$L14-Summary!$L31)/10</f>
        <v>-116.21473298212966</v>
      </c>
      <c r="V53" s="35">
        <f>+(Summary!$L14-Summary!$L31)/10</f>
        <v>-116.21473298212966</v>
      </c>
      <c r="W53" s="53">
        <f>+(Summary!$L14-Summary!$L31)/10</f>
        <v>-116.21473298212966</v>
      </c>
    </row>
    <row r="54" spans="1:23" x14ac:dyDescent="0.2">
      <c r="A54" s="130"/>
      <c r="B54" s="131"/>
      <c r="C54" s="131"/>
      <c r="D54" s="131"/>
      <c r="E54" s="38"/>
      <c r="F54" s="38"/>
      <c r="G54" s="38"/>
      <c r="H54" s="38"/>
      <c r="I54" s="38"/>
      <c r="J54" s="38"/>
      <c r="K54" s="38"/>
      <c r="L54" s="38"/>
      <c r="M54" s="434"/>
      <c r="N54" s="38"/>
      <c r="O54" s="38"/>
      <c r="P54" s="38"/>
      <c r="Q54" s="38"/>
      <c r="R54" s="38"/>
      <c r="S54" s="38"/>
      <c r="T54" s="38"/>
      <c r="U54" s="38"/>
      <c r="V54" s="38"/>
      <c r="W54" s="435"/>
    </row>
    <row r="55" spans="1:23" x14ac:dyDescent="0.2">
      <c r="A55" s="51"/>
      <c r="B55" s="7"/>
      <c r="C55" s="7"/>
      <c r="D55" s="7"/>
      <c r="E55" s="436" t="e">
        <f>IRR(C53:E53)</f>
        <v>#NUM!</v>
      </c>
      <c r="F55" s="436" t="e">
        <f>IRR(C53:F53)</f>
        <v>#NUM!</v>
      </c>
      <c r="G55" s="436" t="e">
        <f>IRR(C53:G53)</f>
        <v>#NUM!</v>
      </c>
      <c r="H55" s="436" t="e">
        <f>IRR(C53:H53)</f>
        <v>#NUM!</v>
      </c>
      <c r="I55" s="436" t="e">
        <f>IRR(C53:I53)</f>
        <v>#NUM!</v>
      </c>
      <c r="J55" s="436" t="e">
        <f>IRR(C53:J53)</f>
        <v>#NUM!</v>
      </c>
      <c r="K55" s="436" t="e">
        <f>IRR(C53:K53)</f>
        <v>#NUM!</v>
      </c>
      <c r="L55" s="436" t="e">
        <f>IRR(C53:L53)</f>
        <v>#NUM!</v>
      </c>
      <c r="M55" s="437" t="e">
        <f>IRR(C53:M53)</f>
        <v>#NUM!</v>
      </c>
      <c r="N55" s="438" t="e">
        <f>IRR(C53:N53)</f>
        <v>#NUM!</v>
      </c>
      <c r="O55" s="438" t="e">
        <f>IRR(C53:O53)</f>
        <v>#NUM!</v>
      </c>
      <c r="P55" s="438" t="e">
        <f>IRR(C53:P53)</f>
        <v>#NUM!</v>
      </c>
      <c r="Q55" s="438" t="e">
        <f>IRR(C53:Q53)</f>
        <v>#NUM!</v>
      </c>
      <c r="R55" s="438" t="e">
        <f>IRR(C53:R53)</f>
        <v>#NUM!</v>
      </c>
      <c r="S55" s="438" t="e">
        <f>IRR(C53:S53)</f>
        <v>#NUM!</v>
      </c>
      <c r="T55" s="438" t="e">
        <f>IRR(C53:T53)</f>
        <v>#NUM!</v>
      </c>
      <c r="U55" s="438" t="e">
        <f>IRR(C53:U53)</f>
        <v>#NUM!</v>
      </c>
      <c r="V55" s="438" t="e">
        <f>IRR(C53:V53)</f>
        <v>#NUM!</v>
      </c>
      <c r="W55" s="439" t="e">
        <f>IRR(C53:W53)</f>
        <v>#NUM!</v>
      </c>
    </row>
    <row r="56" spans="1:23" x14ac:dyDescent="0.2">
      <c r="A56" s="51"/>
      <c r="B56" s="7"/>
      <c r="C56" s="7"/>
      <c r="D56" s="7"/>
      <c r="E56" s="7"/>
      <c r="F56" s="7"/>
      <c r="G56" s="7"/>
      <c r="H56" s="7"/>
      <c r="I56" s="7"/>
      <c r="J56" s="7"/>
      <c r="K56" s="7"/>
      <c r="L56" s="7"/>
      <c r="M56" s="116"/>
      <c r="N56" s="7"/>
      <c r="O56" s="7"/>
      <c r="P56" s="7"/>
      <c r="Q56" s="7"/>
      <c r="R56" s="7"/>
      <c r="S56" s="7"/>
      <c r="T56" s="7"/>
      <c r="U56" s="7"/>
      <c r="V56" s="7"/>
      <c r="W56" s="52"/>
    </row>
    <row r="57" spans="1:23" x14ac:dyDescent="0.2">
      <c r="A57" s="348" t="s">
        <v>163</v>
      </c>
      <c r="B57" s="111"/>
      <c r="C57" s="111"/>
      <c r="D57" s="111"/>
      <c r="E57" s="111"/>
      <c r="F57" s="111"/>
      <c r="G57" s="111"/>
      <c r="H57" s="111"/>
      <c r="I57" s="111"/>
      <c r="J57" s="111"/>
      <c r="K57" s="111"/>
      <c r="L57" s="111"/>
      <c r="M57" s="112"/>
      <c r="N57" s="111"/>
      <c r="O57" s="111"/>
      <c r="P57" s="111"/>
      <c r="Q57" s="111"/>
      <c r="R57" s="111"/>
      <c r="S57" s="111"/>
      <c r="T57" s="111"/>
      <c r="U57" s="111"/>
      <c r="V57" s="111"/>
      <c r="W57" s="128"/>
    </row>
    <row r="58" spans="1:23" x14ac:dyDescent="0.2">
      <c r="A58" s="51" t="s">
        <v>52</v>
      </c>
      <c r="B58" s="7" t="s">
        <v>4</v>
      </c>
      <c r="C58" s="7"/>
      <c r="D58" s="7">
        <v>1</v>
      </c>
      <c r="E58" s="7">
        <v>2</v>
      </c>
      <c r="F58" s="7">
        <v>3</v>
      </c>
      <c r="G58" s="7">
        <v>4</v>
      </c>
      <c r="H58" s="7">
        <v>5</v>
      </c>
      <c r="I58" s="7">
        <v>6</v>
      </c>
      <c r="J58" s="7">
        <v>7</v>
      </c>
      <c r="K58" s="7">
        <v>8</v>
      </c>
      <c r="L58" s="7">
        <v>9</v>
      </c>
      <c r="M58" s="116">
        <v>10</v>
      </c>
      <c r="N58" s="7">
        <v>11</v>
      </c>
      <c r="O58" s="7">
        <v>12</v>
      </c>
      <c r="P58" s="7">
        <v>13</v>
      </c>
      <c r="Q58" s="7">
        <v>14</v>
      </c>
      <c r="R58" s="7">
        <v>15</v>
      </c>
      <c r="S58" s="7">
        <v>16</v>
      </c>
      <c r="T58" s="7">
        <v>17</v>
      </c>
      <c r="U58" s="7">
        <v>18</v>
      </c>
      <c r="V58" s="7">
        <v>19</v>
      </c>
      <c r="W58" s="52">
        <v>20</v>
      </c>
    </row>
    <row r="59" spans="1:23" x14ac:dyDescent="0.2">
      <c r="A59" s="51"/>
      <c r="B59" s="7"/>
      <c r="C59" s="7"/>
      <c r="D59" s="7"/>
      <c r="E59" s="7"/>
      <c r="F59" s="7"/>
      <c r="G59" s="7"/>
      <c r="H59" s="7"/>
      <c r="I59" s="7"/>
      <c r="J59" s="7"/>
      <c r="K59" s="7"/>
      <c r="L59" s="7"/>
      <c r="M59" s="129"/>
      <c r="N59" s="7"/>
      <c r="O59" s="7"/>
      <c r="P59" s="7"/>
      <c r="Q59" s="7"/>
      <c r="R59" s="7"/>
      <c r="S59" s="7"/>
      <c r="T59" s="7"/>
      <c r="U59" s="7"/>
      <c r="V59" s="7"/>
      <c r="W59" s="52"/>
    </row>
    <row r="60" spans="1:23" x14ac:dyDescent="0.2">
      <c r="A60" s="51"/>
      <c r="B60" s="7"/>
      <c r="C60" s="7">
        <f>-'Investment Breakdown'!C22</f>
        <v>-13699.37315311828</v>
      </c>
      <c r="D60" s="35">
        <f>+(Summary!B15-Summary!B32)</f>
        <v>1291.9355578649506</v>
      </c>
      <c r="E60" s="35">
        <f>+(Summary!C15-Summary!C32)</f>
        <v>1291.9355578649506</v>
      </c>
      <c r="F60" s="35">
        <f>+(Summary!D15-Summary!D32)</f>
        <v>1291.9355578649506</v>
      </c>
      <c r="G60" s="35">
        <f>+(Summary!E15-Summary!E32)</f>
        <v>1291.9355578649506</v>
      </c>
      <c r="H60" s="35">
        <f>+(Summary!F15-Summary!F32)</f>
        <v>1291.9355578649506</v>
      </c>
      <c r="I60" s="35">
        <f>+(Summary!G15-Summary!G32)</f>
        <v>1291.9355578649506</v>
      </c>
      <c r="J60" s="35">
        <f>+(Summary!H15-Summary!H32)</f>
        <v>1291.9355578649506</v>
      </c>
      <c r="K60" s="35">
        <f>+(Summary!I15-Summary!I32)</f>
        <v>1291.9355578649506</v>
      </c>
      <c r="L60" s="35">
        <f>+(Summary!J15-Summary!J32)</f>
        <v>1291.9355578649506</v>
      </c>
      <c r="M60" s="35">
        <f>+(Summary!K15-Summary!K32)</f>
        <v>1291.9355578649506</v>
      </c>
      <c r="N60" s="35">
        <f>+(Summary!$L15-Summary!$L32)/10</f>
        <v>1482.3779744816757</v>
      </c>
      <c r="O60" s="35">
        <f>+(Summary!$L15-Summary!$L32)/10</f>
        <v>1482.3779744816757</v>
      </c>
      <c r="P60" s="35">
        <f>+(Summary!$L15-Summary!$L32)/10</f>
        <v>1482.3779744816757</v>
      </c>
      <c r="Q60" s="35">
        <f>+(Summary!$L15-Summary!$L32)/10</f>
        <v>1482.3779744816757</v>
      </c>
      <c r="R60" s="35">
        <f>+(Summary!$L15-Summary!$L32)/10</f>
        <v>1482.3779744816757</v>
      </c>
      <c r="S60" s="35">
        <f>+(Summary!$L15-Summary!$L32)/10</f>
        <v>1482.3779744816757</v>
      </c>
      <c r="T60" s="35">
        <f>+(Summary!$L15-Summary!$L32)/10</f>
        <v>1482.3779744816757</v>
      </c>
      <c r="U60" s="35">
        <f>+(Summary!$L15-Summary!$L32)/10</f>
        <v>1482.3779744816757</v>
      </c>
      <c r="V60" s="35">
        <f>+(Summary!$L15-Summary!$L32)/10</f>
        <v>1482.3779744816757</v>
      </c>
      <c r="W60" s="53">
        <f>+(Summary!$L15-Summary!$L32)/10</f>
        <v>1482.3779744816757</v>
      </c>
    </row>
    <row r="61" spans="1:23" x14ac:dyDescent="0.2">
      <c r="A61" s="130"/>
      <c r="B61" s="131"/>
      <c r="C61" s="131"/>
      <c r="D61" s="131"/>
      <c r="E61" s="38"/>
      <c r="F61" s="38"/>
      <c r="G61" s="38"/>
      <c r="H61" s="38"/>
      <c r="I61" s="38"/>
      <c r="J61" s="38"/>
      <c r="K61" s="38"/>
      <c r="L61" s="38"/>
      <c r="M61" s="434"/>
      <c r="N61" s="38"/>
      <c r="O61" s="38"/>
      <c r="P61" s="38"/>
      <c r="Q61" s="38"/>
      <c r="R61" s="38"/>
      <c r="S61" s="38"/>
      <c r="T61" s="38"/>
      <c r="U61" s="38"/>
      <c r="V61" s="38"/>
      <c r="W61" s="435"/>
    </row>
    <row r="62" spans="1:23" x14ac:dyDescent="0.2">
      <c r="A62" s="51"/>
      <c r="B62" s="7"/>
      <c r="C62" s="7"/>
      <c r="D62" s="7"/>
      <c r="E62" s="436">
        <f>IRR(C60:E60)</f>
        <v>-0.64215478806901083</v>
      </c>
      <c r="F62" s="436">
        <f>IRR(C60:F60)</f>
        <v>-0.43855206568451799</v>
      </c>
      <c r="G62" s="436">
        <f>IRR(C60:G60)</f>
        <v>-0.30121779904967028</v>
      </c>
      <c r="H62" s="436">
        <f>IRR(C60:H60)</f>
        <v>-0.20764161340401355</v>
      </c>
      <c r="I62" s="436">
        <f>IRR(C60:I60)</f>
        <v>-0.14188206339029974</v>
      </c>
      <c r="J62" s="436">
        <f>IRR(C60:J60)</f>
        <v>-9.4211071868875451E-2</v>
      </c>
      <c r="K62" s="436">
        <f>IRR(C60:K60)</f>
        <v>-5.8692126370222586E-2</v>
      </c>
      <c r="L62" s="436">
        <f>IRR(C60:L60)</f>
        <v>-3.1599864350863482E-2</v>
      </c>
      <c r="M62" s="437">
        <f>IRR(C60:M60)</f>
        <v>-1.0519228020755667E-2</v>
      </c>
      <c r="N62" s="438">
        <f>IRR(C60:N60)</f>
        <v>8.3346874305003649E-3</v>
      </c>
      <c r="O62" s="438">
        <f>IRR(C60:O60)</f>
        <v>2.3096256030214146E-2</v>
      </c>
      <c r="P62" s="438">
        <f>IRR(C60:P60)</f>
        <v>3.4879300806634816E-2</v>
      </c>
      <c r="Q62" s="438">
        <f>IRR(C60:Q60)</f>
        <v>4.4428285167061432E-2</v>
      </c>
      <c r="R62" s="438">
        <f>IRR(C60:R60)</f>
        <v>5.2263043464079173E-2</v>
      </c>
      <c r="S62" s="438">
        <f>IRR(C60:S60)</f>
        <v>5.875835404006402E-2</v>
      </c>
      <c r="T62" s="438">
        <f>IRR(C60:T60)</f>
        <v>6.4191219314282177E-2</v>
      </c>
      <c r="U62" s="438">
        <f>IRR(C60:U60)</f>
        <v>6.8770550871350089E-2</v>
      </c>
      <c r="V62" s="438">
        <f>IRR(C60:V60)</f>
        <v>7.265659454989426E-2</v>
      </c>
      <c r="W62" s="439">
        <f>IRR(C60:W60)</f>
        <v>7.5974060902684437E-2</v>
      </c>
    </row>
    <row r="63" spans="1:23" x14ac:dyDescent="0.2">
      <c r="A63" s="51"/>
      <c r="B63" s="7"/>
      <c r="C63" s="7"/>
      <c r="D63" s="7"/>
      <c r="E63" s="7"/>
      <c r="F63" s="7"/>
      <c r="G63" s="7"/>
      <c r="H63" s="7"/>
      <c r="I63" s="7"/>
      <c r="J63" s="7"/>
      <c r="K63" s="7"/>
      <c r="L63" s="7"/>
      <c r="M63" s="116"/>
      <c r="N63" s="7"/>
      <c r="O63" s="7"/>
      <c r="P63" s="7"/>
      <c r="Q63" s="7"/>
      <c r="R63" s="7"/>
      <c r="S63" s="7"/>
      <c r="T63" s="7"/>
      <c r="U63" s="7"/>
      <c r="V63" s="7"/>
      <c r="W63" s="52"/>
    </row>
    <row r="64" spans="1:23" x14ac:dyDescent="0.2">
      <c r="A64" s="348" t="s">
        <v>180</v>
      </c>
      <c r="B64" s="111"/>
      <c r="C64" s="111"/>
      <c r="D64" s="111"/>
      <c r="E64" s="111"/>
      <c r="F64" s="111"/>
      <c r="G64" s="111"/>
      <c r="H64" s="111"/>
      <c r="I64" s="111"/>
      <c r="J64" s="111"/>
      <c r="K64" s="111"/>
      <c r="L64" s="111"/>
      <c r="M64" s="112"/>
      <c r="N64" s="111"/>
      <c r="O64" s="111"/>
      <c r="P64" s="111"/>
      <c r="Q64" s="111"/>
      <c r="R64" s="111"/>
      <c r="S64" s="111"/>
      <c r="T64" s="111"/>
      <c r="U64" s="111"/>
      <c r="V64" s="111"/>
      <c r="W64" s="128"/>
    </row>
    <row r="65" spans="1:23" x14ac:dyDescent="0.2">
      <c r="A65" s="51" t="s">
        <v>52</v>
      </c>
      <c r="B65" s="7" t="s">
        <v>4</v>
      </c>
      <c r="C65" s="7"/>
      <c r="D65" s="7">
        <v>1</v>
      </c>
      <c r="E65" s="7">
        <v>2</v>
      </c>
      <c r="F65" s="7">
        <v>3</v>
      </c>
      <c r="G65" s="7">
        <v>4</v>
      </c>
      <c r="H65" s="7">
        <v>5</v>
      </c>
      <c r="I65" s="7">
        <v>6</v>
      </c>
      <c r="J65" s="7">
        <v>7</v>
      </c>
      <c r="K65" s="7">
        <v>8</v>
      </c>
      <c r="L65" s="7">
        <v>9</v>
      </c>
      <c r="M65" s="116">
        <v>10</v>
      </c>
      <c r="N65" s="7">
        <v>11</v>
      </c>
      <c r="O65" s="7">
        <v>12</v>
      </c>
      <c r="P65" s="7">
        <v>13</v>
      </c>
      <c r="Q65" s="7">
        <v>14</v>
      </c>
      <c r="R65" s="7">
        <v>15</v>
      </c>
      <c r="S65" s="7">
        <v>16</v>
      </c>
      <c r="T65" s="7">
        <v>17</v>
      </c>
      <c r="U65" s="7">
        <v>18</v>
      </c>
      <c r="V65" s="7">
        <v>19</v>
      </c>
      <c r="W65" s="52">
        <v>20</v>
      </c>
    </row>
    <row r="66" spans="1:23" x14ac:dyDescent="0.2">
      <c r="A66" s="51"/>
      <c r="B66" s="7"/>
      <c r="C66" s="7"/>
      <c r="D66" s="7"/>
      <c r="E66" s="7"/>
      <c r="F66" s="7"/>
      <c r="G66" s="7"/>
      <c r="H66" s="7"/>
      <c r="I66" s="7"/>
      <c r="J66" s="7"/>
      <c r="K66" s="7"/>
      <c r="L66" s="7"/>
      <c r="M66" s="129"/>
      <c r="N66" s="7"/>
      <c r="O66" s="7"/>
      <c r="P66" s="7"/>
      <c r="Q66" s="7"/>
      <c r="R66" s="7"/>
      <c r="S66" s="7"/>
      <c r="T66" s="7"/>
      <c r="U66" s="7"/>
      <c r="V66" s="7"/>
      <c r="W66" s="52"/>
    </row>
    <row r="67" spans="1:23" x14ac:dyDescent="0.2">
      <c r="A67" s="51"/>
      <c r="B67" s="7"/>
      <c r="C67" s="7">
        <f>-'Investment Breakdown'!C23</f>
        <v>-8362.9008817204303</v>
      </c>
      <c r="D67" s="38">
        <f>+(Summary!B16-Summary!B33)</f>
        <v>-54.637143540029342</v>
      </c>
      <c r="E67" s="38">
        <f>+(Summary!C16-Summary!C33)</f>
        <v>-54.637143540029342</v>
      </c>
      <c r="F67" s="38">
        <f>+(Summary!D16-Summary!D33)</f>
        <v>-54.637143540029342</v>
      </c>
      <c r="G67" s="38">
        <f>+(Summary!E16-Summary!E33)</f>
        <v>-54.637143540029342</v>
      </c>
      <c r="H67" s="38">
        <f>+(Summary!F16-Summary!F33)</f>
        <v>-54.637143540029342</v>
      </c>
      <c r="I67" s="38">
        <f>+(Summary!G16-Summary!G33)</f>
        <v>-54.637143540029342</v>
      </c>
      <c r="J67" s="38">
        <f>+(Summary!H16-Summary!H33)</f>
        <v>-54.637143540029342</v>
      </c>
      <c r="K67" s="38">
        <f>+(Summary!I16-Summary!I33)</f>
        <v>-54.637143540029342</v>
      </c>
      <c r="L67" s="38">
        <f>+(Summary!J16-Summary!J33)</f>
        <v>-54.637143540029342</v>
      </c>
      <c r="M67" s="38">
        <f>+(Summary!K16-Summary!K33)</f>
        <v>-54.637143540029342</v>
      </c>
      <c r="N67" s="38">
        <f>+(Summary!$L16-Summary!$L33)/10</f>
        <v>60.576003656576134</v>
      </c>
      <c r="O67" s="38">
        <f>+(Summary!$L16-Summary!$L33)/10</f>
        <v>60.576003656576134</v>
      </c>
      <c r="P67" s="38">
        <f>+(Summary!$L16-Summary!$L33)/10</f>
        <v>60.576003656576134</v>
      </c>
      <c r="Q67" s="38">
        <f>+(Summary!$L16-Summary!$L33)/10</f>
        <v>60.576003656576134</v>
      </c>
      <c r="R67" s="38">
        <f>+(Summary!$L16-Summary!$L33)/10</f>
        <v>60.576003656576134</v>
      </c>
      <c r="S67" s="38">
        <f>+(Summary!$L16-Summary!$L33)/10</f>
        <v>60.576003656576134</v>
      </c>
      <c r="T67" s="38">
        <f>+(Summary!$L16-Summary!$L33)/10</f>
        <v>60.576003656576134</v>
      </c>
      <c r="U67" s="38">
        <f>+(Summary!$L16-Summary!$L33)/10</f>
        <v>60.576003656576134</v>
      </c>
      <c r="V67" s="38">
        <f>+(Summary!$L16-Summary!$L33)/10</f>
        <v>60.576003656576134</v>
      </c>
      <c r="W67" s="435">
        <f>+(Summary!$L16-Summary!$L33)/10</f>
        <v>60.576003656576134</v>
      </c>
    </row>
    <row r="68" spans="1:23" x14ac:dyDescent="0.2">
      <c r="A68" s="130"/>
      <c r="B68" s="131"/>
      <c r="C68" s="131"/>
      <c r="D68" s="131"/>
      <c r="E68" s="38"/>
      <c r="F68" s="38"/>
      <c r="G68" s="38"/>
      <c r="H68" s="38"/>
      <c r="I68" s="38"/>
      <c r="J68" s="38"/>
      <c r="K68" s="38"/>
      <c r="L68" s="38"/>
      <c r="M68" s="434"/>
      <c r="N68" s="38"/>
      <c r="O68" s="38"/>
      <c r="P68" s="38"/>
      <c r="Q68" s="38"/>
      <c r="R68" s="38"/>
      <c r="S68" s="38"/>
      <c r="T68" s="38"/>
      <c r="U68" s="38"/>
      <c r="V68" s="38"/>
      <c r="W68" s="435"/>
    </row>
    <row r="69" spans="1:23" x14ac:dyDescent="0.2">
      <c r="A69" s="51"/>
      <c r="B69" s="7"/>
      <c r="C69" s="7"/>
      <c r="D69" s="7"/>
      <c r="E69" s="436" t="e">
        <f>IRR(C67:E67)</f>
        <v>#NUM!</v>
      </c>
      <c r="F69" s="436" t="e">
        <f>IRR(C67:F67)</f>
        <v>#NUM!</v>
      </c>
      <c r="G69" s="436" t="e">
        <f>IRR(C67:G67)</f>
        <v>#NUM!</v>
      </c>
      <c r="H69" s="436" t="e">
        <f>IRR(C67:H67)</f>
        <v>#NUM!</v>
      </c>
      <c r="I69" s="436" t="e">
        <f>IRR(C67:I67)</f>
        <v>#NUM!</v>
      </c>
      <c r="J69" s="436" t="e">
        <f>IRR(C67:J67)</f>
        <v>#NUM!</v>
      </c>
      <c r="K69" s="436" t="e">
        <f>IRR(C67:K67)</f>
        <v>#NUM!</v>
      </c>
      <c r="L69" s="436" t="e">
        <f>IRR(C67:L67)</f>
        <v>#NUM!</v>
      </c>
      <c r="M69" s="437" t="e">
        <f>IRR(C67:M67)</f>
        <v>#NUM!</v>
      </c>
      <c r="N69" s="438" t="e">
        <f>IRR(C67:N67)</f>
        <v>#NUM!</v>
      </c>
      <c r="O69" s="438" t="e">
        <f>IRR(C67:O67)</f>
        <v>#NUM!</v>
      </c>
      <c r="P69" s="438" t="e">
        <f>IRR(C67:P67)</f>
        <v>#NUM!</v>
      </c>
      <c r="Q69" s="438" t="e">
        <f>IRR(C67:Q67)</f>
        <v>#NUM!</v>
      </c>
      <c r="R69" s="438">
        <f>IRR(C67:R67)</f>
        <v>-0.24067909897781958</v>
      </c>
      <c r="S69" s="438">
        <f>IRR(C67:S67)</f>
        <v>-0.21848129237183755</v>
      </c>
      <c r="T69" s="438">
        <f>IRR(C67:T67)</f>
        <v>-0.20002356112720932</v>
      </c>
      <c r="U69" s="438">
        <f>IRR(C67:U67)</f>
        <v>-0.18430318183380356</v>
      </c>
      <c r="V69" s="438">
        <f>IRR(C67:V67)</f>
        <v>-0.17068653417119861</v>
      </c>
      <c r="W69" s="439">
        <f>IRR(C67:W67)</f>
        <v>-0.15874260475070989</v>
      </c>
    </row>
    <row r="70" spans="1:23" x14ac:dyDescent="0.2">
      <c r="A70" s="51"/>
      <c r="B70" s="7"/>
      <c r="C70" s="7"/>
      <c r="D70" s="7"/>
      <c r="E70" s="7"/>
      <c r="F70" s="7"/>
      <c r="G70" s="7"/>
      <c r="H70" s="7"/>
      <c r="I70" s="7"/>
      <c r="J70" s="7"/>
      <c r="K70" s="7"/>
      <c r="L70" s="7"/>
      <c r="M70" s="116"/>
      <c r="N70" s="7"/>
      <c r="O70" s="7"/>
      <c r="P70" s="7"/>
      <c r="Q70" s="7"/>
      <c r="R70" s="7"/>
      <c r="S70" s="7"/>
      <c r="T70" s="7"/>
      <c r="U70" s="7"/>
      <c r="V70" s="7"/>
      <c r="W70" s="52"/>
    </row>
    <row r="71" spans="1:23" x14ac:dyDescent="0.2">
      <c r="A71" s="348" t="s">
        <v>162</v>
      </c>
      <c r="B71" s="111"/>
      <c r="C71" s="111"/>
      <c r="D71" s="111"/>
      <c r="E71" s="111"/>
      <c r="F71" s="111"/>
      <c r="G71" s="111"/>
      <c r="H71" s="111"/>
      <c r="I71" s="111"/>
      <c r="J71" s="111"/>
      <c r="K71" s="111"/>
      <c r="L71" s="111"/>
      <c r="M71" s="112"/>
      <c r="N71" s="111"/>
      <c r="O71" s="111"/>
      <c r="P71" s="111"/>
      <c r="Q71" s="111"/>
      <c r="R71" s="111"/>
      <c r="S71" s="111"/>
      <c r="T71" s="111"/>
      <c r="U71" s="111"/>
      <c r="V71" s="111"/>
      <c r="W71" s="128"/>
    </row>
    <row r="72" spans="1:23" x14ac:dyDescent="0.2">
      <c r="A72" s="51" t="s">
        <v>52</v>
      </c>
      <c r="B72" s="7" t="s">
        <v>4</v>
      </c>
      <c r="C72" s="7"/>
      <c r="D72" s="7">
        <v>1</v>
      </c>
      <c r="E72" s="7">
        <v>2</v>
      </c>
      <c r="F72" s="7">
        <v>3</v>
      </c>
      <c r="G72" s="7">
        <v>4</v>
      </c>
      <c r="H72" s="7">
        <v>5</v>
      </c>
      <c r="I72" s="7">
        <v>6</v>
      </c>
      <c r="J72" s="7">
        <v>7</v>
      </c>
      <c r="K72" s="7">
        <v>8</v>
      </c>
      <c r="L72" s="7">
        <v>9</v>
      </c>
      <c r="M72" s="116">
        <v>10</v>
      </c>
      <c r="N72" s="7">
        <v>11</v>
      </c>
      <c r="O72" s="7">
        <v>12</v>
      </c>
      <c r="P72" s="7">
        <v>13</v>
      </c>
      <c r="Q72" s="7">
        <v>14</v>
      </c>
      <c r="R72" s="7">
        <v>15</v>
      </c>
      <c r="S72" s="7">
        <v>16</v>
      </c>
      <c r="T72" s="7">
        <v>17</v>
      </c>
      <c r="U72" s="7">
        <v>18</v>
      </c>
      <c r="V72" s="7">
        <v>19</v>
      </c>
      <c r="W72" s="52">
        <v>20</v>
      </c>
    </row>
    <row r="73" spans="1:23" x14ac:dyDescent="0.2">
      <c r="A73" s="51"/>
      <c r="B73" s="7"/>
      <c r="C73" s="7"/>
      <c r="D73" s="7"/>
      <c r="E73" s="7"/>
      <c r="F73" s="7"/>
      <c r="G73" s="7"/>
      <c r="H73" s="7"/>
      <c r="I73" s="7"/>
      <c r="J73" s="7"/>
      <c r="K73" s="7"/>
      <c r="L73" s="7"/>
      <c r="M73" s="129"/>
      <c r="N73" s="7"/>
      <c r="O73" s="7"/>
      <c r="P73" s="7"/>
      <c r="Q73" s="7"/>
      <c r="R73" s="7"/>
      <c r="S73" s="7"/>
      <c r="T73" s="7"/>
      <c r="U73" s="7"/>
      <c r="V73" s="7"/>
      <c r="W73" s="52"/>
    </row>
    <row r="74" spans="1:23" x14ac:dyDescent="0.2">
      <c r="A74" s="51"/>
      <c r="B74" s="7"/>
      <c r="C74" s="7">
        <f>-'Investment Breakdown'!C24</f>
        <v>-6841.8661236559128</v>
      </c>
      <c r="D74" s="38">
        <f>+(Summary!B17-Summary!B34)</f>
        <v>-537.9503160931871</v>
      </c>
      <c r="E74" s="38">
        <f>+(Summary!C17-Summary!C34)</f>
        <v>-537.9503160931871</v>
      </c>
      <c r="F74" s="38">
        <f>+(Summary!D17-Summary!D34)</f>
        <v>-537.9503160931871</v>
      </c>
      <c r="G74" s="38">
        <f>+(Summary!E17-Summary!E34)</f>
        <v>-537.9503160931871</v>
      </c>
      <c r="H74" s="38">
        <f>+(Summary!F17-Summary!F34)</f>
        <v>-537.9503160931871</v>
      </c>
      <c r="I74" s="38">
        <f>+(Summary!G17-Summary!G34)</f>
        <v>-537.9503160931871</v>
      </c>
      <c r="J74" s="38">
        <f>+(Summary!H17-Summary!H34)</f>
        <v>-537.9503160931871</v>
      </c>
      <c r="K74" s="38">
        <f>+(Summary!I17-Summary!I34)</f>
        <v>-537.9503160931871</v>
      </c>
      <c r="L74" s="38">
        <f>+(Summary!J17-Summary!J34)</f>
        <v>-537.9503160931871</v>
      </c>
      <c r="M74" s="38">
        <f>+(Summary!K17-Summary!K34)</f>
        <v>-537.9503160931871</v>
      </c>
      <c r="N74" s="38">
        <f>+(Summary!L$17-Summary!$L34)/10</f>
        <v>-442.58589808922551</v>
      </c>
      <c r="O74" s="38">
        <f>+(Summary!M$17-Summary!$L34)/10</f>
        <v>-442.58589808922551</v>
      </c>
      <c r="P74" s="38">
        <f>+(Summary!N$17-Summary!$L34)/10</f>
        <v>-10.59604644488449</v>
      </c>
      <c r="Q74" s="38">
        <f>+(Summary!O$17-Summary!$L34)/10</f>
        <v>-10.59604644488449</v>
      </c>
      <c r="R74" s="38">
        <f>+(Summary!P$17-Summary!$L34)/10</f>
        <v>-10.59604644488449</v>
      </c>
      <c r="S74" s="38">
        <f>+(Summary!Q$17-Summary!$L34)/10</f>
        <v>-10.59604644488449</v>
      </c>
      <c r="T74" s="38">
        <f>+(Summary!R$17-Summary!$L34)/10</f>
        <v>-10.59604644488449</v>
      </c>
      <c r="U74" s="38">
        <f>+(Summary!S$17-Summary!$L34)/10</f>
        <v>-10.59604644488449</v>
      </c>
      <c r="V74" s="38">
        <f>+(Summary!T$17-Summary!$L34)/10</f>
        <v>-10.59604644488449</v>
      </c>
      <c r="W74" s="435">
        <f>+(Summary!U$17-Summary!$L34)/10</f>
        <v>-10.59604644488449</v>
      </c>
    </row>
    <row r="75" spans="1:23" x14ac:dyDescent="0.2">
      <c r="A75" s="130"/>
      <c r="B75" s="131"/>
      <c r="C75" s="131"/>
      <c r="D75" s="131"/>
      <c r="E75" s="38"/>
      <c r="F75" s="38"/>
      <c r="G75" s="38"/>
      <c r="H75" s="38"/>
      <c r="I75" s="38"/>
      <c r="J75" s="38"/>
      <c r="K75" s="38"/>
      <c r="L75" s="38"/>
      <c r="M75" s="434"/>
      <c r="N75" s="38"/>
      <c r="O75" s="38"/>
      <c r="P75" s="38"/>
      <c r="Q75" s="38"/>
      <c r="R75" s="38"/>
      <c r="S75" s="38"/>
      <c r="T75" s="38"/>
      <c r="U75" s="38"/>
      <c r="V75" s="38"/>
      <c r="W75" s="435"/>
    </row>
    <row r="76" spans="1:23" x14ac:dyDescent="0.2">
      <c r="A76" s="51"/>
      <c r="B76" s="7"/>
      <c r="C76" s="7"/>
      <c r="D76" s="7"/>
      <c r="E76" s="436" t="e">
        <f>IRR(C74:E74)</f>
        <v>#NUM!</v>
      </c>
      <c r="F76" s="436" t="e">
        <f>IRR(C74:F74)</f>
        <v>#NUM!</v>
      </c>
      <c r="G76" s="436" t="e">
        <f>IRR(C74:G74)</f>
        <v>#NUM!</v>
      </c>
      <c r="H76" s="436" t="e">
        <f>IRR(C74:H74)</f>
        <v>#NUM!</v>
      </c>
      <c r="I76" s="436" t="e">
        <f>IRR(C74:I74)</f>
        <v>#NUM!</v>
      </c>
      <c r="J76" s="436" t="e">
        <f>IRR(C74:J74)</f>
        <v>#NUM!</v>
      </c>
      <c r="K76" s="436" t="e">
        <f>IRR(C74:K74)</f>
        <v>#NUM!</v>
      </c>
      <c r="L76" s="436" t="e">
        <f>IRR(C74:L74)</f>
        <v>#NUM!</v>
      </c>
      <c r="M76" s="437" t="e">
        <f>IRR(C74:M74)</f>
        <v>#NUM!</v>
      </c>
      <c r="N76" s="438" t="e">
        <f>IRR(C74:N74)</f>
        <v>#NUM!</v>
      </c>
      <c r="O76" s="438" t="e">
        <f>IRR(C74:O74)</f>
        <v>#NUM!</v>
      </c>
      <c r="P76" s="438" t="e">
        <f>IRR(C74:P74)</f>
        <v>#NUM!</v>
      </c>
      <c r="Q76" s="438" t="e">
        <f>IRR(C74:Q74)</f>
        <v>#NUM!</v>
      </c>
      <c r="R76" s="438" t="e">
        <f>IRR(C74:R74)</f>
        <v>#NUM!</v>
      </c>
      <c r="S76" s="438" t="e">
        <f>IRR(C74:S74)</f>
        <v>#NUM!</v>
      </c>
      <c r="T76" s="438" t="e">
        <f>IRR(C74:T74)</f>
        <v>#NUM!</v>
      </c>
      <c r="U76" s="438" t="e">
        <f>IRR(C74:U74)</f>
        <v>#NUM!</v>
      </c>
      <c r="V76" s="438" t="e">
        <f>IRR(C74:V74)</f>
        <v>#NUM!</v>
      </c>
      <c r="W76" s="439" t="e">
        <f>IRR(C74:W74)</f>
        <v>#NUM!</v>
      </c>
    </row>
    <row r="77" spans="1:23" x14ac:dyDescent="0.2">
      <c r="A77" s="51"/>
      <c r="B77" s="7"/>
      <c r="C77" s="7"/>
      <c r="D77" s="7"/>
      <c r="E77" s="7"/>
      <c r="F77" s="7"/>
      <c r="G77" s="7"/>
      <c r="H77" s="7"/>
      <c r="I77" s="7"/>
      <c r="J77" s="7"/>
      <c r="K77" s="7"/>
      <c r="L77" s="7"/>
      <c r="M77" s="116"/>
      <c r="N77" s="7"/>
      <c r="O77" s="7"/>
      <c r="P77" s="7"/>
      <c r="Q77" s="7"/>
      <c r="R77" s="7"/>
      <c r="S77" s="7"/>
      <c r="T77" s="7"/>
      <c r="U77" s="7"/>
      <c r="V77" s="7"/>
      <c r="W77" s="52"/>
    </row>
    <row r="78" spans="1:23" x14ac:dyDescent="0.2">
      <c r="A78" s="348" t="s">
        <v>164</v>
      </c>
      <c r="B78" s="111"/>
      <c r="C78" s="111"/>
      <c r="D78" s="111"/>
      <c r="E78" s="111"/>
      <c r="F78" s="111"/>
      <c r="G78" s="111"/>
      <c r="H78" s="111"/>
      <c r="I78" s="111"/>
      <c r="J78" s="111"/>
      <c r="K78" s="111"/>
      <c r="L78" s="111"/>
      <c r="M78" s="112"/>
      <c r="N78" s="111"/>
      <c r="O78" s="111"/>
      <c r="P78" s="111"/>
      <c r="Q78" s="111"/>
      <c r="R78" s="111"/>
      <c r="S78" s="111"/>
      <c r="T78" s="111"/>
      <c r="U78" s="111"/>
      <c r="V78" s="111"/>
      <c r="W78" s="128"/>
    </row>
    <row r="79" spans="1:23" x14ac:dyDescent="0.2">
      <c r="A79" s="51" t="s">
        <v>52</v>
      </c>
      <c r="B79" s="7" t="s">
        <v>4</v>
      </c>
      <c r="C79" s="7"/>
      <c r="D79" s="7">
        <v>1</v>
      </c>
      <c r="E79" s="7">
        <v>2</v>
      </c>
      <c r="F79" s="7">
        <v>3</v>
      </c>
      <c r="G79" s="7">
        <v>4</v>
      </c>
      <c r="H79" s="7">
        <v>5</v>
      </c>
      <c r="I79" s="7">
        <v>6</v>
      </c>
      <c r="J79" s="7">
        <v>7</v>
      </c>
      <c r="K79" s="7">
        <v>8</v>
      </c>
      <c r="L79" s="7">
        <v>9</v>
      </c>
      <c r="M79" s="116">
        <v>10</v>
      </c>
      <c r="N79" s="7">
        <v>11</v>
      </c>
      <c r="O79" s="7">
        <v>12</v>
      </c>
      <c r="P79" s="7">
        <v>13</v>
      </c>
      <c r="Q79" s="7">
        <v>14</v>
      </c>
      <c r="R79" s="7">
        <v>15</v>
      </c>
      <c r="S79" s="7">
        <v>16</v>
      </c>
      <c r="T79" s="7">
        <v>17</v>
      </c>
      <c r="U79" s="7">
        <v>18</v>
      </c>
      <c r="V79" s="7">
        <v>19</v>
      </c>
      <c r="W79" s="52">
        <v>20</v>
      </c>
    </row>
    <row r="80" spans="1:23" x14ac:dyDescent="0.2">
      <c r="A80" s="51"/>
      <c r="B80" s="7"/>
      <c r="C80" s="7"/>
      <c r="D80" s="7"/>
      <c r="E80" s="7"/>
      <c r="F80" s="7"/>
      <c r="G80" s="7"/>
      <c r="H80" s="7"/>
      <c r="I80" s="7"/>
      <c r="J80" s="7"/>
      <c r="K80" s="7"/>
      <c r="L80" s="7"/>
      <c r="M80" s="129"/>
      <c r="N80" s="7"/>
      <c r="O80" s="7"/>
      <c r="P80" s="7"/>
      <c r="Q80" s="7"/>
      <c r="R80" s="7"/>
      <c r="S80" s="7"/>
      <c r="T80" s="7"/>
      <c r="U80" s="7"/>
      <c r="V80" s="7"/>
      <c r="W80" s="52"/>
    </row>
    <row r="81" spans="1:23" x14ac:dyDescent="0.2">
      <c r="A81" s="51"/>
      <c r="B81" s="7"/>
      <c r="C81" s="38">
        <f>-'Investment Breakdown'!C25</f>
        <v>-16956.123252688172</v>
      </c>
      <c r="D81" s="38">
        <f>+(Summary!B18-Summary!B35)</f>
        <v>1785.4407372850437</v>
      </c>
      <c r="E81" s="38">
        <f>+(Summary!C18-Summary!C35)</f>
        <v>1785.4407372850437</v>
      </c>
      <c r="F81" s="38">
        <f>+(Summary!D18-Summary!D35)</f>
        <v>1785.4407372850437</v>
      </c>
      <c r="G81" s="38">
        <f>+(Summary!E18-Summary!E35)</f>
        <v>1785.4407372850437</v>
      </c>
      <c r="H81" s="38">
        <f>+(Summary!F18-Summary!F35)</f>
        <v>1785.4407372850437</v>
      </c>
      <c r="I81" s="38">
        <f>+(Summary!G18-Summary!G35)</f>
        <v>1785.4407372850437</v>
      </c>
      <c r="J81" s="38">
        <f>+(Summary!H18-Summary!H35)</f>
        <v>1785.4407372850437</v>
      </c>
      <c r="K81" s="38">
        <f>+(Summary!I18-Summary!I35)</f>
        <v>1785.4407372850437</v>
      </c>
      <c r="L81" s="38">
        <f>+(Summary!J18-Summary!J35)</f>
        <v>1785.4407372850437</v>
      </c>
      <c r="M81" s="38">
        <f>+(Summary!K18-Summary!K35)</f>
        <v>1785.4407372850437</v>
      </c>
      <c r="N81" s="38">
        <f>+(Summary!$L18-Summary!$L35)/10</f>
        <v>2021.0300793724114</v>
      </c>
      <c r="O81" s="38">
        <f>+(Summary!$L18-Summary!$L35)/10</f>
        <v>2021.0300793724114</v>
      </c>
      <c r="P81" s="38">
        <f>+(Summary!$L18-Summary!$L35)/10</f>
        <v>2021.0300793724114</v>
      </c>
      <c r="Q81" s="38">
        <f>+(Summary!$L18-Summary!$L35)/10</f>
        <v>2021.0300793724114</v>
      </c>
      <c r="R81" s="38">
        <f>+(Summary!$L18-Summary!$L35)/10</f>
        <v>2021.0300793724114</v>
      </c>
      <c r="S81" s="38">
        <f>+(Summary!$L18-Summary!$L35)/10</f>
        <v>2021.0300793724114</v>
      </c>
      <c r="T81" s="38">
        <f>+(Summary!$L18-Summary!$L35)/10</f>
        <v>2021.0300793724114</v>
      </c>
      <c r="U81" s="38">
        <f>+(Summary!$L18-Summary!$L35)/10</f>
        <v>2021.0300793724114</v>
      </c>
      <c r="V81" s="38">
        <f>+(Summary!$L18-Summary!$L35)/10</f>
        <v>2021.0300793724114</v>
      </c>
      <c r="W81" s="435">
        <f>+(Summary!$L18-Summary!$L35)/10</f>
        <v>2021.0300793724114</v>
      </c>
    </row>
    <row r="82" spans="1:23" x14ac:dyDescent="0.2">
      <c r="A82" s="130"/>
      <c r="B82" s="131"/>
      <c r="C82" s="131"/>
      <c r="D82" s="131"/>
      <c r="E82" s="38"/>
      <c r="F82" s="38"/>
      <c r="G82" s="38"/>
      <c r="H82" s="38"/>
      <c r="I82" s="38"/>
      <c r="J82" s="38"/>
      <c r="K82" s="38"/>
      <c r="L82" s="38"/>
      <c r="M82" s="434"/>
      <c r="N82" s="38"/>
      <c r="O82" s="38"/>
      <c r="P82" s="38"/>
      <c r="Q82" s="38"/>
      <c r="R82" s="38"/>
      <c r="S82" s="38"/>
      <c r="T82" s="38"/>
      <c r="U82" s="38"/>
      <c r="V82" s="38"/>
      <c r="W82" s="435"/>
    </row>
    <row r="83" spans="1:23" x14ac:dyDescent="0.2">
      <c r="A83" s="51"/>
      <c r="B83" s="7"/>
      <c r="C83" s="7"/>
      <c r="D83" s="7"/>
      <c r="E83" s="436">
        <f>IRR(C81:E81)</f>
        <v>-0.61861174260672902</v>
      </c>
      <c r="F83" s="436">
        <f>IRR(C81:F81)</f>
        <v>-0.41160270358780782</v>
      </c>
      <c r="G83" s="436">
        <f>IRR(C81:G81)</f>
        <v>-0.27424652976692343</v>
      </c>
      <c r="H83" s="436">
        <f>IRR(C81:H81)</f>
        <v>-0.1817195474269403</v>
      </c>
      <c r="I83" s="436">
        <f>IRR(C81:I81)</f>
        <v>-0.11728056990505697</v>
      </c>
      <c r="J83" s="436">
        <f>IRR(C81:J81)</f>
        <v>-7.0923004423448011E-2</v>
      </c>
      <c r="K83" s="436">
        <f>IRR(C81:K81)</f>
        <v>-3.6617601295144908E-2</v>
      </c>
      <c r="L83" s="436">
        <f>IRR(C81:L81)</f>
        <v>-1.0615166424995381E-2</v>
      </c>
      <c r="M83" s="437">
        <f>IRR(C81:M81)</f>
        <v>9.497531387873126E-3</v>
      </c>
      <c r="N83" s="438">
        <f>IRR(C81:N81)</f>
        <v>2.7183545704425827E-2</v>
      </c>
      <c r="O83" s="438">
        <f>IRR(C81:O81)</f>
        <v>4.1004505146968961E-2</v>
      </c>
      <c r="P83" s="438">
        <f>IRR(C81:P81)</f>
        <v>5.20039525416649E-2</v>
      </c>
      <c r="Q83" s="438">
        <f>IRR(C81:Q81)</f>
        <v>6.0885855953969115E-2</v>
      </c>
      <c r="R83" s="438">
        <f>IRR(C81:R81)</f>
        <v>6.8144159218071154E-2</v>
      </c>
      <c r="S83" s="438">
        <f>IRR(C81:S81)</f>
        <v>7.413581716205675E-2</v>
      </c>
      <c r="T83" s="438">
        <f>IRR(C81:T81)</f>
        <v>7.9124889385842501E-2</v>
      </c>
      <c r="U83" s="438">
        <f>IRR(C81:U81)</f>
        <v>8.3310512351579824E-2</v>
      </c>
      <c r="V83" s="438">
        <f>IRR(C81:V81)</f>
        <v>8.6845327522530269E-2</v>
      </c>
      <c r="W83" s="439">
        <f>IRR(C81:W81)</f>
        <v>8.9847992930433884E-2</v>
      </c>
    </row>
    <row r="84" spans="1:23" x14ac:dyDescent="0.2">
      <c r="A84" s="51"/>
      <c r="B84" s="7"/>
      <c r="C84" s="7"/>
      <c r="D84" s="7"/>
      <c r="E84" s="7"/>
      <c r="F84" s="7"/>
      <c r="G84" s="7"/>
      <c r="H84" s="7"/>
      <c r="I84" s="7"/>
      <c r="J84" s="7"/>
      <c r="K84" s="7"/>
      <c r="L84" s="7"/>
      <c r="M84" s="116"/>
      <c r="N84" s="7"/>
      <c r="O84" s="7"/>
      <c r="P84" s="7"/>
      <c r="Q84" s="7"/>
      <c r="R84" s="7"/>
      <c r="S84" s="7"/>
      <c r="T84" s="7"/>
      <c r="U84" s="7"/>
      <c r="V84" s="7"/>
      <c r="W84" s="52"/>
    </row>
    <row r="85" spans="1:23" x14ac:dyDescent="0.2">
      <c r="A85" s="51"/>
      <c r="B85" s="7"/>
      <c r="C85" s="7"/>
      <c r="D85" s="7"/>
      <c r="E85" s="7"/>
      <c r="F85" s="7"/>
      <c r="G85" s="7"/>
      <c r="H85" s="7"/>
      <c r="I85" s="7"/>
      <c r="J85" s="7"/>
      <c r="K85" s="7"/>
      <c r="L85" s="7"/>
      <c r="M85" s="116"/>
      <c r="N85" s="7"/>
      <c r="O85" s="7"/>
      <c r="P85" s="7"/>
      <c r="Q85" s="7"/>
      <c r="R85" s="7"/>
      <c r="S85" s="7"/>
      <c r="T85" s="7"/>
      <c r="U85" s="7"/>
      <c r="V85" s="7"/>
      <c r="W85" s="52"/>
    </row>
    <row r="86" spans="1:23" x14ac:dyDescent="0.2">
      <c r="A86" s="127" t="s">
        <v>54</v>
      </c>
      <c r="B86" s="111"/>
      <c r="C86" s="111"/>
      <c r="D86" s="111"/>
      <c r="E86" s="111"/>
      <c r="F86" s="111"/>
      <c r="G86" s="111"/>
      <c r="H86" s="111"/>
      <c r="I86" s="111"/>
      <c r="J86" s="111"/>
      <c r="K86" s="111"/>
      <c r="L86" s="111"/>
      <c r="M86" s="112"/>
      <c r="N86" s="111"/>
      <c r="O86" s="111"/>
      <c r="P86" s="111"/>
      <c r="Q86" s="111"/>
      <c r="R86" s="111"/>
      <c r="S86" s="111"/>
      <c r="T86" s="111"/>
      <c r="U86" s="111"/>
      <c r="V86" s="111"/>
      <c r="W86" s="128"/>
    </row>
    <row r="87" spans="1:23" x14ac:dyDescent="0.2">
      <c r="A87" s="51" t="s">
        <v>52</v>
      </c>
      <c r="B87" s="7" t="s">
        <v>4</v>
      </c>
      <c r="C87" s="7"/>
      <c r="D87" s="7">
        <v>2</v>
      </c>
      <c r="E87" s="7">
        <v>3</v>
      </c>
      <c r="F87" s="7">
        <v>4</v>
      </c>
      <c r="G87" s="7">
        <v>5</v>
      </c>
      <c r="H87" s="7">
        <v>6</v>
      </c>
      <c r="I87" s="7">
        <v>7</v>
      </c>
      <c r="J87" s="7">
        <v>8</v>
      </c>
      <c r="K87" s="7">
        <v>9</v>
      </c>
      <c r="L87" s="7">
        <v>10</v>
      </c>
      <c r="M87" s="120">
        <v>11</v>
      </c>
      <c r="N87" s="44">
        <v>12</v>
      </c>
      <c r="O87" s="44">
        <v>13</v>
      </c>
      <c r="P87" s="44">
        <v>14</v>
      </c>
      <c r="Q87" s="44">
        <v>15</v>
      </c>
      <c r="R87" s="44">
        <v>16</v>
      </c>
      <c r="S87" s="44">
        <v>17</v>
      </c>
      <c r="T87" s="44">
        <v>18</v>
      </c>
      <c r="U87" s="44">
        <v>19</v>
      </c>
      <c r="V87" s="44">
        <v>20</v>
      </c>
      <c r="W87" s="121">
        <v>20</v>
      </c>
    </row>
    <row r="88" spans="1:23" x14ac:dyDescent="0.2">
      <c r="A88" s="51"/>
      <c r="B88" s="7"/>
      <c r="C88" s="7"/>
      <c r="D88" s="7"/>
      <c r="E88" s="7"/>
      <c r="F88" s="7"/>
      <c r="G88" s="7"/>
      <c r="H88" s="7"/>
      <c r="I88" s="7"/>
      <c r="J88" s="7"/>
      <c r="K88" s="7"/>
      <c r="L88" s="7"/>
      <c r="M88" s="116"/>
      <c r="N88" s="7"/>
      <c r="O88" s="7"/>
      <c r="P88" s="7"/>
      <c r="Q88" s="7"/>
      <c r="R88" s="7"/>
      <c r="S88" s="7"/>
      <c r="T88" s="7"/>
      <c r="U88" s="7"/>
      <c r="V88" s="7"/>
      <c r="W88" s="52"/>
    </row>
    <row r="89" spans="1:23" x14ac:dyDescent="0.2">
      <c r="A89" s="51"/>
      <c r="B89" s="7"/>
      <c r="C89" s="38">
        <f>+C7+C23+C31+C39+C46+C53+C60+C67+C74+C81</f>
        <v>-167327.37195215057</v>
      </c>
      <c r="D89" s="552">
        <f>+D7+D23+D31+D39+D46+D53+D60+D67+D74+D81</f>
        <v>24443.29587260685</v>
      </c>
      <c r="E89" s="38">
        <f>+E7+E23+E31+E39+E46+E53+E60+E67+E74+E81</f>
        <v>32571.366422318526</v>
      </c>
      <c r="F89" s="38">
        <f t="shared" ref="F89:W89" si="0">+F7+F23+F31+F39+F46+F53+F60+F67+F74+F81</f>
        <v>32571.366422318526</v>
      </c>
      <c r="G89" s="38">
        <f t="shared" si="0"/>
        <v>32571.366422318526</v>
      </c>
      <c r="H89" s="38">
        <f t="shared" si="0"/>
        <v>32571.366422318526</v>
      </c>
      <c r="I89" s="38">
        <f t="shared" si="0"/>
        <v>32571.366422318526</v>
      </c>
      <c r="J89" s="38">
        <f t="shared" si="0"/>
        <v>32571.366422318526</v>
      </c>
      <c r="K89" s="38">
        <f t="shared" si="0"/>
        <v>32571.366422318526</v>
      </c>
      <c r="L89" s="38">
        <f t="shared" si="0"/>
        <v>32571.366422318526</v>
      </c>
      <c r="M89" s="38">
        <f t="shared" si="0"/>
        <v>32571.366422318526</v>
      </c>
      <c r="N89" s="38">
        <f t="shared" si="0"/>
        <v>34988.575313393492</v>
      </c>
      <c r="O89" s="38">
        <f t="shared" si="0"/>
        <v>34988.575313393492</v>
      </c>
      <c r="P89" s="38">
        <f t="shared" si="0"/>
        <v>35420.565165037828</v>
      </c>
      <c r="Q89" s="38">
        <f t="shared" si="0"/>
        <v>35420.565165037828</v>
      </c>
      <c r="R89" s="38">
        <f t="shared" si="0"/>
        <v>35420.565165037828</v>
      </c>
      <c r="S89" s="38">
        <f t="shared" si="0"/>
        <v>35420.565165037828</v>
      </c>
      <c r="T89" s="38">
        <f t="shared" si="0"/>
        <v>35420.565165037828</v>
      </c>
      <c r="U89" s="38">
        <f t="shared" si="0"/>
        <v>35420.565165037828</v>
      </c>
      <c r="V89" s="38">
        <f t="shared" si="0"/>
        <v>35420.565165037828</v>
      </c>
      <c r="W89" s="38">
        <f t="shared" si="0"/>
        <v>35420.565165037828</v>
      </c>
    </row>
    <row r="90" spans="1:23" x14ac:dyDescent="0.2">
      <c r="A90" s="51"/>
      <c r="B90" s="7"/>
      <c r="C90" s="7"/>
      <c r="D90" s="7"/>
      <c r="E90" s="7"/>
      <c r="F90" s="7"/>
      <c r="G90" s="7"/>
      <c r="H90" s="7"/>
      <c r="I90" s="7"/>
      <c r="J90" s="7"/>
      <c r="K90" s="7"/>
      <c r="L90" s="7"/>
      <c r="M90" s="116"/>
      <c r="N90" s="7"/>
      <c r="O90" s="7"/>
      <c r="P90" s="7"/>
      <c r="Q90" s="7"/>
      <c r="R90" s="7"/>
      <c r="S90" s="7"/>
      <c r="T90" s="7"/>
      <c r="U90" s="7"/>
      <c r="V90" s="7"/>
      <c r="W90" s="52"/>
    </row>
    <row r="91" spans="1:23" ht="13.5" thickBot="1" x14ac:dyDescent="0.25">
      <c r="A91" s="134"/>
      <c r="B91" s="135" t="s">
        <v>53</v>
      </c>
      <c r="C91" s="136">
        <f>W91</f>
        <v>0.18282038814610146</v>
      </c>
      <c r="D91" s="135"/>
      <c r="E91" s="137">
        <f>IRR(C89:E89)</f>
        <v>-0.47975565181822311</v>
      </c>
      <c r="F91" s="137">
        <f>IRR(C89:F89)</f>
        <v>-0.24925952215224256</v>
      </c>
      <c r="G91" s="137">
        <f>IRR(C89:G89)</f>
        <v>-0.11122073623486517</v>
      </c>
      <c r="H91" s="137">
        <f>IRR(C89:H89)</f>
        <v>-2.4709828088532726E-2</v>
      </c>
      <c r="I91" s="137">
        <f>IRR(C89:I89)</f>
        <v>3.2137035091151178E-2</v>
      </c>
      <c r="J91" s="137">
        <f>IRR(C89:J89)</f>
        <v>7.1015931329283077E-2</v>
      </c>
      <c r="K91" s="137">
        <f>IRR(C89:K89)</f>
        <v>9.848759756879466E-2</v>
      </c>
      <c r="L91" s="137">
        <f>IRR(C89:L89)</f>
        <v>0.1184212978545085</v>
      </c>
      <c r="M91" s="138">
        <f>IRR(C89:M89)</f>
        <v>0.13320385353419772</v>
      </c>
      <c r="N91" s="139">
        <f>IRR(C89:N89)</f>
        <v>0.14513452991551379</v>
      </c>
      <c r="O91" s="139">
        <f>IRR(C89:O89)</f>
        <v>0.15419993133915799</v>
      </c>
      <c r="P91" s="139">
        <f>IRR(C89:P89)</f>
        <v>0.16127127809450337</v>
      </c>
      <c r="Q91" s="139">
        <f>IRR(C89:Q89)</f>
        <v>0.16678316061266862</v>
      </c>
      <c r="R91" s="139">
        <f>IRR(C89:R89)</f>
        <v>0.17112400964998975</v>
      </c>
      <c r="S91" s="139">
        <f>IRR(C89:S89)</f>
        <v>0.17457248720766438</v>
      </c>
      <c r="T91" s="139">
        <f>IRR(C89:T89)</f>
        <v>0.17733240974643905</v>
      </c>
      <c r="U91" s="139">
        <f>IRR(C89:U89)</f>
        <v>0.17955533037846316</v>
      </c>
      <c r="V91" s="139">
        <f>IRR(C89:V89)</f>
        <v>0.18135555801094494</v>
      </c>
      <c r="W91" s="140">
        <f>IRR($C89:W89)</f>
        <v>0.18282038814610146</v>
      </c>
    </row>
    <row r="94" spans="1:23" x14ac:dyDescent="0.2">
      <c r="A94" s="803" t="s">
        <v>1126</v>
      </c>
    </row>
    <row r="95" spans="1:23" x14ac:dyDescent="0.2">
      <c r="A95" s="804" t="s">
        <v>52</v>
      </c>
      <c r="C95" s="186" t="s">
        <v>1128</v>
      </c>
      <c r="D95" s="186">
        <v>1</v>
      </c>
      <c r="E95" s="186">
        <v>2</v>
      </c>
      <c r="F95" s="186">
        <v>3</v>
      </c>
      <c r="G95" s="186">
        <v>4</v>
      </c>
      <c r="H95" s="186">
        <v>5</v>
      </c>
    </row>
    <row r="96" spans="1:23" x14ac:dyDescent="0.2">
      <c r="A96" s="805" t="s">
        <v>1129</v>
      </c>
      <c r="D96" s="806">
        <v>8.0571000000000002</v>
      </c>
      <c r="E96" s="806">
        <v>8.4171570833333291</v>
      </c>
      <c r="F96" s="806">
        <v>8.0898672145930792</v>
      </c>
      <c r="G96" s="806">
        <v>8.6284413726551197</v>
      </c>
      <c r="H96" s="806">
        <v>8.3000000000000007</v>
      </c>
      <c r="I96" s="884">
        <f>H96</f>
        <v>8.3000000000000007</v>
      </c>
      <c r="J96" s="884">
        <f t="shared" ref="J96:W96" si="1">I96</f>
        <v>8.3000000000000007</v>
      </c>
      <c r="K96" s="884">
        <f t="shared" si="1"/>
        <v>8.3000000000000007</v>
      </c>
      <c r="L96" s="884">
        <f t="shared" si="1"/>
        <v>8.3000000000000007</v>
      </c>
      <c r="M96" s="884">
        <f t="shared" si="1"/>
        <v>8.3000000000000007</v>
      </c>
      <c r="N96" s="884">
        <f t="shared" si="1"/>
        <v>8.3000000000000007</v>
      </c>
      <c r="O96" s="884">
        <f t="shared" si="1"/>
        <v>8.3000000000000007</v>
      </c>
      <c r="P96" s="884">
        <f t="shared" si="1"/>
        <v>8.3000000000000007</v>
      </c>
      <c r="Q96" s="884">
        <f t="shared" si="1"/>
        <v>8.3000000000000007</v>
      </c>
      <c r="R96" s="884">
        <f t="shared" si="1"/>
        <v>8.3000000000000007</v>
      </c>
      <c r="S96" s="884">
        <f t="shared" si="1"/>
        <v>8.3000000000000007</v>
      </c>
      <c r="T96" s="884">
        <f t="shared" si="1"/>
        <v>8.3000000000000007</v>
      </c>
      <c r="U96" s="884">
        <f t="shared" si="1"/>
        <v>8.3000000000000007</v>
      </c>
      <c r="V96" s="884">
        <f t="shared" si="1"/>
        <v>8.3000000000000007</v>
      </c>
      <c r="W96" s="884">
        <f t="shared" si="1"/>
        <v>8.3000000000000007</v>
      </c>
    </row>
    <row r="99" spans="1:23" x14ac:dyDescent="0.2">
      <c r="A99" s="803" t="s">
        <v>1132</v>
      </c>
      <c r="D99" s="422">
        <f>'ooc2 DFP'!C176+'ooc2 DFP'!C181</f>
        <v>0</v>
      </c>
      <c r="E99" s="422">
        <f>'ooc2 DFP'!D176+'ooc2 DFP'!D181</f>
        <v>0</v>
      </c>
      <c r="F99" s="422">
        <f>'ooc2 DFP'!E176+'ooc2 DFP'!E181</f>
        <v>0</v>
      </c>
      <c r="G99" s="422">
        <f>'ooc2 DFP'!F176+'ooc2 DFP'!F181</f>
        <v>1044490.4599999989</v>
      </c>
      <c r="H99" s="422">
        <f>'ooc2 DFP'!G176+'ooc2 DFP'!G181</f>
        <v>2973763.71947265</v>
      </c>
    </row>
    <row r="100" spans="1:23" x14ac:dyDescent="0.2">
      <c r="A100" s="803" t="s">
        <v>1133</v>
      </c>
      <c r="B100">
        <f>SUM('ooc2 DFP'!C111:G111)/(SUM('ooc2 DFP'!C186:G186)-SUM('ooc2 DFP'!C176:G176,'ooc2 DFP'!C181:G181))</f>
        <v>0.66104042724310008</v>
      </c>
      <c r="D100" s="809">
        <f>D99*$B$100</f>
        <v>0</v>
      </c>
      <c r="E100" s="809">
        <f t="shared" ref="E100:H100" si="2">E99*$B$100</f>
        <v>0</v>
      </c>
      <c r="F100" s="809">
        <f t="shared" si="2"/>
        <v>0</v>
      </c>
      <c r="G100" s="809">
        <f t="shared" si="2"/>
        <v>690450.41992974142</v>
      </c>
      <c r="H100" s="809">
        <f t="shared" si="2"/>
        <v>1965778.0396402311</v>
      </c>
    </row>
    <row r="102" spans="1:23" x14ac:dyDescent="0.2">
      <c r="A102" s="803" t="s">
        <v>1134</v>
      </c>
      <c r="D102" s="809">
        <v>0</v>
      </c>
      <c r="E102" s="809">
        <v>0</v>
      </c>
      <c r="F102" s="809">
        <v>0</v>
      </c>
      <c r="G102" s="809">
        <v>502698.28454328264</v>
      </c>
      <c r="H102" s="809">
        <v>1431229.8461930943</v>
      </c>
    </row>
    <row r="103" spans="1:23" x14ac:dyDescent="0.2">
      <c r="A103" s="807" t="s">
        <v>1131</v>
      </c>
      <c r="B103" s="186"/>
      <c r="D103" s="808">
        <f t="shared" ref="D103:G103" si="3">D100-D102</f>
        <v>0</v>
      </c>
      <c r="E103" s="808">
        <f t="shared" si="3"/>
        <v>0</v>
      </c>
      <c r="F103" s="808">
        <f t="shared" si="3"/>
        <v>0</v>
      </c>
      <c r="G103" s="808">
        <f t="shared" si="3"/>
        <v>187752.13538645877</v>
      </c>
      <c r="H103" s="808">
        <f>H100-H102</f>
        <v>534548.19344713679</v>
      </c>
    </row>
    <row r="104" spans="1:23" x14ac:dyDescent="0.2">
      <c r="A104" s="807" t="s">
        <v>1130</v>
      </c>
      <c r="B104" s="186">
        <f>'july 2013 PPA monthly report'!S25</f>
        <v>3.1032936166660294E-2</v>
      </c>
      <c r="D104" s="810">
        <f>$B$104*'ooc2 DFP'!C554</f>
        <v>144372.0928426646</v>
      </c>
      <c r="E104" s="810">
        <f>$B$104*'ooc2 DFP'!D554</f>
        <v>409858.39840867516</v>
      </c>
      <c r="F104" s="810">
        <f>$B$104*'ooc2 DFP'!E554</f>
        <v>559624.19308353146</v>
      </c>
      <c r="G104" s="810">
        <f>$B$104*'ooc2 DFP'!F554</f>
        <v>485444.47571065981</v>
      </c>
      <c r="H104" s="810">
        <f>$B$104*'ooc2 DFP'!G554</f>
        <v>693312.04235949693</v>
      </c>
    </row>
    <row r="105" spans="1:23" x14ac:dyDescent="0.2">
      <c r="A105" s="803" t="s">
        <v>1136</v>
      </c>
      <c r="B105">
        <f>'july 2013 PPA monthly report'!R31</f>
        <v>0.27192703482686553</v>
      </c>
      <c r="D105" s="809">
        <f>$B$105*'ooc2 DFP'!C111</f>
        <v>214863.25441187646</v>
      </c>
      <c r="E105" s="809">
        <f>$B$105*'ooc2 DFP'!D111</f>
        <v>912110.11447446735</v>
      </c>
      <c r="F105" s="809">
        <f>$B$105*'ooc2 DFP'!E111</f>
        <v>2171263.8222681419</v>
      </c>
      <c r="G105" s="809">
        <f>$B$105*'ooc2 DFP'!F111</f>
        <v>3942186.4720389056</v>
      </c>
      <c r="H105" s="809">
        <f>$B$105*'ooc2 DFP'!G111</f>
        <v>7448310.8108533984</v>
      </c>
    </row>
    <row r="106" spans="1:23" x14ac:dyDescent="0.2">
      <c r="A106" s="803" t="s">
        <v>1137</v>
      </c>
      <c r="D106" s="811">
        <f>SUM(D103:D105)</f>
        <v>359235.34725454106</v>
      </c>
      <c r="E106" s="811">
        <f t="shared" ref="E106:H106" si="4">SUM(E103:E105)</f>
        <v>1321968.5128831426</v>
      </c>
      <c r="F106" s="811">
        <f t="shared" si="4"/>
        <v>2730888.0153516736</v>
      </c>
      <c r="G106" s="811">
        <f t="shared" si="4"/>
        <v>4615383.083136024</v>
      </c>
      <c r="H106" s="811">
        <f t="shared" si="4"/>
        <v>8676171.0466600321</v>
      </c>
    </row>
    <row r="107" spans="1:23" x14ac:dyDescent="0.2">
      <c r="A107" s="803" t="s">
        <v>1138</v>
      </c>
      <c r="D107" s="809">
        <f>D106*D96</f>
        <v>2894395.1163645629</v>
      </c>
      <c r="E107" s="809">
        <f t="shared" ref="E107:H107" si="5">E106*E96</f>
        <v>11127216.63215797</v>
      </c>
      <c r="F107" s="809">
        <f t="shared" si="5"/>
        <v>22092521.422118668</v>
      </c>
      <c r="G107" s="809">
        <f t="shared" si="5"/>
        <v>39823562.34518341</v>
      </c>
      <c r="H107" s="809">
        <f t="shared" si="5"/>
        <v>72012219.687278271</v>
      </c>
    </row>
    <row r="109" spans="1:23" x14ac:dyDescent="0.2">
      <c r="A109" s="803" t="s">
        <v>1139</v>
      </c>
      <c r="I109" s="809">
        <f>1000*D89</f>
        <v>24443295.872606851</v>
      </c>
      <c r="J109" s="809">
        <f>1000*E89</f>
        <v>32571366.422318526</v>
      </c>
      <c r="K109" s="809">
        <f>1000*F89</f>
        <v>32571366.422318526</v>
      </c>
      <c r="L109" s="809">
        <f>1000*G89</f>
        <v>32571366.422318526</v>
      </c>
      <c r="M109" s="809">
        <f>1000*H89</f>
        <v>32571366.422318526</v>
      </c>
      <c r="N109" s="809">
        <f t="shared" ref="N109:W109" si="6">1000*I89</f>
        <v>32571366.422318526</v>
      </c>
      <c r="O109" s="809">
        <f t="shared" si="6"/>
        <v>32571366.422318526</v>
      </c>
      <c r="P109" s="809">
        <f t="shared" si="6"/>
        <v>32571366.422318526</v>
      </c>
      <c r="Q109" s="809">
        <f t="shared" si="6"/>
        <v>32571366.422318526</v>
      </c>
      <c r="R109" s="809">
        <f t="shared" si="6"/>
        <v>32571366.422318526</v>
      </c>
      <c r="S109" s="809">
        <f t="shared" si="6"/>
        <v>34988575.313393489</v>
      </c>
      <c r="T109" s="809">
        <f t="shared" si="6"/>
        <v>34988575.313393489</v>
      </c>
      <c r="U109" s="809">
        <f t="shared" si="6"/>
        <v>35420565.165037826</v>
      </c>
      <c r="V109" s="809">
        <f t="shared" si="6"/>
        <v>35420565.165037826</v>
      </c>
      <c r="W109" s="809">
        <f t="shared" si="6"/>
        <v>35420565.165037826</v>
      </c>
    </row>
    <row r="111" spans="1:23" x14ac:dyDescent="0.2">
      <c r="A111" s="803" t="s">
        <v>1140</v>
      </c>
      <c r="D111" s="812">
        <f>D109-D107</f>
        <v>-2894395.1163645629</v>
      </c>
      <c r="E111" s="812">
        <f t="shared" ref="E111:W111" si="7">E109-E107</f>
        <v>-11127216.63215797</v>
      </c>
      <c r="F111" s="812">
        <f t="shared" si="7"/>
        <v>-22092521.422118668</v>
      </c>
      <c r="G111" s="812">
        <f t="shared" si="7"/>
        <v>-39823562.34518341</v>
      </c>
      <c r="H111" s="812">
        <f t="shared" si="7"/>
        <v>-72012219.687278271</v>
      </c>
      <c r="I111" s="812">
        <f t="shared" si="7"/>
        <v>24443295.872606851</v>
      </c>
      <c r="J111" s="809">
        <f t="shared" si="7"/>
        <v>32571366.422318526</v>
      </c>
      <c r="K111" s="812">
        <f t="shared" si="7"/>
        <v>32571366.422318526</v>
      </c>
      <c r="L111" s="812">
        <f t="shared" si="7"/>
        <v>32571366.422318526</v>
      </c>
      <c r="M111" s="812">
        <f t="shared" si="7"/>
        <v>32571366.422318526</v>
      </c>
      <c r="N111" s="812">
        <f t="shared" si="7"/>
        <v>32571366.422318526</v>
      </c>
      <c r="O111" s="812">
        <f t="shared" si="7"/>
        <v>32571366.422318526</v>
      </c>
      <c r="P111" s="812">
        <f t="shared" si="7"/>
        <v>32571366.422318526</v>
      </c>
      <c r="Q111" s="812">
        <f t="shared" si="7"/>
        <v>32571366.422318526</v>
      </c>
      <c r="R111" s="812">
        <f t="shared" si="7"/>
        <v>32571366.422318526</v>
      </c>
      <c r="S111" s="812">
        <f t="shared" si="7"/>
        <v>34988575.313393489</v>
      </c>
      <c r="T111" s="812">
        <f t="shared" si="7"/>
        <v>34988575.313393489</v>
      </c>
      <c r="U111" s="812">
        <f t="shared" si="7"/>
        <v>35420565.165037826</v>
      </c>
      <c r="V111" s="812">
        <f t="shared" si="7"/>
        <v>35420565.165037826</v>
      </c>
      <c r="W111" s="812">
        <f t="shared" si="7"/>
        <v>35420565.165037826</v>
      </c>
    </row>
    <row r="112" spans="1:23" x14ac:dyDescent="0.2">
      <c r="A112" s="803" t="s">
        <v>1141</v>
      </c>
      <c r="B112" s="10">
        <f>IRR(D111:W111)</f>
        <v>0.16600313689511004</v>
      </c>
    </row>
    <row r="114" spans="1:23" x14ac:dyDescent="0.2">
      <c r="A114" s="803" t="s">
        <v>1145</v>
      </c>
    </row>
    <row r="115" spans="1:23" x14ac:dyDescent="0.2">
      <c r="A115" s="803" t="s">
        <v>1142</v>
      </c>
      <c r="B115" s="420">
        <f>'Value Chain'!D243</f>
        <v>2338</v>
      </c>
    </row>
    <row r="116" spans="1:23" x14ac:dyDescent="0.2">
      <c r="A116" s="803"/>
    </row>
    <row r="117" spans="1:23" x14ac:dyDescent="0.2">
      <c r="A117" s="803" t="s">
        <v>1146</v>
      </c>
    </row>
    <row r="118" spans="1:23" x14ac:dyDescent="0.2">
      <c r="A118" s="803" t="s">
        <v>1143</v>
      </c>
      <c r="B118">
        <v>111459</v>
      </c>
    </row>
    <row r="119" spans="1:23" x14ac:dyDescent="0.2">
      <c r="A119" s="803" t="s">
        <v>1144</v>
      </c>
      <c r="B119">
        <v>200710</v>
      </c>
    </row>
    <row r="120" spans="1:23" x14ac:dyDescent="0.2">
      <c r="A120" s="803" t="s">
        <v>1147</v>
      </c>
      <c r="B120">
        <f>B119-B118</f>
        <v>89251</v>
      </c>
    </row>
    <row r="122" spans="1:23" x14ac:dyDescent="0.2">
      <c r="A122" s="803" t="s">
        <v>1139</v>
      </c>
      <c r="I122">
        <f>$B$120*$B$115</f>
        <v>208668838</v>
      </c>
      <c r="J122">
        <f t="shared" ref="J122:W122" si="8">$B$120*$B$115</f>
        <v>208668838</v>
      </c>
      <c r="K122">
        <f t="shared" si="8"/>
        <v>208668838</v>
      </c>
      <c r="L122">
        <f t="shared" si="8"/>
        <v>208668838</v>
      </c>
      <c r="M122">
        <f t="shared" si="8"/>
        <v>208668838</v>
      </c>
      <c r="N122">
        <f t="shared" si="8"/>
        <v>208668838</v>
      </c>
      <c r="O122">
        <f t="shared" si="8"/>
        <v>208668838</v>
      </c>
      <c r="P122">
        <f t="shared" si="8"/>
        <v>208668838</v>
      </c>
      <c r="Q122">
        <f t="shared" si="8"/>
        <v>208668838</v>
      </c>
      <c r="R122">
        <f t="shared" si="8"/>
        <v>208668838</v>
      </c>
      <c r="S122">
        <f t="shared" si="8"/>
        <v>208668838</v>
      </c>
      <c r="T122">
        <f t="shared" si="8"/>
        <v>208668838</v>
      </c>
      <c r="U122">
        <f t="shared" si="8"/>
        <v>208668838</v>
      </c>
      <c r="V122">
        <f t="shared" si="8"/>
        <v>208668838</v>
      </c>
      <c r="W122">
        <f t="shared" si="8"/>
        <v>208668838</v>
      </c>
    </row>
    <row r="123" spans="1:23" x14ac:dyDescent="0.2">
      <c r="A123" s="803"/>
    </row>
    <row r="124" spans="1:23" x14ac:dyDescent="0.2">
      <c r="A124" s="803" t="s">
        <v>1140</v>
      </c>
      <c r="D124" s="489">
        <f>D122-D107</f>
        <v>-2894395.1163645629</v>
      </c>
      <c r="E124" s="489">
        <f t="shared" ref="E124:W124" si="9">E122-E107</f>
        <v>-11127216.63215797</v>
      </c>
      <c r="F124" s="489">
        <f t="shared" si="9"/>
        <v>-22092521.422118668</v>
      </c>
      <c r="G124" s="489">
        <f t="shared" si="9"/>
        <v>-39823562.34518341</v>
      </c>
      <c r="H124" s="489">
        <f t="shared" si="9"/>
        <v>-72012219.687278271</v>
      </c>
      <c r="I124" s="489">
        <f t="shared" si="9"/>
        <v>208668838</v>
      </c>
      <c r="J124" s="489">
        <f t="shared" si="9"/>
        <v>208668838</v>
      </c>
      <c r="K124" s="489">
        <f t="shared" si="9"/>
        <v>208668838</v>
      </c>
      <c r="L124" s="489">
        <f t="shared" si="9"/>
        <v>208668838</v>
      </c>
      <c r="M124" s="489">
        <f t="shared" si="9"/>
        <v>208668838</v>
      </c>
      <c r="N124" s="489">
        <f t="shared" si="9"/>
        <v>208668838</v>
      </c>
      <c r="O124" s="489">
        <f t="shared" si="9"/>
        <v>208668838</v>
      </c>
      <c r="P124" s="489">
        <f t="shared" si="9"/>
        <v>208668838</v>
      </c>
      <c r="Q124" s="489">
        <f t="shared" si="9"/>
        <v>208668838</v>
      </c>
      <c r="R124" s="489">
        <f t="shared" si="9"/>
        <v>208668838</v>
      </c>
      <c r="S124" s="489">
        <f t="shared" si="9"/>
        <v>208668838</v>
      </c>
      <c r="T124" s="489">
        <f t="shared" si="9"/>
        <v>208668838</v>
      </c>
      <c r="U124" s="489">
        <f t="shared" si="9"/>
        <v>208668838</v>
      </c>
      <c r="V124" s="489">
        <f t="shared" si="9"/>
        <v>208668838</v>
      </c>
      <c r="W124" s="489">
        <f t="shared" si="9"/>
        <v>208668838</v>
      </c>
    </row>
    <row r="126" spans="1:23" x14ac:dyDescent="0.2">
      <c r="A126" s="803" t="s">
        <v>53</v>
      </c>
      <c r="B126" s="10">
        <f>IRR(D124:W124)</f>
        <v>0.72283878052072992</v>
      </c>
    </row>
    <row r="128" spans="1:23" x14ac:dyDescent="0.2">
      <c r="A128" s="803" t="s">
        <v>1148</v>
      </c>
    </row>
    <row r="129" spans="1:1" x14ac:dyDescent="0.2">
      <c r="A129" s="803" t="s">
        <v>1149</v>
      </c>
    </row>
    <row r="130" spans="1:1" x14ac:dyDescent="0.2">
      <c r="A130" s="803" t="s">
        <v>1150</v>
      </c>
    </row>
    <row r="132" spans="1:1" x14ac:dyDescent="0.2">
      <c r="A132" s="803" t="s">
        <v>1151</v>
      </c>
    </row>
  </sheetData>
  <mergeCells count="4">
    <mergeCell ref="A1:O1"/>
    <mergeCell ref="A4:B4"/>
    <mergeCell ref="D3:L3"/>
    <mergeCell ref="A2:I2"/>
  </mergeCells>
  <phoneticPr fontId="4" type="noConversion"/>
  <conditionalFormatting sqref="A2">
    <cfRule type="cellIs" dxfId="15" priority="1" stopIfTrue="1" operator="equal">
      <formula>0</formula>
    </cfRule>
    <cfRule type="cellIs" dxfId="14" priority="2" stopIfTrue="1" operator="notEqual">
      <formula>0</formula>
    </cfRule>
  </conditionalFormatting>
  <pageMargins left="0.78740157499999996" right="0.78740157499999996" top="0.984251969" bottom="0.984251969" header="0.5" footer="0.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56"/>
  <sheetViews>
    <sheetView workbookViewId="0">
      <pane xSplit="2" ySplit="2" topLeftCell="AA153" activePane="bottomRight" state="frozenSplit"/>
      <selection pane="topRight" activeCell="E1" sqref="E1"/>
      <selection pane="bottomLeft" activeCell="A12" sqref="A12"/>
      <selection pane="bottomRight" activeCell="AB555" sqref="AB555:AG556"/>
    </sheetView>
  </sheetViews>
  <sheetFormatPr defaultColWidth="9.140625" defaultRowHeight="15" x14ac:dyDescent="0.25"/>
  <cols>
    <col min="1" max="1" width="40.140625" style="618" customWidth="1"/>
    <col min="2" max="7" width="18.28515625" style="618" customWidth="1"/>
    <col min="8" max="25" width="15.7109375" style="618" customWidth="1"/>
    <col min="26" max="26" width="18.28515625" style="618" customWidth="1"/>
    <col min="27" max="27" width="17.7109375" style="618" customWidth="1"/>
    <col min="28" max="28" width="15.7109375" style="618" customWidth="1"/>
    <col min="29" max="29" width="19.85546875" style="618" customWidth="1"/>
    <col min="30" max="31" width="15.7109375" style="618" customWidth="1"/>
    <col min="32" max="16384" width="9.140625" style="618"/>
  </cols>
  <sheetData>
    <row r="1" spans="1:32" ht="38.25" x14ac:dyDescent="0.25">
      <c r="A1" s="610"/>
      <c r="B1" s="611" t="s">
        <v>385</v>
      </c>
      <c r="C1" s="611" t="s">
        <v>386</v>
      </c>
      <c r="D1" s="611" t="s">
        <v>387</v>
      </c>
      <c r="E1" s="611" t="s">
        <v>388</v>
      </c>
      <c r="F1" s="611" t="s">
        <v>389</v>
      </c>
      <c r="G1" s="611" t="s">
        <v>390</v>
      </c>
      <c r="H1" s="612" t="s">
        <v>391</v>
      </c>
      <c r="I1" s="612" t="s">
        <v>392</v>
      </c>
      <c r="J1" s="612" t="s">
        <v>393</v>
      </c>
      <c r="K1" s="613" t="s">
        <v>394</v>
      </c>
      <c r="L1" s="612" t="s">
        <v>395</v>
      </c>
      <c r="M1" s="612" t="s">
        <v>396</v>
      </c>
      <c r="N1" s="612" t="s">
        <v>397</v>
      </c>
      <c r="O1" s="612" t="s">
        <v>398</v>
      </c>
      <c r="P1" s="612" t="s">
        <v>399</v>
      </c>
      <c r="Q1" s="612" t="s">
        <v>400</v>
      </c>
      <c r="R1" s="612" t="s">
        <v>401</v>
      </c>
      <c r="S1" s="612" t="s">
        <v>402</v>
      </c>
      <c r="T1" s="612" t="s">
        <v>403</v>
      </c>
      <c r="U1" s="612" t="s">
        <v>404</v>
      </c>
      <c r="V1" s="612" t="s">
        <v>405</v>
      </c>
      <c r="W1" s="612" t="s">
        <v>406</v>
      </c>
      <c r="X1" s="612" t="s">
        <v>407</v>
      </c>
      <c r="Y1" s="612" t="s">
        <v>408</v>
      </c>
      <c r="Z1" s="614" t="s">
        <v>409</v>
      </c>
      <c r="AA1" s="615" t="s">
        <v>410</v>
      </c>
      <c r="AB1" s="616" t="s">
        <v>411</v>
      </c>
      <c r="AC1" s="617" t="s">
        <v>412</v>
      </c>
      <c r="AD1" s="928" t="s">
        <v>413</v>
      </c>
      <c r="AE1" s="928" t="s">
        <v>414</v>
      </c>
    </row>
    <row r="2" spans="1:32" ht="25.5" x14ac:dyDescent="0.25">
      <c r="A2" s="619" t="s">
        <v>415</v>
      </c>
      <c r="B2" s="620"/>
      <c r="C2" s="620"/>
      <c r="D2" s="620"/>
      <c r="E2" s="620"/>
      <c r="F2" s="620"/>
      <c r="G2" s="620"/>
      <c r="H2" s="612" t="s">
        <v>416</v>
      </c>
      <c r="I2" s="612" t="s">
        <v>417</v>
      </c>
      <c r="J2" s="612" t="s">
        <v>418</v>
      </c>
      <c r="K2" s="612" t="s">
        <v>419</v>
      </c>
      <c r="L2" s="612" t="s">
        <v>420</v>
      </c>
      <c r="M2" s="612" t="s">
        <v>421</v>
      </c>
      <c r="N2" s="612" t="s">
        <v>422</v>
      </c>
      <c r="O2" s="612" t="s">
        <v>423</v>
      </c>
      <c r="P2" s="612" t="s">
        <v>424</v>
      </c>
      <c r="Q2" s="612" t="s">
        <v>425</v>
      </c>
      <c r="R2" s="612" t="s">
        <v>426</v>
      </c>
      <c r="S2" s="612" t="s">
        <v>427</v>
      </c>
      <c r="T2" s="612" t="s">
        <v>428</v>
      </c>
      <c r="U2" s="612" t="s">
        <v>429</v>
      </c>
      <c r="V2" s="612" t="s">
        <v>430</v>
      </c>
      <c r="W2" s="612" t="s">
        <v>431</v>
      </c>
      <c r="X2" s="612" t="s">
        <v>432</v>
      </c>
      <c r="Y2" s="612" t="s">
        <v>433</v>
      </c>
      <c r="Z2" s="614" t="s">
        <v>434</v>
      </c>
      <c r="AA2" s="615" t="s">
        <v>435</v>
      </c>
      <c r="AB2" s="621"/>
      <c r="AC2" s="617"/>
      <c r="AD2" s="928"/>
      <c r="AE2" s="928"/>
      <c r="AF2" s="618" t="s">
        <v>436</v>
      </c>
    </row>
    <row r="3" spans="1:32" x14ac:dyDescent="0.25">
      <c r="A3" s="622"/>
      <c r="B3" s="623"/>
      <c r="C3" s="623"/>
      <c r="D3" s="623"/>
      <c r="E3" s="623"/>
      <c r="F3" s="623"/>
      <c r="G3" s="623"/>
      <c r="H3" s="624" t="s">
        <v>437</v>
      </c>
      <c r="I3" s="624" t="s">
        <v>438</v>
      </c>
      <c r="J3" s="624" t="s">
        <v>439</v>
      </c>
      <c r="K3" s="624" t="s">
        <v>440</v>
      </c>
      <c r="L3" s="624" t="s">
        <v>441</v>
      </c>
      <c r="M3" s="624" t="s">
        <v>442</v>
      </c>
      <c r="N3" s="624" t="s">
        <v>443</v>
      </c>
      <c r="O3" s="624" t="s">
        <v>444</v>
      </c>
      <c r="P3" s="624" t="s">
        <v>445</v>
      </c>
      <c r="Q3" s="625" t="s">
        <v>446</v>
      </c>
      <c r="R3" s="626" t="s">
        <v>447</v>
      </c>
      <c r="S3" s="626" t="s">
        <v>448</v>
      </c>
      <c r="T3" s="626" t="s">
        <v>449</v>
      </c>
      <c r="U3" s="626" t="s">
        <v>450</v>
      </c>
      <c r="V3" s="626" t="s">
        <v>451</v>
      </c>
      <c r="W3" s="626" t="s">
        <v>452</v>
      </c>
      <c r="X3" s="626" t="s">
        <v>453</v>
      </c>
      <c r="Y3" s="626" t="s">
        <v>454</v>
      </c>
      <c r="Z3" s="626" t="s">
        <v>455</v>
      </c>
      <c r="AA3" s="626" t="s">
        <v>456</v>
      </c>
      <c r="AB3" s="627" t="s">
        <v>457</v>
      </c>
      <c r="AC3" s="628" t="s">
        <v>458</v>
      </c>
      <c r="AD3" s="626" t="s">
        <v>459</v>
      </c>
      <c r="AE3" s="627" t="s">
        <v>460</v>
      </c>
    </row>
    <row r="4" spans="1:32" x14ac:dyDescent="0.25">
      <c r="A4" s="629" t="s">
        <v>461</v>
      </c>
      <c r="B4" s="630"/>
      <c r="C4" s="630"/>
      <c r="D4" s="630"/>
      <c r="E4" s="630"/>
      <c r="F4" s="630"/>
      <c r="G4" s="630"/>
      <c r="H4" s="631"/>
      <c r="I4" s="631"/>
      <c r="J4" s="631"/>
      <c r="K4" s="631"/>
      <c r="L4" s="631"/>
      <c r="M4" s="631"/>
      <c r="N4" s="631"/>
      <c r="O4" s="631"/>
      <c r="P4" s="631"/>
      <c r="Q4" s="632"/>
      <c r="R4" s="631"/>
      <c r="S4" s="631"/>
      <c r="T4" s="631"/>
      <c r="U4" s="631"/>
      <c r="V4" s="631"/>
      <c r="W4" s="631"/>
      <c r="X4" s="631"/>
      <c r="Y4" s="631"/>
      <c r="Z4" s="631"/>
      <c r="AA4" s="631"/>
      <c r="AB4" s="631"/>
      <c r="AC4" s="633"/>
      <c r="AD4" s="631"/>
      <c r="AE4" s="631"/>
    </row>
    <row r="5" spans="1:32" ht="25.5" hidden="1" x14ac:dyDescent="0.25">
      <c r="A5" s="634" t="s">
        <v>462</v>
      </c>
      <c r="B5" s="635" t="s">
        <v>463</v>
      </c>
      <c r="C5" s="635">
        <f>SUM(H5:K5)</f>
        <v>3301309.41</v>
      </c>
      <c r="D5" s="635">
        <f>SUM(L5:O5)</f>
        <v>12945749.330000002</v>
      </c>
      <c r="E5" s="635">
        <f>SUM(P5:S5)</f>
        <v>44675073.080000006</v>
      </c>
      <c r="F5" s="635">
        <f>SUM(T5:W5)</f>
        <v>32640377.189999998</v>
      </c>
      <c r="G5" s="635">
        <f>SUM(X5:AA5)</f>
        <v>34452514.02866666</v>
      </c>
      <c r="H5" s="636">
        <v>0</v>
      </c>
      <c r="I5" s="636">
        <v>0</v>
      </c>
      <c r="J5" s="636">
        <v>432759</v>
      </c>
      <c r="K5" s="636">
        <v>2868550.41</v>
      </c>
      <c r="L5" s="636">
        <v>2369913.27</v>
      </c>
      <c r="M5" s="636">
        <v>1671462</v>
      </c>
      <c r="N5" s="636">
        <v>5502134.7700000005</v>
      </c>
      <c r="O5" s="636">
        <v>3402239.29</v>
      </c>
      <c r="P5" s="636">
        <v>5390410.3700000001</v>
      </c>
      <c r="Q5" s="637">
        <v>15185863.4</v>
      </c>
      <c r="R5" s="636">
        <v>18523494.960000001</v>
      </c>
      <c r="S5" s="636">
        <v>5575304.3499999996</v>
      </c>
      <c r="T5" s="636">
        <v>6948547.5999999996</v>
      </c>
      <c r="U5" s="636">
        <v>9954954.8399999999</v>
      </c>
      <c r="V5" s="636">
        <v>9112561.7300000004</v>
      </c>
      <c r="W5" s="636">
        <v>6624313.0199999996</v>
      </c>
      <c r="X5" s="636">
        <v>4428387.63</v>
      </c>
      <c r="Y5" s="636">
        <v>7345725.2300000004</v>
      </c>
      <c r="Z5" s="636">
        <v>9285930.6499999985</v>
      </c>
      <c r="AA5" s="636">
        <v>13392470.518666666</v>
      </c>
      <c r="AB5" s="636">
        <v>9160193.1177586988</v>
      </c>
      <c r="AC5" s="638">
        <v>128015023.03866668</v>
      </c>
      <c r="AD5" s="636">
        <v>137641006.81</v>
      </c>
      <c r="AE5" s="638">
        <v>9625983.7699999996</v>
      </c>
      <c r="AF5" s="618">
        <f t="shared" ref="AF5:AF68" si="0">AC5/$AC$556</f>
        <v>0.22063792004915395</v>
      </c>
    </row>
    <row r="6" spans="1:32" ht="25.5" hidden="1" x14ac:dyDescent="0.25">
      <c r="A6" s="639" t="s">
        <v>464</v>
      </c>
      <c r="B6" s="640" t="s">
        <v>465</v>
      </c>
      <c r="C6" s="635">
        <f t="shared" ref="C6:C69" si="1">SUM(H6:K6)</f>
        <v>2751421.79</v>
      </c>
      <c r="D6" s="635">
        <f t="shared" ref="D6:D69" si="2">SUM(L6:O6)</f>
        <v>3449166.5599999996</v>
      </c>
      <c r="E6" s="635">
        <f t="shared" ref="E6:E69" si="3">SUM(P6:S6)</f>
        <v>2871050.32</v>
      </c>
      <c r="F6" s="635">
        <f t="shared" ref="F6:F69" si="4">SUM(T6:W6)</f>
        <v>3766155.75</v>
      </c>
      <c r="G6" s="635">
        <f t="shared" ref="G6:G69" si="5">SUM(X6:AA6)</f>
        <v>4169982.5000000005</v>
      </c>
      <c r="H6" s="641">
        <v>0</v>
      </c>
      <c r="I6" s="641">
        <v>0</v>
      </c>
      <c r="J6" s="641">
        <v>432759</v>
      </c>
      <c r="K6" s="641">
        <v>2318662.79</v>
      </c>
      <c r="L6" s="641">
        <v>842486.53</v>
      </c>
      <c r="M6" s="641">
        <v>844201</v>
      </c>
      <c r="N6" s="641">
        <v>564469.73</v>
      </c>
      <c r="O6" s="641">
        <v>1198009.3</v>
      </c>
      <c r="P6" s="641">
        <v>554269.65999999992</v>
      </c>
      <c r="Q6" s="641">
        <v>890159.27</v>
      </c>
      <c r="R6" s="641">
        <v>855473.76</v>
      </c>
      <c r="S6" s="641">
        <v>571147.63</v>
      </c>
      <c r="T6" s="641">
        <v>1149771.23</v>
      </c>
      <c r="U6" s="641">
        <v>577835.09000000008</v>
      </c>
      <c r="V6" s="641">
        <v>576244.14</v>
      </c>
      <c r="W6" s="641">
        <v>1462305.29</v>
      </c>
      <c r="X6" s="641">
        <v>582132.6</v>
      </c>
      <c r="Y6" s="641">
        <v>589113.59000000008</v>
      </c>
      <c r="Z6" s="642">
        <v>1461323.1800000002</v>
      </c>
      <c r="AA6" s="641">
        <v>1537413.1300000004</v>
      </c>
      <c r="AB6" s="641">
        <v>0.29000000096857548</v>
      </c>
      <c r="AC6" s="643">
        <v>17007776.919999998</v>
      </c>
      <c r="AD6" s="643">
        <v>16932714.850000001</v>
      </c>
      <c r="AE6" s="643">
        <v>-75062.070000000007</v>
      </c>
      <c r="AF6" s="618">
        <f t="shared" si="0"/>
        <v>2.9313438651300733E-2</v>
      </c>
    </row>
    <row r="7" spans="1:32" ht="25.5" hidden="1" x14ac:dyDescent="0.25">
      <c r="A7" s="644" t="s">
        <v>466</v>
      </c>
      <c r="B7" s="640" t="s">
        <v>467</v>
      </c>
      <c r="C7" s="635">
        <f t="shared" si="1"/>
        <v>0</v>
      </c>
      <c r="D7" s="635">
        <f t="shared" si="2"/>
        <v>0</v>
      </c>
      <c r="E7" s="635">
        <f t="shared" si="3"/>
        <v>56852.75</v>
      </c>
      <c r="F7" s="635">
        <f t="shared" si="4"/>
        <v>77314.62</v>
      </c>
      <c r="G7" s="635">
        <f t="shared" si="5"/>
        <v>88223.59</v>
      </c>
      <c r="H7" s="645">
        <v>0</v>
      </c>
      <c r="I7" s="645">
        <v>0</v>
      </c>
      <c r="J7" s="645">
        <v>0</v>
      </c>
      <c r="K7" s="645">
        <v>0</v>
      </c>
      <c r="L7" s="645">
        <v>0</v>
      </c>
      <c r="M7" s="645">
        <v>0</v>
      </c>
      <c r="N7" s="645">
        <v>0</v>
      </c>
      <c r="O7" s="645">
        <v>0</v>
      </c>
      <c r="P7" s="645">
        <v>21413.06</v>
      </c>
      <c r="Q7" s="645">
        <v>23986.1</v>
      </c>
      <c r="R7" s="645">
        <v>0</v>
      </c>
      <c r="S7" s="645">
        <v>11453.59</v>
      </c>
      <c r="T7" s="645">
        <v>0</v>
      </c>
      <c r="U7" s="645">
        <v>33415.46</v>
      </c>
      <c r="V7" s="645">
        <v>43899.16</v>
      </c>
      <c r="W7" s="645">
        <v>0</v>
      </c>
      <c r="X7" s="645">
        <v>0</v>
      </c>
      <c r="Y7" s="645">
        <v>22971.11</v>
      </c>
      <c r="Z7" s="646">
        <v>22529.64</v>
      </c>
      <c r="AA7" s="641">
        <v>42722.84</v>
      </c>
      <c r="AB7" s="645">
        <v>-0.27000000000407454</v>
      </c>
      <c r="AC7" s="647">
        <v>222390.96</v>
      </c>
      <c r="AD7" s="647">
        <v>222390.69</v>
      </c>
      <c r="AE7" s="643">
        <v>-0.27</v>
      </c>
      <c r="AF7" s="618">
        <f t="shared" si="0"/>
        <v>3.8329781682977737E-4</v>
      </c>
    </row>
    <row r="8" spans="1:32" ht="25.5" hidden="1" x14ac:dyDescent="0.25">
      <c r="A8" s="639" t="s">
        <v>468</v>
      </c>
      <c r="B8" s="640" t="s">
        <v>469</v>
      </c>
      <c r="C8" s="635">
        <f t="shared" si="1"/>
        <v>0</v>
      </c>
      <c r="D8" s="635">
        <f t="shared" si="2"/>
        <v>0</v>
      </c>
      <c r="E8" s="635">
        <f t="shared" si="3"/>
        <v>1356147.4500000002</v>
      </c>
      <c r="F8" s="635">
        <f t="shared" si="4"/>
        <v>2276772.75</v>
      </c>
      <c r="G8" s="635">
        <f t="shared" si="5"/>
        <v>2211143.5999999996</v>
      </c>
      <c r="H8" s="648">
        <v>0</v>
      </c>
      <c r="I8" s="648">
        <v>0</v>
      </c>
      <c r="J8" s="648">
        <v>0</v>
      </c>
      <c r="K8" s="648">
        <v>0</v>
      </c>
      <c r="L8" s="648">
        <v>0</v>
      </c>
      <c r="M8" s="648">
        <v>0</v>
      </c>
      <c r="N8" s="648">
        <v>0</v>
      </c>
      <c r="O8" s="648">
        <v>0</v>
      </c>
      <c r="P8" s="648">
        <v>348723.54000000004</v>
      </c>
      <c r="Q8" s="648">
        <v>0</v>
      </c>
      <c r="R8" s="648">
        <v>813688.54</v>
      </c>
      <c r="S8" s="648">
        <v>193735.37</v>
      </c>
      <c r="T8" s="648">
        <v>735314.65000000014</v>
      </c>
      <c r="U8" s="648">
        <v>410350.67</v>
      </c>
      <c r="V8" s="648">
        <v>460276.37</v>
      </c>
      <c r="W8" s="648">
        <v>670831.06000000006</v>
      </c>
      <c r="X8" s="648">
        <v>324084.28000000003</v>
      </c>
      <c r="Y8" s="648">
        <v>468317.18</v>
      </c>
      <c r="Z8" s="648">
        <v>519679.39999999997</v>
      </c>
      <c r="AA8" s="641">
        <v>899062.74</v>
      </c>
      <c r="AB8" s="648">
        <v>0.87999999965541065</v>
      </c>
      <c r="AC8" s="647">
        <v>5844063.8000000007</v>
      </c>
      <c r="AD8" s="647">
        <v>5844064.6799999997</v>
      </c>
      <c r="AE8" s="643">
        <v>0.88</v>
      </c>
      <c r="AF8" s="618">
        <f t="shared" si="0"/>
        <v>1.0072427835888352E-2</v>
      </c>
    </row>
    <row r="9" spans="1:32" hidden="1" x14ac:dyDescent="0.25">
      <c r="A9" s="644" t="s">
        <v>470</v>
      </c>
      <c r="B9" s="640" t="s">
        <v>471</v>
      </c>
      <c r="C9" s="635">
        <f t="shared" si="1"/>
        <v>549887.62</v>
      </c>
      <c r="D9" s="635">
        <f t="shared" si="2"/>
        <v>9496582.7699999996</v>
      </c>
      <c r="E9" s="635">
        <f t="shared" si="3"/>
        <v>38665016.670000002</v>
      </c>
      <c r="F9" s="635">
        <f t="shared" si="4"/>
        <v>23628679.609999999</v>
      </c>
      <c r="G9" s="635">
        <f t="shared" si="5"/>
        <v>24992407.098666668</v>
      </c>
      <c r="H9" s="648">
        <v>0</v>
      </c>
      <c r="I9" s="648">
        <v>0</v>
      </c>
      <c r="J9" s="648">
        <v>0</v>
      </c>
      <c r="K9" s="648">
        <v>549887.62</v>
      </c>
      <c r="L9" s="648">
        <v>1527426.74</v>
      </c>
      <c r="M9" s="648">
        <v>827261</v>
      </c>
      <c r="N9" s="648">
        <v>4937665.04</v>
      </c>
      <c r="O9" s="648">
        <v>2204229.9900000002</v>
      </c>
      <c r="P9" s="648">
        <v>4022174.1100000003</v>
      </c>
      <c r="Q9" s="649">
        <v>14271718.030000001</v>
      </c>
      <c r="R9" s="648">
        <v>15818729.060000001</v>
      </c>
      <c r="S9" s="648">
        <v>4552395.4700000007</v>
      </c>
      <c r="T9" s="648">
        <v>4133863.02</v>
      </c>
      <c r="U9" s="648">
        <v>8411089.129999999</v>
      </c>
      <c r="V9" s="648">
        <v>7446335.7700000005</v>
      </c>
      <c r="W9" s="648">
        <v>3637391.69</v>
      </c>
      <c r="X9" s="648">
        <v>3109699.8600000003</v>
      </c>
      <c r="Y9" s="648">
        <v>5669283.2999999998</v>
      </c>
      <c r="Z9" s="648">
        <v>6620988.2899999991</v>
      </c>
      <c r="AA9" s="641">
        <v>9592435.6486666668</v>
      </c>
      <c r="AB9" s="648">
        <v>7568903.771333335</v>
      </c>
      <c r="AC9" s="647">
        <v>97332573.76866667</v>
      </c>
      <c r="AD9" s="647">
        <v>106337889.8</v>
      </c>
      <c r="AE9" s="643">
        <v>9005316.0299999993</v>
      </c>
      <c r="AF9" s="618">
        <f t="shared" si="0"/>
        <v>0.16775575334515933</v>
      </c>
    </row>
    <row r="10" spans="1:32" ht="25.5" hidden="1" x14ac:dyDescent="0.25">
      <c r="A10" s="650" t="s">
        <v>470</v>
      </c>
      <c r="B10" s="651" t="s">
        <v>472</v>
      </c>
      <c r="C10" s="635">
        <f t="shared" si="1"/>
        <v>549887.62</v>
      </c>
      <c r="D10" s="635">
        <f t="shared" si="2"/>
        <v>3740553.31</v>
      </c>
      <c r="E10" s="635">
        <f t="shared" si="3"/>
        <v>1752572.7100000002</v>
      </c>
      <c r="F10" s="635">
        <f t="shared" si="4"/>
        <v>763964.1100000001</v>
      </c>
      <c r="G10" s="635">
        <f t="shared" si="5"/>
        <v>0</v>
      </c>
      <c r="H10" s="649">
        <v>0</v>
      </c>
      <c r="I10" s="649">
        <v>0</v>
      </c>
      <c r="J10" s="649">
        <v>0</v>
      </c>
      <c r="K10" s="649">
        <v>549887.62</v>
      </c>
      <c r="L10" s="649">
        <v>1527426.74</v>
      </c>
      <c r="M10" s="649">
        <v>827261</v>
      </c>
      <c r="N10" s="649">
        <v>796621.86</v>
      </c>
      <c r="O10" s="649">
        <v>589243.71</v>
      </c>
      <c r="P10" s="649">
        <v>624972.56000000006</v>
      </c>
      <c r="Q10" s="649">
        <v>402234.22</v>
      </c>
      <c r="R10" s="649">
        <v>514669.42000000004</v>
      </c>
      <c r="S10" s="649">
        <v>210696.50999999998</v>
      </c>
      <c r="T10" s="649">
        <v>279003.97000000003</v>
      </c>
      <c r="U10" s="649">
        <v>172714.23999999999</v>
      </c>
      <c r="V10" s="649">
        <v>0</v>
      </c>
      <c r="W10" s="649">
        <v>312245.90000000002</v>
      </c>
      <c r="X10" s="649">
        <v>0</v>
      </c>
      <c r="Y10" s="649">
        <v>0</v>
      </c>
      <c r="Z10" s="649">
        <v>0</v>
      </c>
      <c r="AA10" s="641">
        <v>0</v>
      </c>
      <c r="AB10" s="649">
        <v>0</v>
      </c>
      <c r="AC10" s="652">
        <v>6806977.75</v>
      </c>
      <c r="AD10" s="652">
        <v>6806977.75</v>
      </c>
      <c r="AE10" s="653">
        <v>0</v>
      </c>
      <c r="AF10" s="618">
        <f t="shared" si="0"/>
        <v>1.1732040325667331E-2</v>
      </c>
    </row>
    <row r="11" spans="1:32" ht="25.5" hidden="1" x14ac:dyDescent="0.25">
      <c r="A11" s="650" t="s">
        <v>470</v>
      </c>
      <c r="B11" s="654" t="s">
        <v>473</v>
      </c>
      <c r="C11" s="635">
        <f t="shared" si="1"/>
        <v>0</v>
      </c>
      <c r="D11" s="635">
        <f t="shared" si="2"/>
        <v>5238859.370000001</v>
      </c>
      <c r="E11" s="635">
        <f t="shared" si="3"/>
        <v>12061818.59</v>
      </c>
      <c r="F11" s="635">
        <f t="shared" si="4"/>
        <v>7265848.6099999994</v>
      </c>
      <c r="G11" s="635">
        <f t="shared" si="5"/>
        <v>6580869.3420000002</v>
      </c>
      <c r="H11" s="649">
        <v>0</v>
      </c>
      <c r="I11" s="649">
        <v>0</v>
      </c>
      <c r="J11" s="649">
        <v>0</v>
      </c>
      <c r="K11" s="649">
        <v>0</v>
      </c>
      <c r="L11" s="649">
        <v>0</v>
      </c>
      <c r="M11" s="649">
        <v>0</v>
      </c>
      <c r="N11" s="649">
        <v>4141043.1800000006</v>
      </c>
      <c r="O11" s="649">
        <v>1097816.19</v>
      </c>
      <c r="P11" s="649">
        <v>2404130.44</v>
      </c>
      <c r="Q11" s="649">
        <v>3633801.95</v>
      </c>
      <c r="R11" s="649">
        <v>4782711.5299999993</v>
      </c>
      <c r="S11" s="649">
        <v>1241174.67</v>
      </c>
      <c r="T11" s="649">
        <v>1544760.77</v>
      </c>
      <c r="U11" s="649">
        <v>2531578.7399999998</v>
      </c>
      <c r="V11" s="649">
        <v>2436306.1</v>
      </c>
      <c r="W11" s="649">
        <v>753203</v>
      </c>
      <c r="X11" s="649">
        <v>1151807.1500000001</v>
      </c>
      <c r="Y11" s="649">
        <v>673560.87000000011</v>
      </c>
      <c r="Z11" s="655">
        <v>2802273.62</v>
      </c>
      <c r="AA11" s="641">
        <v>1953227.702</v>
      </c>
      <c r="AB11" s="649">
        <v>1279524.5779999979</v>
      </c>
      <c r="AC11" s="652">
        <v>31147395.912</v>
      </c>
      <c r="AD11" s="652">
        <v>32597462</v>
      </c>
      <c r="AE11" s="653">
        <v>1450066.09</v>
      </c>
      <c r="AF11" s="618">
        <f t="shared" si="0"/>
        <v>5.3683516870480411E-2</v>
      </c>
    </row>
    <row r="12" spans="1:32" ht="25.5" hidden="1" x14ac:dyDescent="0.25">
      <c r="A12" s="650" t="s">
        <v>470</v>
      </c>
      <c r="B12" s="654" t="s">
        <v>474</v>
      </c>
      <c r="C12" s="635">
        <f t="shared" si="1"/>
        <v>0</v>
      </c>
      <c r="D12" s="635">
        <f t="shared" si="2"/>
        <v>125818</v>
      </c>
      <c r="E12" s="635">
        <f t="shared" si="3"/>
        <v>4406144.1500000004</v>
      </c>
      <c r="F12" s="635">
        <f t="shared" si="4"/>
        <v>2132269.37</v>
      </c>
      <c r="G12" s="635">
        <f t="shared" si="5"/>
        <v>1857513.1900000002</v>
      </c>
      <c r="H12" s="649">
        <v>0</v>
      </c>
      <c r="I12" s="649">
        <v>0</v>
      </c>
      <c r="J12" s="649">
        <v>0</v>
      </c>
      <c r="K12" s="649">
        <v>0</v>
      </c>
      <c r="L12" s="649">
        <v>0</v>
      </c>
      <c r="M12" s="649">
        <v>0</v>
      </c>
      <c r="N12" s="649">
        <v>0</v>
      </c>
      <c r="O12" s="649">
        <v>125818</v>
      </c>
      <c r="P12" s="649">
        <v>94444.87</v>
      </c>
      <c r="Q12" s="649">
        <v>2398567.73</v>
      </c>
      <c r="R12" s="649">
        <v>1429673.23</v>
      </c>
      <c r="S12" s="649">
        <v>483458.32</v>
      </c>
      <c r="T12" s="649">
        <v>486355.56</v>
      </c>
      <c r="U12" s="649">
        <v>700468.37</v>
      </c>
      <c r="V12" s="649">
        <v>608266.25</v>
      </c>
      <c r="W12" s="649">
        <v>337179.19</v>
      </c>
      <c r="X12" s="649">
        <v>294707.89</v>
      </c>
      <c r="Y12" s="649">
        <v>468691.35999999993</v>
      </c>
      <c r="Z12" s="655">
        <v>764570.14</v>
      </c>
      <c r="AA12" s="641">
        <v>329543.8</v>
      </c>
      <c r="AB12" s="649">
        <v>382521.0000000014</v>
      </c>
      <c r="AC12" s="652">
        <v>8521744.709999999</v>
      </c>
      <c r="AD12" s="652">
        <v>8932102.1600000001</v>
      </c>
      <c r="AE12" s="653">
        <v>410357.45</v>
      </c>
      <c r="AF12" s="618">
        <f t="shared" si="0"/>
        <v>1.4687495134351252E-2</v>
      </c>
    </row>
    <row r="13" spans="1:32" ht="25.5" hidden="1" x14ac:dyDescent="0.25">
      <c r="A13" s="650" t="s">
        <v>470</v>
      </c>
      <c r="B13" s="654" t="s">
        <v>475</v>
      </c>
      <c r="C13" s="635">
        <f t="shared" si="1"/>
        <v>0</v>
      </c>
      <c r="D13" s="635">
        <f t="shared" si="2"/>
        <v>117204.26</v>
      </c>
      <c r="E13" s="635">
        <f t="shared" si="3"/>
        <v>2124498.3600000003</v>
      </c>
      <c r="F13" s="635">
        <f t="shared" si="4"/>
        <v>1260600.23</v>
      </c>
      <c r="G13" s="635">
        <f t="shared" si="5"/>
        <v>1317910.74</v>
      </c>
      <c r="H13" s="649">
        <v>0</v>
      </c>
      <c r="I13" s="649">
        <v>0</v>
      </c>
      <c r="J13" s="649">
        <v>0</v>
      </c>
      <c r="K13" s="649">
        <v>0</v>
      </c>
      <c r="L13" s="649">
        <v>0</v>
      </c>
      <c r="M13" s="649">
        <v>0</v>
      </c>
      <c r="N13" s="649">
        <v>0</v>
      </c>
      <c r="O13" s="649">
        <v>117204.26</v>
      </c>
      <c r="P13" s="649">
        <v>546611.89</v>
      </c>
      <c r="Q13" s="649">
        <v>1577886.4700000002</v>
      </c>
      <c r="R13" s="649">
        <v>0</v>
      </c>
      <c r="S13" s="649">
        <v>0</v>
      </c>
      <c r="T13" s="649">
        <v>0</v>
      </c>
      <c r="U13" s="649">
        <v>524893.66999999993</v>
      </c>
      <c r="V13" s="649">
        <v>510001.53</v>
      </c>
      <c r="W13" s="649">
        <v>225705.03</v>
      </c>
      <c r="X13" s="649">
        <v>213787.26</v>
      </c>
      <c r="Y13" s="649">
        <v>367685.16000000003</v>
      </c>
      <c r="Z13" s="655">
        <v>224372.27</v>
      </c>
      <c r="AA13" s="641">
        <v>512066.05</v>
      </c>
      <c r="AB13" s="649">
        <v>105294.08999999973</v>
      </c>
      <c r="AC13" s="652">
        <v>4820213.59</v>
      </c>
      <c r="AD13" s="652">
        <v>4944414.5600000005</v>
      </c>
      <c r="AE13" s="653">
        <v>124200.97</v>
      </c>
      <c r="AF13" s="618">
        <f t="shared" si="0"/>
        <v>8.3077897847116788E-3</v>
      </c>
    </row>
    <row r="14" spans="1:32" ht="25.5" hidden="1" x14ac:dyDescent="0.25">
      <c r="A14" s="650" t="s">
        <v>470</v>
      </c>
      <c r="B14" s="651" t="s">
        <v>476</v>
      </c>
      <c r="C14" s="635">
        <f t="shared" si="1"/>
        <v>0</v>
      </c>
      <c r="D14" s="635">
        <f t="shared" si="2"/>
        <v>274147.83</v>
      </c>
      <c r="E14" s="635">
        <f t="shared" si="3"/>
        <v>9128225.25</v>
      </c>
      <c r="F14" s="635">
        <f t="shared" si="4"/>
        <v>6853659.96</v>
      </c>
      <c r="G14" s="635">
        <f t="shared" si="5"/>
        <v>10763992.426666666</v>
      </c>
      <c r="H14" s="649">
        <v>0</v>
      </c>
      <c r="I14" s="649">
        <v>0</v>
      </c>
      <c r="J14" s="649">
        <v>0</v>
      </c>
      <c r="K14" s="649">
        <v>0</v>
      </c>
      <c r="L14" s="649">
        <v>0</v>
      </c>
      <c r="M14" s="649">
        <v>0</v>
      </c>
      <c r="N14" s="649">
        <v>0</v>
      </c>
      <c r="O14" s="649">
        <v>274147.83</v>
      </c>
      <c r="P14" s="649">
        <v>203560.4</v>
      </c>
      <c r="Q14" s="649">
        <v>3369235.01</v>
      </c>
      <c r="R14" s="649">
        <v>3757484.68</v>
      </c>
      <c r="S14" s="649">
        <v>1797945.1600000001</v>
      </c>
      <c r="T14" s="649">
        <v>615915.57999999996</v>
      </c>
      <c r="U14" s="649">
        <v>2891796.35</v>
      </c>
      <c r="V14" s="649">
        <v>2008258.24</v>
      </c>
      <c r="W14" s="649">
        <v>1337689.79</v>
      </c>
      <c r="X14" s="649">
        <v>468347.23</v>
      </c>
      <c r="Y14" s="649">
        <v>2875322.79</v>
      </c>
      <c r="Z14" s="655">
        <v>2022422.77</v>
      </c>
      <c r="AA14" s="641">
        <v>5397899.6366666667</v>
      </c>
      <c r="AB14" s="649">
        <v>1010642.5633333353</v>
      </c>
      <c r="AC14" s="652">
        <v>27020025.466666665</v>
      </c>
      <c r="AD14" s="652">
        <v>29183101.850000001</v>
      </c>
      <c r="AE14" s="653">
        <v>2163076.38</v>
      </c>
      <c r="AF14" s="618">
        <f t="shared" si="0"/>
        <v>4.6569864045095714E-2</v>
      </c>
    </row>
    <row r="15" spans="1:32" ht="25.5" hidden="1" x14ac:dyDescent="0.25">
      <c r="A15" s="650" t="s">
        <v>470</v>
      </c>
      <c r="B15" s="651" t="s">
        <v>477</v>
      </c>
      <c r="C15" s="635">
        <f t="shared" si="1"/>
        <v>0</v>
      </c>
      <c r="D15" s="635">
        <f t="shared" si="2"/>
        <v>0</v>
      </c>
      <c r="E15" s="635">
        <f t="shared" si="3"/>
        <v>8245004.3399999999</v>
      </c>
      <c r="F15" s="635">
        <f t="shared" si="4"/>
        <v>5022087.12</v>
      </c>
      <c r="G15" s="635">
        <f t="shared" si="5"/>
        <v>3882804.9000000004</v>
      </c>
      <c r="H15" s="649">
        <v>0</v>
      </c>
      <c r="I15" s="649">
        <v>0</v>
      </c>
      <c r="J15" s="649">
        <v>0</v>
      </c>
      <c r="K15" s="649">
        <v>0</v>
      </c>
      <c r="L15" s="649">
        <v>0</v>
      </c>
      <c r="M15" s="649">
        <v>0</v>
      </c>
      <c r="N15" s="649">
        <v>0</v>
      </c>
      <c r="O15" s="649">
        <v>0</v>
      </c>
      <c r="P15" s="649">
        <v>148453.95000000001</v>
      </c>
      <c r="Q15" s="649">
        <v>1943239.38</v>
      </c>
      <c r="R15" s="649">
        <v>5334190.1999999993</v>
      </c>
      <c r="S15" s="649">
        <v>819120.81</v>
      </c>
      <c r="T15" s="649">
        <v>1207827.0899999999</v>
      </c>
      <c r="U15" s="649">
        <v>1589637.76</v>
      </c>
      <c r="V15" s="649">
        <v>1553253.4899999998</v>
      </c>
      <c r="W15" s="649">
        <v>671368.78</v>
      </c>
      <c r="X15" s="649">
        <v>738628.83</v>
      </c>
      <c r="Y15" s="649">
        <v>1284023.1200000001</v>
      </c>
      <c r="Z15" s="655">
        <v>641459.17000000004</v>
      </c>
      <c r="AA15" s="641">
        <v>1218693.78</v>
      </c>
      <c r="AB15" s="649">
        <v>4790921.8199999994</v>
      </c>
      <c r="AC15" s="652">
        <v>17149896.359999999</v>
      </c>
      <c r="AD15" s="652">
        <v>22004743.619999997</v>
      </c>
      <c r="AE15" s="653">
        <v>4854847.26</v>
      </c>
      <c r="AF15" s="618">
        <f t="shared" si="0"/>
        <v>2.9558385977761621E-2</v>
      </c>
    </row>
    <row r="16" spans="1:32" ht="25.5" hidden="1" x14ac:dyDescent="0.25">
      <c r="A16" s="650" t="s">
        <v>470</v>
      </c>
      <c r="B16" s="651" t="s">
        <v>478</v>
      </c>
      <c r="C16" s="635">
        <f t="shared" si="1"/>
        <v>0</v>
      </c>
      <c r="D16" s="635">
        <f t="shared" si="2"/>
        <v>0</v>
      </c>
      <c r="E16" s="635">
        <f t="shared" si="3"/>
        <v>946753.27</v>
      </c>
      <c r="F16" s="635">
        <f t="shared" si="4"/>
        <v>330250.20999999996</v>
      </c>
      <c r="G16" s="635">
        <f t="shared" si="5"/>
        <v>589316.5</v>
      </c>
      <c r="H16" s="649">
        <v>0</v>
      </c>
      <c r="I16" s="649">
        <v>0</v>
      </c>
      <c r="J16" s="649">
        <v>0</v>
      </c>
      <c r="K16" s="649">
        <v>0</v>
      </c>
      <c r="L16" s="649">
        <v>0</v>
      </c>
      <c r="M16" s="649">
        <v>0</v>
      </c>
      <c r="N16" s="649">
        <v>0</v>
      </c>
      <c r="O16" s="649">
        <v>0</v>
      </c>
      <c r="P16" s="649">
        <v>0</v>
      </c>
      <c r="Q16" s="649">
        <v>946753.27</v>
      </c>
      <c r="R16" s="649">
        <v>0</v>
      </c>
      <c r="S16" s="649">
        <v>0</v>
      </c>
      <c r="T16" s="649">
        <v>5.0000000002910383E-2</v>
      </c>
      <c r="U16" s="649">
        <v>0</v>
      </c>
      <c r="V16" s="649">
        <v>330250.15999999997</v>
      </c>
      <c r="W16" s="649">
        <v>0</v>
      </c>
      <c r="X16" s="649">
        <v>242421.5</v>
      </c>
      <c r="Y16" s="649">
        <v>0</v>
      </c>
      <c r="Z16" s="655">
        <v>165890.32</v>
      </c>
      <c r="AA16" s="641">
        <v>181004.68</v>
      </c>
      <c r="AB16" s="649">
        <v>-0.27999999979510903</v>
      </c>
      <c r="AC16" s="652">
        <v>1866319.98</v>
      </c>
      <c r="AD16" s="652">
        <v>1869087.86</v>
      </c>
      <c r="AE16" s="653">
        <v>2767.88</v>
      </c>
      <c r="AF16" s="618">
        <f t="shared" si="0"/>
        <v>3.2166612070913037E-3</v>
      </c>
    </row>
    <row r="17" spans="1:32" ht="25.5" hidden="1" x14ac:dyDescent="0.25">
      <c r="A17" s="650" t="s">
        <v>470</v>
      </c>
      <c r="B17" s="651" t="s">
        <v>479</v>
      </c>
      <c r="C17" s="635">
        <f t="shared" si="1"/>
        <v>0</v>
      </c>
      <c r="D17" s="635">
        <f t="shared" si="2"/>
        <v>0</v>
      </c>
      <c r="E17" s="635">
        <f t="shared" si="3"/>
        <v>0</v>
      </c>
      <c r="F17" s="635">
        <f t="shared" si="4"/>
        <v>0</v>
      </c>
      <c r="G17" s="635">
        <f t="shared" si="5"/>
        <v>0</v>
      </c>
      <c r="H17" s="649">
        <v>0</v>
      </c>
      <c r="I17" s="649">
        <v>0</v>
      </c>
      <c r="J17" s="649">
        <v>0</v>
      </c>
      <c r="K17" s="649">
        <v>0</v>
      </c>
      <c r="L17" s="649">
        <v>0</v>
      </c>
      <c r="M17" s="649">
        <v>0</v>
      </c>
      <c r="N17" s="649">
        <v>0</v>
      </c>
      <c r="O17" s="649">
        <v>0</v>
      </c>
      <c r="P17" s="649">
        <v>0</v>
      </c>
      <c r="Q17" s="649">
        <v>0</v>
      </c>
      <c r="R17" s="649">
        <v>0</v>
      </c>
      <c r="S17" s="649">
        <v>0</v>
      </c>
      <c r="T17" s="649">
        <v>0</v>
      </c>
      <c r="U17" s="649">
        <v>0</v>
      </c>
      <c r="V17" s="649">
        <v>0</v>
      </c>
      <c r="W17" s="649">
        <v>0</v>
      </c>
      <c r="X17" s="649">
        <v>0</v>
      </c>
      <c r="Y17" s="649">
        <v>0</v>
      </c>
      <c r="Z17" s="655">
        <v>0</v>
      </c>
      <c r="AA17" s="641">
        <v>0</v>
      </c>
      <c r="AB17" s="649">
        <v>0</v>
      </c>
      <c r="AC17" s="652">
        <v>0</v>
      </c>
      <c r="AD17" s="652">
        <v>0</v>
      </c>
      <c r="AE17" s="653">
        <v>0</v>
      </c>
      <c r="AF17" s="618">
        <f t="shared" si="0"/>
        <v>0</v>
      </c>
    </row>
    <row r="18" spans="1:32" ht="25.5" hidden="1" x14ac:dyDescent="0.25">
      <c r="A18" s="639" t="s">
        <v>480</v>
      </c>
      <c r="B18" s="656" t="s">
        <v>469</v>
      </c>
      <c r="C18" s="635">
        <f t="shared" si="1"/>
        <v>0</v>
      </c>
      <c r="D18" s="635">
        <f t="shared" si="2"/>
        <v>0</v>
      </c>
      <c r="E18" s="635">
        <f t="shared" si="3"/>
        <v>1726005.8900000001</v>
      </c>
      <c r="F18" s="635">
        <f t="shared" si="4"/>
        <v>2891454.46</v>
      </c>
      <c r="G18" s="635">
        <f t="shared" si="5"/>
        <v>2695323.59</v>
      </c>
      <c r="H18" s="648">
        <v>0</v>
      </c>
      <c r="I18" s="648">
        <v>0</v>
      </c>
      <c r="J18" s="648">
        <v>0</v>
      </c>
      <c r="K18" s="648">
        <v>0</v>
      </c>
      <c r="L18" s="648">
        <v>0</v>
      </c>
      <c r="M18" s="648">
        <v>0</v>
      </c>
      <c r="N18" s="648">
        <v>0</v>
      </c>
      <c r="O18" s="648">
        <v>0</v>
      </c>
      <c r="P18" s="648">
        <v>443830</v>
      </c>
      <c r="Q18" s="648">
        <v>0</v>
      </c>
      <c r="R18" s="648">
        <v>1035603.6000000001</v>
      </c>
      <c r="S18" s="648">
        <v>246572.29</v>
      </c>
      <c r="T18" s="648">
        <v>929598.7</v>
      </c>
      <c r="U18" s="648">
        <v>522264.49</v>
      </c>
      <c r="V18" s="648">
        <v>585806.29</v>
      </c>
      <c r="W18" s="648">
        <v>853784.98</v>
      </c>
      <c r="X18" s="648">
        <v>412470.89</v>
      </c>
      <c r="Y18" s="648">
        <v>596040.05000000005</v>
      </c>
      <c r="Z18" s="657">
        <v>661410.14</v>
      </c>
      <c r="AA18" s="641">
        <v>1025402.51</v>
      </c>
      <c r="AB18" s="648">
        <v>-2.0000000018626451E-2</v>
      </c>
      <c r="AC18" s="647">
        <v>7312783.9399999995</v>
      </c>
      <c r="AD18" s="647">
        <v>7312783.9199999999</v>
      </c>
      <c r="AE18" s="643">
        <v>-0.02</v>
      </c>
      <c r="AF18" s="618">
        <f t="shared" si="0"/>
        <v>1.2603813208728708E-2</v>
      </c>
    </row>
    <row r="19" spans="1:32" hidden="1" x14ac:dyDescent="0.25">
      <c r="A19" s="658" t="s">
        <v>481</v>
      </c>
      <c r="B19" s="659">
        <v>0</v>
      </c>
      <c r="C19" s="635">
        <f t="shared" si="1"/>
        <v>0</v>
      </c>
      <c r="D19" s="635">
        <f t="shared" si="2"/>
        <v>0</v>
      </c>
      <c r="E19" s="635">
        <f t="shared" si="3"/>
        <v>0</v>
      </c>
      <c r="F19" s="635">
        <f t="shared" si="4"/>
        <v>0</v>
      </c>
      <c r="G19" s="635">
        <f t="shared" si="5"/>
        <v>0</v>
      </c>
      <c r="H19" s="660">
        <v>0</v>
      </c>
      <c r="I19" s="660">
        <v>0</v>
      </c>
      <c r="J19" s="660">
        <v>0</v>
      </c>
      <c r="K19" s="660">
        <v>0</v>
      </c>
      <c r="L19" s="660">
        <v>0</v>
      </c>
      <c r="M19" s="660">
        <v>0</v>
      </c>
      <c r="N19" s="660">
        <v>0</v>
      </c>
      <c r="O19" s="660">
        <v>0</v>
      </c>
      <c r="P19" s="660">
        <v>0</v>
      </c>
      <c r="Q19" s="660">
        <v>0</v>
      </c>
      <c r="R19" s="660">
        <v>0</v>
      </c>
      <c r="S19" s="660">
        <v>0</v>
      </c>
      <c r="T19" s="660">
        <v>0</v>
      </c>
      <c r="U19" s="660">
        <v>0</v>
      </c>
      <c r="V19" s="660">
        <v>0</v>
      </c>
      <c r="W19" s="660">
        <v>0</v>
      </c>
      <c r="X19" s="660">
        <v>0</v>
      </c>
      <c r="Y19" s="660">
        <v>0</v>
      </c>
      <c r="Z19" s="660">
        <v>0</v>
      </c>
      <c r="AA19" s="661">
        <v>0</v>
      </c>
      <c r="AB19" s="660"/>
      <c r="AC19" s="647">
        <v>-2.3283064365386963E-10</v>
      </c>
      <c r="AD19" s="647">
        <v>0</v>
      </c>
      <c r="AE19" s="643">
        <v>0</v>
      </c>
      <c r="AF19" s="618">
        <f t="shared" si="0"/>
        <v>-4.0129094007957918E-19</v>
      </c>
    </row>
    <row r="20" spans="1:32" ht="25.5" hidden="1" x14ac:dyDescent="0.25">
      <c r="A20" s="658" t="s">
        <v>482</v>
      </c>
      <c r="B20" s="659">
        <v>0</v>
      </c>
      <c r="C20" s="635">
        <f t="shared" si="1"/>
        <v>0</v>
      </c>
      <c r="D20" s="635">
        <f t="shared" si="2"/>
        <v>0</v>
      </c>
      <c r="E20" s="635">
        <f t="shared" si="3"/>
        <v>0</v>
      </c>
      <c r="F20" s="635">
        <f t="shared" si="4"/>
        <v>0</v>
      </c>
      <c r="G20" s="635">
        <f t="shared" si="5"/>
        <v>0</v>
      </c>
      <c r="H20" s="660">
        <v>0</v>
      </c>
      <c r="I20" s="660">
        <v>0</v>
      </c>
      <c r="J20" s="660">
        <v>0</v>
      </c>
      <c r="K20" s="660">
        <v>0</v>
      </c>
      <c r="L20" s="660">
        <v>0</v>
      </c>
      <c r="M20" s="660">
        <v>0</v>
      </c>
      <c r="N20" s="660">
        <v>0</v>
      </c>
      <c r="O20" s="660">
        <v>0</v>
      </c>
      <c r="P20" s="660">
        <v>0</v>
      </c>
      <c r="Q20" s="660">
        <v>0</v>
      </c>
      <c r="R20" s="660">
        <v>0</v>
      </c>
      <c r="S20" s="660">
        <v>0</v>
      </c>
      <c r="T20" s="660">
        <v>0</v>
      </c>
      <c r="U20" s="660">
        <v>0</v>
      </c>
      <c r="V20" s="660">
        <v>0</v>
      </c>
      <c r="W20" s="660">
        <v>0</v>
      </c>
      <c r="X20" s="660">
        <v>0</v>
      </c>
      <c r="Y20" s="660">
        <v>0</v>
      </c>
      <c r="Z20" s="660">
        <v>0</v>
      </c>
      <c r="AA20" s="661">
        <v>0</v>
      </c>
      <c r="AB20" s="660">
        <v>1591288.4664253623</v>
      </c>
      <c r="AC20" s="647">
        <v>0</v>
      </c>
      <c r="AD20" s="647">
        <v>0</v>
      </c>
      <c r="AE20" s="643">
        <v>0</v>
      </c>
      <c r="AF20" s="618">
        <f t="shared" si="0"/>
        <v>0</v>
      </c>
    </row>
    <row r="21" spans="1:32" hidden="1" x14ac:dyDescent="0.25">
      <c r="A21" s="658" t="s">
        <v>483</v>
      </c>
      <c r="B21" s="659"/>
      <c r="C21" s="635">
        <f t="shared" si="1"/>
        <v>0</v>
      </c>
      <c r="D21" s="635">
        <f t="shared" si="2"/>
        <v>0</v>
      </c>
      <c r="E21" s="635">
        <f t="shared" si="3"/>
        <v>0</v>
      </c>
      <c r="F21" s="635">
        <f t="shared" si="4"/>
        <v>0</v>
      </c>
      <c r="G21" s="635">
        <f t="shared" si="5"/>
        <v>295433.65000000002</v>
      </c>
      <c r="H21" s="660">
        <v>0</v>
      </c>
      <c r="I21" s="660">
        <v>0</v>
      </c>
      <c r="J21" s="660">
        <v>0</v>
      </c>
      <c r="K21" s="660">
        <v>0</v>
      </c>
      <c r="L21" s="660">
        <v>0</v>
      </c>
      <c r="M21" s="660">
        <v>0</v>
      </c>
      <c r="N21" s="660">
        <v>0</v>
      </c>
      <c r="O21" s="660">
        <v>0</v>
      </c>
      <c r="P21" s="660">
        <v>0</v>
      </c>
      <c r="Q21" s="660">
        <v>0</v>
      </c>
      <c r="R21" s="660">
        <v>0</v>
      </c>
      <c r="S21" s="660">
        <v>0</v>
      </c>
      <c r="T21" s="660">
        <v>0</v>
      </c>
      <c r="U21" s="660">
        <v>0</v>
      </c>
      <c r="V21" s="660">
        <v>0</v>
      </c>
      <c r="W21" s="660">
        <v>0</v>
      </c>
      <c r="X21" s="660">
        <v>0</v>
      </c>
      <c r="Y21" s="660">
        <v>0</v>
      </c>
      <c r="Z21" s="660">
        <v>0</v>
      </c>
      <c r="AA21" s="661">
        <v>295433.65000000002</v>
      </c>
      <c r="AB21" s="660"/>
      <c r="AC21" s="647">
        <v>295433.65000000002</v>
      </c>
      <c r="AD21" s="647">
        <v>991162.87</v>
      </c>
      <c r="AE21" s="643">
        <v>695729.22</v>
      </c>
      <c r="AF21" s="618">
        <f t="shared" si="0"/>
        <v>5.0918919124703888E-4</v>
      </c>
    </row>
    <row r="22" spans="1:32" hidden="1" x14ac:dyDescent="0.25">
      <c r="A22" s="634" t="s">
        <v>484</v>
      </c>
      <c r="B22" s="635" t="s">
        <v>485</v>
      </c>
      <c r="C22" s="635">
        <f t="shared" si="1"/>
        <v>961520.76</v>
      </c>
      <c r="D22" s="635">
        <f t="shared" si="2"/>
        <v>6356484.6299999999</v>
      </c>
      <c r="E22" s="635">
        <f t="shared" si="3"/>
        <v>14047221.9</v>
      </c>
      <c r="F22" s="635">
        <f t="shared" si="4"/>
        <v>29631642.319999997</v>
      </c>
      <c r="G22" s="635">
        <f t="shared" si="5"/>
        <v>18056749.010000002</v>
      </c>
      <c r="H22" s="662">
        <v>0</v>
      </c>
      <c r="I22" s="662">
        <v>0</v>
      </c>
      <c r="J22" s="662">
        <v>638037</v>
      </c>
      <c r="K22" s="662">
        <v>323483.76</v>
      </c>
      <c r="L22" s="662">
        <v>930692.60000000009</v>
      </c>
      <c r="M22" s="662">
        <v>3327627.55</v>
      </c>
      <c r="N22" s="662">
        <v>509390.76</v>
      </c>
      <c r="O22" s="662">
        <v>1588773.72</v>
      </c>
      <c r="P22" s="662">
        <v>1731028.8199999998</v>
      </c>
      <c r="Q22" s="663">
        <v>2169163.69</v>
      </c>
      <c r="R22" s="662">
        <v>4959411.38</v>
      </c>
      <c r="S22" s="662">
        <v>5187618.01</v>
      </c>
      <c r="T22" s="662">
        <v>6376948.9699999997</v>
      </c>
      <c r="U22" s="662">
        <v>9674315.3900000006</v>
      </c>
      <c r="V22" s="662">
        <v>7622493.629999999</v>
      </c>
      <c r="W22" s="662">
        <v>5957884.3299999991</v>
      </c>
      <c r="X22" s="662">
        <v>3932889.94</v>
      </c>
      <c r="Y22" s="662">
        <v>4885805.54</v>
      </c>
      <c r="Z22" s="662">
        <v>9238053.5300000012</v>
      </c>
      <c r="AA22" s="636"/>
      <c r="AB22" s="662">
        <v>2274098.2744679237</v>
      </c>
      <c r="AC22" s="638">
        <v>88043271.465532079</v>
      </c>
      <c r="AD22" s="662">
        <v>88832889.039999992</v>
      </c>
      <c r="AE22" s="638"/>
      <c r="AF22" s="618">
        <f t="shared" si="0"/>
        <v>0.15174534854874444</v>
      </c>
    </row>
    <row r="23" spans="1:32" ht="25.5" hidden="1" x14ac:dyDescent="0.25">
      <c r="A23" s="664" t="s">
        <v>486</v>
      </c>
      <c r="B23" s="665" t="s">
        <v>487</v>
      </c>
      <c r="C23" s="635">
        <f t="shared" si="1"/>
        <v>961520.76</v>
      </c>
      <c r="D23" s="635">
        <f t="shared" si="2"/>
        <v>5210747.71</v>
      </c>
      <c r="E23" s="635">
        <f t="shared" si="3"/>
        <v>1189138.1800000002</v>
      </c>
      <c r="F23" s="635">
        <f t="shared" si="4"/>
        <v>1572858.75</v>
      </c>
      <c r="G23" s="635">
        <f t="shared" si="5"/>
        <v>3627083.3716502585</v>
      </c>
      <c r="H23" s="666">
        <v>0</v>
      </c>
      <c r="I23" s="666">
        <v>0</v>
      </c>
      <c r="J23" s="666">
        <v>638037</v>
      </c>
      <c r="K23" s="666">
        <v>323483.76</v>
      </c>
      <c r="L23" s="666">
        <v>930692.60000000009</v>
      </c>
      <c r="M23" s="666">
        <v>2817040.53</v>
      </c>
      <c r="N23" s="666">
        <v>509390.76</v>
      </c>
      <c r="O23" s="666">
        <v>953623.82</v>
      </c>
      <c r="P23" s="666">
        <v>788987.36</v>
      </c>
      <c r="Q23" s="666">
        <v>4593.8</v>
      </c>
      <c r="R23" s="666">
        <v>395557.02</v>
      </c>
      <c r="S23" s="666">
        <v>0</v>
      </c>
      <c r="T23" s="666">
        <v>238889.42</v>
      </c>
      <c r="U23" s="666">
        <v>636672</v>
      </c>
      <c r="V23" s="666">
        <v>0</v>
      </c>
      <c r="W23" s="666">
        <v>697297.33000000007</v>
      </c>
      <c r="X23" s="666">
        <v>102.96</v>
      </c>
      <c r="Y23" s="666">
        <v>101124.79</v>
      </c>
      <c r="Z23" s="666">
        <v>583197.48</v>
      </c>
      <c r="AA23" s="666">
        <v>2942658.1416502586</v>
      </c>
      <c r="AB23" s="666">
        <v>160447.40834974078</v>
      </c>
      <c r="AC23" s="643">
        <v>12561348.771650258</v>
      </c>
      <c r="AD23" s="643">
        <v>12368412.039999999</v>
      </c>
      <c r="AE23" s="643">
        <v>-192936.73</v>
      </c>
      <c r="AF23" s="618">
        <f t="shared" si="0"/>
        <v>2.164987983599221E-2</v>
      </c>
    </row>
    <row r="24" spans="1:32" ht="25.5" hidden="1" x14ac:dyDescent="0.25">
      <c r="A24" s="667" t="s">
        <v>488</v>
      </c>
      <c r="B24" s="665" t="s">
        <v>489</v>
      </c>
      <c r="C24" s="635">
        <f t="shared" si="1"/>
        <v>0</v>
      </c>
      <c r="D24" s="635">
        <f t="shared" si="2"/>
        <v>1145736.92</v>
      </c>
      <c r="E24" s="635">
        <f t="shared" si="3"/>
        <v>12858083.720000001</v>
      </c>
      <c r="F24" s="635">
        <f t="shared" si="4"/>
        <v>28058783.57</v>
      </c>
      <c r="G24" s="635">
        <f t="shared" si="5"/>
        <v>33037664.07388182</v>
      </c>
      <c r="H24" s="668">
        <v>0</v>
      </c>
      <c r="I24" s="668">
        <v>0</v>
      </c>
      <c r="J24" s="668">
        <v>0</v>
      </c>
      <c r="K24" s="668">
        <v>0</v>
      </c>
      <c r="L24" s="668">
        <v>0</v>
      </c>
      <c r="M24" s="668">
        <v>510587.02</v>
      </c>
      <c r="N24" s="668">
        <v>0</v>
      </c>
      <c r="O24" s="668">
        <v>635149.9</v>
      </c>
      <c r="P24" s="668">
        <v>942041.46</v>
      </c>
      <c r="Q24" s="669">
        <v>2164569.89</v>
      </c>
      <c r="R24" s="668">
        <v>4563854.3600000003</v>
      </c>
      <c r="S24" s="668">
        <v>5187618.01</v>
      </c>
      <c r="T24" s="668">
        <v>6138059.5499999998</v>
      </c>
      <c r="U24" s="668">
        <v>9037643.3900000006</v>
      </c>
      <c r="V24" s="668">
        <v>7622493.629999999</v>
      </c>
      <c r="W24" s="668">
        <v>5260586.9999999991</v>
      </c>
      <c r="X24" s="668">
        <v>3932786.98</v>
      </c>
      <c r="Y24" s="668">
        <v>4784680.75</v>
      </c>
      <c r="Z24" s="668">
        <v>8654856.0500000007</v>
      </c>
      <c r="AA24" s="666">
        <v>15665340.293881817</v>
      </c>
      <c r="AB24" s="668">
        <v>2113650.8661181829</v>
      </c>
      <c r="AC24" s="647">
        <v>75100268.283881813</v>
      </c>
      <c r="AD24" s="647">
        <v>75518306.909999996</v>
      </c>
      <c r="AE24" s="647">
        <v>418038.63</v>
      </c>
      <c r="AF24" s="618">
        <f t="shared" si="0"/>
        <v>0.12943767532881045</v>
      </c>
    </row>
    <row r="25" spans="1:32" hidden="1" x14ac:dyDescent="0.25">
      <c r="A25" s="639" t="s">
        <v>490</v>
      </c>
      <c r="B25" s="640" t="s">
        <v>491</v>
      </c>
      <c r="C25" s="635">
        <f t="shared" si="1"/>
        <v>0</v>
      </c>
      <c r="D25" s="635">
        <f t="shared" si="2"/>
        <v>1145736.92</v>
      </c>
      <c r="E25" s="635">
        <f t="shared" si="3"/>
        <v>12241653.030000001</v>
      </c>
      <c r="F25" s="635">
        <f t="shared" si="4"/>
        <v>27023802.799999997</v>
      </c>
      <c r="G25" s="635">
        <f t="shared" si="5"/>
        <v>32031001.533881821</v>
      </c>
      <c r="H25" s="648">
        <v>0</v>
      </c>
      <c r="I25" s="648">
        <v>0</v>
      </c>
      <c r="J25" s="648">
        <v>0</v>
      </c>
      <c r="K25" s="648">
        <v>0</v>
      </c>
      <c r="L25" s="648">
        <v>0</v>
      </c>
      <c r="M25" s="648">
        <v>510587.02</v>
      </c>
      <c r="N25" s="648">
        <v>0</v>
      </c>
      <c r="O25" s="648">
        <v>635149.9</v>
      </c>
      <c r="P25" s="648">
        <v>783530.72</v>
      </c>
      <c r="Q25" s="649">
        <v>2164569.89</v>
      </c>
      <c r="R25" s="648">
        <v>4193995.94</v>
      </c>
      <c r="S25" s="648">
        <v>5099556.4799999995</v>
      </c>
      <c r="T25" s="648">
        <v>5803741.5500000007</v>
      </c>
      <c r="U25" s="648">
        <v>8851120.3599999994</v>
      </c>
      <c r="V25" s="648">
        <v>7413277.0999999996</v>
      </c>
      <c r="W25" s="648">
        <v>4955663.7899999991</v>
      </c>
      <c r="X25" s="648">
        <v>3785475.9400000004</v>
      </c>
      <c r="Y25" s="648">
        <v>4571809.3000000007</v>
      </c>
      <c r="Z25" s="648">
        <v>8418638.1400000006</v>
      </c>
      <c r="AA25" s="641">
        <v>15255078.153881818</v>
      </c>
      <c r="AB25" s="648">
        <v>2113651.1561181829</v>
      </c>
      <c r="AC25" s="647">
        <v>72442194.283881813</v>
      </c>
      <c r="AD25" s="647">
        <v>72860233.200000003</v>
      </c>
      <c r="AE25" s="647">
        <v>418038.92</v>
      </c>
      <c r="AF25" s="618">
        <f t="shared" si="0"/>
        <v>0.12485640115664089</v>
      </c>
    </row>
    <row r="26" spans="1:32" hidden="1" x14ac:dyDescent="0.25">
      <c r="A26" s="670" t="s">
        <v>492</v>
      </c>
      <c r="B26" s="671" t="s">
        <v>493</v>
      </c>
      <c r="C26" s="635">
        <f t="shared" si="1"/>
        <v>0</v>
      </c>
      <c r="D26" s="635">
        <f t="shared" si="2"/>
        <v>1145736.92</v>
      </c>
      <c r="E26" s="635">
        <f t="shared" si="3"/>
        <v>4998646.76</v>
      </c>
      <c r="F26" s="635">
        <f t="shared" si="4"/>
        <v>4321497.7399999993</v>
      </c>
      <c r="G26" s="635">
        <f t="shared" si="5"/>
        <v>1373646.0836363635</v>
      </c>
      <c r="H26" s="649">
        <v>0</v>
      </c>
      <c r="I26" s="649">
        <v>0</v>
      </c>
      <c r="J26" s="649">
        <v>0</v>
      </c>
      <c r="K26" s="649">
        <v>0</v>
      </c>
      <c r="L26" s="649">
        <v>0</v>
      </c>
      <c r="M26" s="649">
        <v>510587.02</v>
      </c>
      <c r="N26" s="649">
        <v>0</v>
      </c>
      <c r="O26" s="649">
        <v>635149.9</v>
      </c>
      <c r="P26" s="649">
        <v>783530.72</v>
      </c>
      <c r="Q26" s="649">
        <v>1045448.98</v>
      </c>
      <c r="R26" s="649">
        <v>2225466.29</v>
      </c>
      <c r="S26" s="649">
        <v>944200.77</v>
      </c>
      <c r="T26" s="649">
        <v>695188.19</v>
      </c>
      <c r="U26" s="649">
        <v>2667812.6199999996</v>
      </c>
      <c r="V26" s="649">
        <v>958496.92999999993</v>
      </c>
      <c r="W26" s="649">
        <v>0</v>
      </c>
      <c r="X26" s="649">
        <v>0</v>
      </c>
      <c r="Y26" s="649">
        <v>0</v>
      </c>
      <c r="Z26" s="649">
        <v>0</v>
      </c>
      <c r="AA26" s="641">
        <v>1373646.0836363635</v>
      </c>
      <c r="AB26" s="649">
        <v>456680.86636363575</v>
      </c>
      <c r="AC26" s="672">
        <v>11839527.503636364</v>
      </c>
      <c r="AD26" s="672">
        <v>12210960.120000001</v>
      </c>
      <c r="AE26" s="672">
        <v>371432.62</v>
      </c>
      <c r="AF26" s="618">
        <f t="shared" si="0"/>
        <v>2.0405798169313729E-2</v>
      </c>
    </row>
    <row r="27" spans="1:32" hidden="1" x14ac:dyDescent="0.25">
      <c r="A27" s="670" t="s">
        <v>494</v>
      </c>
      <c r="B27" s="673" t="s">
        <v>495</v>
      </c>
      <c r="C27" s="635">
        <f t="shared" si="1"/>
        <v>0</v>
      </c>
      <c r="D27" s="635">
        <f t="shared" si="2"/>
        <v>0</v>
      </c>
      <c r="E27" s="635">
        <f t="shared" si="3"/>
        <v>7021915.3300000001</v>
      </c>
      <c r="F27" s="635">
        <f t="shared" si="4"/>
        <v>17825916.920000002</v>
      </c>
      <c r="G27" s="635">
        <f t="shared" si="5"/>
        <v>14306969.734848484</v>
      </c>
      <c r="H27" s="649">
        <v>0</v>
      </c>
      <c r="I27" s="649">
        <v>0</v>
      </c>
      <c r="J27" s="649">
        <v>0</v>
      </c>
      <c r="K27" s="649">
        <v>0</v>
      </c>
      <c r="L27" s="649">
        <v>0</v>
      </c>
      <c r="M27" s="649">
        <v>0</v>
      </c>
      <c r="N27" s="649">
        <v>0</v>
      </c>
      <c r="O27" s="649">
        <v>0</v>
      </c>
      <c r="P27" s="649">
        <v>0</v>
      </c>
      <c r="Q27" s="649">
        <v>1119120.9099999999</v>
      </c>
      <c r="R27" s="649">
        <v>1968529.65</v>
      </c>
      <c r="S27" s="649">
        <v>3934264.7700000005</v>
      </c>
      <c r="T27" s="649">
        <v>4843904.3600000003</v>
      </c>
      <c r="U27" s="649">
        <v>5466409.5</v>
      </c>
      <c r="V27" s="649">
        <v>4605328.71</v>
      </c>
      <c r="W27" s="649">
        <v>2910274.35</v>
      </c>
      <c r="X27" s="649">
        <v>1524786.49</v>
      </c>
      <c r="Y27" s="649">
        <v>1399391.31</v>
      </c>
      <c r="Z27" s="649">
        <v>4982839.6999999993</v>
      </c>
      <c r="AA27" s="641">
        <v>6399952.2348484853</v>
      </c>
      <c r="AB27" s="649">
        <v>1231091.5751515161</v>
      </c>
      <c r="AC27" s="672">
        <v>39154801.984848484</v>
      </c>
      <c r="AD27" s="672">
        <v>37484168.359999999</v>
      </c>
      <c r="AE27" s="672">
        <v>-1670633.62</v>
      </c>
      <c r="AF27" s="618">
        <f t="shared" si="0"/>
        <v>6.7484533180641237E-2</v>
      </c>
    </row>
    <row r="28" spans="1:32" hidden="1" x14ac:dyDescent="0.25">
      <c r="A28" s="670" t="s">
        <v>496</v>
      </c>
      <c r="B28" s="673" t="s">
        <v>497</v>
      </c>
      <c r="C28" s="635">
        <f t="shared" si="1"/>
        <v>0</v>
      </c>
      <c r="D28" s="635">
        <f t="shared" si="2"/>
        <v>0</v>
      </c>
      <c r="E28" s="635">
        <f t="shared" si="3"/>
        <v>221090.94</v>
      </c>
      <c r="F28" s="635">
        <f t="shared" si="4"/>
        <v>3425750.92</v>
      </c>
      <c r="G28" s="635">
        <f t="shared" si="5"/>
        <v>7082213.5453969687</v>
      </c>
      <c r="H28" s="649">
        <v>0</v>
      </c>
      <c r="I28" s="649">
        <v>0</v>
      </c>
      <c r="J28" s="649">
        <v>0</v>
      </c>
      <c r="K28" s="649">
        <v>0</v>
      </c>
      <c r="L28" s="649">
        <v>0</v>
      </c>
      <c r="M28" s="649">
        <v>0</v>
      </c>
      <c r="N28" s="649">
        <v>0</v>
      </c>
      <c r="O28" s="649">
        <v>0</v>
      </c>
      <c r="P28" s="649">
        <v>0</v>
      </c>
      <c r="Q28" s="649">
        <v>0</v>
      </c>
      <c r="R28" s="649">
        <v>0</v>
      </c>
      <c r="S28" s="649">
        <v>221090.94</v>
      </c>
      <c r="T28" s="649">
        <v>264648.99999999994</v>
      </c>
      <c r="U28" s="649">
        <v>716898.24</v>
      </c>
      <c r="V28" s="649">
        <v>1590888.65</v>
      </c>
      <c r="W28" s="649">
        <v>853315.03</v>
      </c>
      <c r="X28" s="649">
        <v>1006854.3099999999</v>
      </c>
      <c r="Y28" s="649">
        <v>1109911.22</v>
      </c>
      <c r="Z28" s="649">
        <v>2370493.7400000002</v>
      </c>
      <c r="AA28" s="641">
        <v>2594954.2753969696</v>
      </c>
      <c r="AB28" s="649">
        <v>240855.27460303064</v>
      </c>
      <c r="AC28" s="672">
        <v>10729055.40539697</v>
      </c>
      <c r="AD28" s="672">
        <v>11184228.07</v>
      </c>
      <c r="AE28" s="672">
        <v>455172.66</v>
      </c>
      <c r="AF28" s="618">
        <f t="shared" si="0"/>
        <v>1.8491864568300712E-2</v>
      </c>
    </row>
    <row r="29" spans="1:32" ht="25.5" hidden="1" x14ac:dyDescent="0.25">
      <c r="A29" s="674" t="s">
        <v>498</v>
      </c>
      <c r="B29" s="675" t="s">
        <v>499</v>
      </c>
      <c r="C29" s="635">
        <f t="shared" si="1"/>
        <v>0</v>
      </c>
      <c r="D29" s="635">
        <f t="shared" si="2"/>
        <v>0</v>
      </c>
      <c r="E29" s="635">
        <f t="shared" si="3"/>
        <v>0</v>
      </c>
      <c r="F29" s="635">
        <f t="shared" si="4"/>
        <v>0</v>
      </c>
      <c r="G29" s="635">
        <f t="shared" si="5"/>
        <v>0</v>
      </c>
      <c r="H29" s="649">
        <v>0</v>
      </c>
      <c r="I29" s="649">
        <v>0</v>
      </c>
      <c r="J29" s="649">
        <v>0</v>
      </c>
      <c r="K29" s="649">
        <v>0</v>
      </c>
      <c r="L29" s="649">
        <v>0</v>
      </c>
      <c r="M29" s="649">
        <v>0</v>
      </c>
      <c r="N29" s="649">
        <v>0</v>
      </c>
      <c r="O29" s="649">
        <v>0</v>
      </c>
      <c r="P29" s="649">
        <v>0</v>
      </c>
      <c r="Q29" s="649">
        <v>0</v>
      </c>
      <c r="R29" s="649">
        <v>0</v>
      </c>
      <c r="S29" s="649">
        <v>0</v>
      </c>
      <c r="T29" s="649">
        <v>0</v>
      </c>
      <c r="U29" s="649">
        <v>0</v>
      </c>
      <c r="V29" s="649">
        <v>0</v>
      </c>
      <c r="W29" s="649">
        <v>0</v>
      </c>
      <c r="X29" s="649">
        <v>0</v>
      </c>
      <c r="Y29" s="649">
        <v>0</v>
      </c>
      <c r="Z29" s="649">
        <v>0</v>
      </c>
      <c r="AA29" s="641">
        <v>0</v>
      </c>
      <c r="AB29" s="649">
        <v>0</v>
      </c>
      <c r="AC29" s="672">
        <v>0</v>
      </c>
      <c r="AD29" s="672">
        <v>0</v>
      </c>
      <c r="AE29" s="672">
        <v>0</v>
      </c>
      <c r="AF29" s="618">
        <f t="shared" si="0"/>
        <v>0</v>
      </c>
    </row>
    <row r="30" spans="1:32" ht="25.5" hidden="1" x14ac:dyDescent="0.25">
      <c r="A30" s="670" t="s">
        <v>500</v>
      </c>
      <c r="B30" s="673" t="s">
        <v>501</v>
      </c>
      <c r="C30" s="635">
        <f t="shared" si="1"/>
        <v>0</v>
      </c>
      <c r="D30" s="635">
        <f t="shared" si="2"/>
        <v>0</v>
      </c>
      <c r="E30" s="635">
        <f t="shared" si="3"/>
        <v>0</v>
      </c>
      <c r="F30" s="635">
        <f t="shared" si="4"/>
        <v>1450637.22</v>
      </c>
      <c r="G30" s="635">
        <f t="shared" si="5"/>
        <v>9268172.1700000018</v>
      </c>
      <c r="H30" s="649"/>
      <c r="I30" s="649"/>
      <c r="J30" s="649"/>
      <c r="K30" s="649"/>
      <c r="L30" s="649"/>
      <c r="M30" s="649"/>
      <c r="N30" s="649"/>
      <c r="O30" s="649"/>
      <c r="P30" s="649"/>
      <c r="Q30" s="649"/>
      <c r="R30" s="649">
        <v>0</v>
      </c>
      <c r="S30" s="649">
        <v>0</v>
      </c>
      <c r="T30" s="649">
        <v>0</v>
      </c>
      <c r="U30" s="649">
        <v>0</v>
      </c>
      <c r="V30" s="649">
        <v>258562.81</v>
      </c>
      <c r="W30" s="649">
        <v>1192074.4099999999</v>
      </c>
      <c r="X30" s="649">
        <v>1253835.1399999999</v>
      </c>
      <c r="Y30" s="649">
        <v>2062506.77</v>
      </c>
      <c r="Z30" s="649">
        <v>1065304.7</v>
      </c>
      <c r="AA30" s="641">
        <v>4886525.5600000005</v>
      </c>
      <c r="AB30" s="649">
        <v>185023.44000000041</v>
      </c>
      <c r="AC30" s="672">
        <v>10718809.390000001</v>
      </c>
      <c r="AD30" s="672">
        <v>11980876.649999999</v>
      </c>
      <c r="AE30" s="672">
        <v>1262067.26</v>
      </c>
      <c r="AF30" s="618">
        <f t="shared" si="0"/>
        <v>1.8474205238385222E-2</v>
      </c>
    </row>
    <row r="31" spans="1:32" hidden="1" x14ac:dyDescent="0.25">
      <c r="A31" s="639" t="s">
        <v>502</v>
      </c>
      <c r="B31" s="656" t="s">
        <v>469</v>
      </c>
      <c r="C31" s="635">
        <f t="shared" si="1"/>
        <v>0</v>
      </c>
      <c r="D31" s="635">
        <f t="shared" si="2"/>
        <v>0</v>
      </c>
      <c r="E31" s="635">
        <f t="shared" si="3"/>
        <v>616430.69000000006</v>
      </c>
      <c r="F31" s="635">
        <f t="shared" si="4"/>
        <v>1034980.77</v>
      </c>
      <c r="G31" s="635">
        <f t="shared" si="5"/>
        <v>1006662.5399999999</v>
      </c>
      <c r="H31" s="648">
        <v>0</v>
      </c>
      <c r="I31" s="648">
        <v>0</v>
      </c>
      <c r="J31" s="648">
        <v>0</v>
      </c>
      <c r="K31" s="648">
        <v>0</v>
      </c>
      <c r="L31" s="648">
        <v>0</v>
      </c>
      <c r="M31" s="648">
        <v>0</v>
      </c>
      <c r="N31" s="648">
        <v>0</v>
      </c>
      <c r="O31" s="648">
        <v>0</v>
      </c>
      <c r="P31" s="648">
        <v>158510.74</v>
      </c>
      <c r="Q31" s="648">
        <v>0</v>
      </c>
      <c r="R31" s="648">
        <v>369858.42000000004</v>
      </c>
      <c r="S31" s="648">
        <v>88061.53</v>
      </c>
      <c r="T31" s="648">
        <v>334318</v>
      </c>
      <c r="U31" s="648">
        <v>186523.03</v>
      </c>
      <c r="V31" s="648">
        <v>209216.53</v>
      </c>
      <c r="W31" s="648">
        <v>304923.21000000002</v>
      </c>
      <c r="X31" s="648">
        <v>147311.03999999998</v>
      </c>
      <c r="Y31" s="648">
        <v>212871.45</v>
      </c>
      <c r="Z31" s="648">
        <v>236217.91000000003</v>
      </c>
      <c r="AA31" s="641">
        <v>410262.1399999999</v>
      </c>
      <c r="AB31" s="648">
        <v>-0.28999999992083758</v>
      </c>
      <c r="AC31" s="647">
        <v>2658074</v>
      </c>
      <c r="AD31" s="647">
        <v>11980876.649999999</v>
      </c>
      <c r="AE31" s="647">
        <v>9322802.6500000004</v>
      </c>
      <c r="AF31" s="618">
        <f t="shared" si="0"/>
        <v>4.5812741721695596E-3</v>
      </c>
    </row>
    <row r="32" spans="1:32" hidden="1" x14ac:dyDescent="0.25">
      <c r="A32" s="658" t="s">
        <v>481</v>
      </c>
      <c r="B32" s="659">
        <v>0</v>
      </c>
      <c r="C32" s="635">
        <f t="shared" si="1"/>
        <v>0</v>
      </c>
      <c r="D32" s="635">
        <f t="shared" si="2"/>
        <v>0</v>
      </c>
      <c r="E32" s="635">
        <f t="shared" si="3"/>
        <v>0</v>
      </c>
      <c r="F32" s="635">
        <f t="shared" si="4"/>
        <v>0</v>
      </c>
      <c r="G32" s="635">
        <f t="shared" si="5"/>
        <v>0</v>
      </c>
      <c r="H32" s="660">
        <v>0</v>
      </c>
      <c r="I32" s="660">
        <v>0</v>
      </c>
      <c r="J32" s="660">
        <v>0</v>
      </c>
      <c r="K32" s="660">
        <v>0</v>
      </c>
      <c r="L32" s="660">
        <v>0</v>
      </c>
      <c r="M32" s="660">
        <v>0</v>
      </c>
      <c r="N32" s="660">
        <v>0</v>
      </c>
      <c r="O32" s="660">
        <v>0</v>
      </c>
      <c r="P32" s="660">
        <v>0</v>
      </c>
      <c r="Q32" s="660">
        <v>0</v>
      </c>
      <c r="R32" s="660">
        <v>0</v>
      </c>
      <c r="S32" s="660">
        <v>0</v>
      </c>
      <c r="T32" s="660">
        <v>0</v>
      </c>
      <c r="U32" s="660">
        <v>0</v>
      </c>
      <c r="V32" s="660">
        <v>0</v>
      </c>
      <c r="W32" s="660">
        <v>0</v>
      </c>
      <c r="X32" s="660">
        <v>0</v>
      </c>
      <c r="Y32" s="660">
        <v>0</v>
      </c>
      <c r="Z32" s="660">
        <v>0</v>
      </c>
      <c r="AA32" s="661">
        <v>0</v>
      </c>
      <c r="AB32" s="660"/>
      <c r="AC32" s="647">
        <v>-1.1641532182693481E-10</v>
      </c>
      <c r="AD32" s="647">
        <v>0</v>
      </c>
      <c r="AE32" s="643">
        <v>0</v>
      </c>
      <c r="AF32" s="618">
        <f t="shared" si="0"/>
        <v>-2.0064547003978959E-19</v>
      </c>
    </row>
    <row r="33" spans="1:32" ht="25.5" hidden="1" x14ac:dyDescent="0.25">
      <c r="A33" s="658" t="s">
        <v>482</v>
      </c>
      <c r="B33" s="659">
        <v>0</v>
      </c>
      <c r="C33" s="635">
        <f t="shared" si="1"/>
        <v>0</v>
      </c>
      <c r="D33" s="635">
        <f t="shared" si="2"/>
        <v>0</v>
      </c>
      <c r="E33" s="635">
        <f t="shared" si="3"/>
        <v>0</v>
      </c>
      <c r="F33" s="635">
        <f t="shared" si="4"/>
        <v>0</v>
      </c>
      <c r="G33" s="635">
        <f t="shared" si="5"/>
        <v>0</v>
      </c>
      <c r="H33" s="660">
        <v>0</v>
      </c>
      <c r="I33" s="660">
        <v>0</v>
      </c>
      <c r="J33" s="660">
        <v>0</v>
      </c>
      <c r="K33" s="660">
        <v>0</v>
      </c>
      <c r="L33" s="660">
        <v>0</v>
      </c>
      <c r="M33" s="660">
        <v>0</v>
      </c>
      <c r="N33" s="660">
        <v>0</v>
      </c>
      <c r="O33" s="660">
        <v>0</v>
      </c>
      <c r="P33" s="660">
        <v>0</v>
      </c>
      <c r="Q33" s="660">
        <v>0</v>
      </c>
      <c r="R33" s="660">
        <v>0</v>
      </c>
      <c r="S33" s="660">
        <v>0</v>
      </c>
      <c r="T33" s="660">
        <v>0</v>
      </c>
      <c r="U33" s="660">
        <v>0</v>
      </c>
      <c r="V33" s="660">
        <v>0</v>
      </c>
      <c r="W33" s="660">
        <v>0</v>
      </c>
      <c r="X33" s="660">
        <v>0</v>
      </c>
      <c r="Y33" s="660">
        <v>0</v>
      </c>
      <c r="Z33" s="660">
        <v>0</v>
      </c>
      <c r="AA33" s="661">
        <v>0</v>
      </c>
      <c r="AB33" s="660">
        <v>0</v>
      </c>
      <c r="AC33" s="647">
        <v>0</v>
      </c>
      <c r="AD33" s="647">
        <v>0</v>
      </c>
      <c r="AE33" s="643">
        <v>0</v>
      </c>
      <c r="AF33" s="618">
        <f t="shared" si="0"/>
        <v>0</v>
      </c>
    </row>
    <row r="34" spans="1:32" hidden="1" x14ac:dyDescent="0.25">
      <c r="A34" s="658" t="s">
        <v>483</v>
      </c>
      <c r="B34" s="659"/>
      <c r="C34" s="635">
        <f t="shared" si="1"/>
        <v>0</v>
      </c>
      <c r="D34" s="635">
        <f t="shared" si="2"/>
        <v>0</v>
      </c>
      <c r="E34" s="635">
        <f t="shared" si="3"/>
        <v>0</v>
      </c>
      <c r="F34" s="635">
        <f t="shared" si="4"/>
        <v>0</v>
      </c>
      <c r="G34" s="635">
        <f t="shared" si="5"/>
        <v>0</v>
      </c>
      <c r="H34" s="660">
        <v>0</v>
      </c>
      <c r="I34" s="660">
        <v>0</v>
      </c>
      <c r="J34" s="660">
        <v>0</v>
      </c>
      <c r="K34" s="660">
        <v>0</v>
      </c>
      <c r="L34" s="660">
        <v>0</v>
      </c>
      <c r="M34" s="660">
        <v>0</v>
      </c>
      <c r="N34" s="660">
        <v>0</v>
      </c>
      <c r="O34" s="660">
        <v>0</v>
      </c>
      <c r="P34" s="660">
        <v>0</v>
      </c>
      <c r="Q34" s="660">
        <v>0</v>
      </c>
      <c r="R34" s="660">
        <v>0</v>
      </c>
      <c r="S34" s="660">
        <v>0</v>
      </c>
      <c r="T34" s="660">
        <v>0</v>
      </c>
      <c r="U34" s="660">
        <v>0</v>
      </c>
      <c r="V34" s="660">
        <v>0</v>
      </c>
      <c r="W34" s="660">
        <v>0</v>
      </c>
      <c r="X34" s="660">
        <v>0</v>
      </c>
      <c r="Y34" s="660">
        <v>0</v>
      </c>
      <c r="Z34" s="660">
        <v>0</v>
      </c>
      <c r="AA34" s="661"/>
      <c r="AB34" s="660"/>
      <c r="AC34" s="647">
        <v>381654.41</v>
      </c>
      <c r="AD34" s="647">
        <v>946170.09</v>
      </c>
      <c r="AE34" s="643"/>
      <c r="AF34" s="618">
        <f t="shared" si="0"/>
        <v>6.577933839417607E-4</v>
      </c>
    </row>
    <row r="35" spans="1:32" ht="25.5" hidden="1" x14ac:dyDescent="0.25">
      <c r="A35" s="676" t="s">
        <v>503</v>
      </c>
      <c r="B35" s="635" t="s">
        <v>504</v>
      </c>
      <c r="C35" s="635">
        <f t="shared" si="1"/>
        <v>0</v>
      </c>
      <c r="D35" s="635">
        <f t="shared" si="2"/>
        <v>2639003.04</v>
      </c>
      <c r="E35" s="635">
        <f t="shared" si="3"/>
        <v>19780428.23</v>
      </c>
      <c r="F35" s="635">
        <f t="shared" si="4"/>
        <v>18380939.18</v>
      </c>
      <c r="G35" s="635">
        <f t="shared" si="5"/>
        <v>9314542.3499999996</v>
      </c>
      <c r="H35" s="662">
        <v>0</v>
      </c>
      <c r="I35" s="662">
        <v>0</v>
      </c>
      <c r="J35" s="662">
        <v>0</v>
      </c>
      <c r="K35" s="662">
        <v>0</v>
      </c>
      <c r="L35" s="662">
        <v>0</v>
      </c>
      <c r="M35" s="662">
        <v>1098078.46</v>
      </c>
      <c r="N35" s="662">
        <v>103441.94</v>
      </c>
      <c r="O35" s="662">
        <v>1437482.64</v>
      </c>
      <c r="P35" s="662">
        <v>4214244.33</v>
      </c>
      <c r="Q35" s="663">
        <v>4323493.7699999996</v>
      </c>
      <c r="R35" s="662">
        <v>7440453.370000001</v>
      </c>
      <c r="S35" s="662">
        <v>3802236.7600000002</v>
      </c>
      <c r="T35" s="662">
        <v>4680356.8100000005</v>
      </c>
      <c r="U35" s="662">
        <v>5184710.01</v>
      </c>
      <c r="V35" s="662">
        <v>5178859.55</v>
      </c>
      <c r="W35" s="662">
        <v>3337012.8100000005</v>
      </c>
      <c r="X35" s="662">
        <v>2648930.17</v>
      </c>
      <c r="Y35" s="662">
        <v>3029356.8499999996</v>
      </c>
      <c r="Z35" s="662">
        <v>3636255.33</v>
      </c>
      <c r="AA35" s="636"/>
      <c r="AB35" s="662">
        <v>1954056.9242493613</v>
      </c>
      <c r="AC35" s="638">
        <v>63177317.612646706</v>
      </c>
      <c r="AD35" s="662">
        <v>65828883.579999991</v>
      </c>
      <c r="AE35" s="638"/>
      <c r="AF35" s="618">
        <f t="shared" si="0"/>
        <v>0.10888809470532852</v>
      </c>
    </row>
    <row r="36" spans="1:32" ht="25.5" hidden="1" x14ac:dyDescent="0.25">
      <c r="A36" s="664" t="s">
        <v>486</v>
      </c>
      <c r="B36" s="665" t="s">
        <v>487</v>
      </c>
      <c r="C36" s="635">
        <f t="shared" si="1"/>
        <v>0</v>
      </c>
      <c r="D36" s="635">
        <f t="shared" si="2"/>
        <v>1136534.4099999999</v>
      </c>
      <c r="E36" s="635">
        <f t="shared" si="3"/>
        <v>1288233.07</v>
      </c>
      <c r="F36" s="635">
        <f t="shared" si="4"/>
        <v>1703930.29</v>
      </c>
      <c r="G36" s="635">
        <f t="shared" si="5"/>
        <v>4044629.3383497405</v>
      </c>
      <c r="H36" s="666">
        <v>0</v>
      </c>
      <c r="I36" s="666">
        <v>0</v>
      </c>
      <c r="J36" s="666">
        <v>0</v>
      </c>
      <c r="K36" s="666">
        <v>0</v>
      </c>
      <c r="L36" s="666">
        <v>0</v>
      </c>
      <c r="M36" s="666">
        <v>0</v>
      </c>
      <c r="N36" s="666">
        <v>103441.94</v>
      </c>
      <c r="O36" s="666">
        <v>1033092.47</v>
      </c>
      <c r="P36" s="666">
        <v>854736.3</v>
      </c>
      <c r="Q36" s="666">
        <v>4976.68</v>
      </c>
      <c r="R36" s="666">
        <v>428520.08999999997</v>
      </c>
      <c r="S36" s="666">
        <v>0</v>
      </c>
      <c r="T36" s="666">
        <v>258796.86</v>
      </c>
      <c r="U36" s="666">
        <v>689728</v>
      </c>
      <c r="V36" s="666">
        <v>0</v>
      </c>
      <c r="W36" s="666">
        <v>755405.42999999993</v>
      </c>
      <c r="X36" s="666">
        <v>111.55</v>
      </c>
      <c r="Y36" s="666">
        <v>109551.86</v>
      </c>
      <c r="Z36" s="666">
        <v>631797.26</v>
      </c>
      <c r="AA36" s="666">
        <v>3303168.6683497406</v>
      </c>
      <c r="AB36" s="666">
        <v>183885.65165025927</v>
      </c>
      <c r="AC36" s="643">
        <v>8173327.1083497405</v>
      </c>
      <c r="AD36" s="643">
        <v>7565288.5499999998</v>
      </c>
      <c r="AE36" s="643">
        <v>-608038.56000000006</v>
      </c>
      <c r="AF36" s="618">
        <f t="shared" si="0"/>
        <v>1.4086986435357322E-2</v>
      </c>
    </row>
    <row r="37" spans="1:32" ht="25.5" hidden="1" x14ac:dyDescent="0.25">
      <c r="A37" s="667" t="s">
        <v>505</v>
      </c>
      <c r="B37" s="665" t="s">
        <v>506</v>
      </c>
      <c r="C37" s="635">
        <f t="shared" si="1"/>
        <v>0</v>
      </c>
      <c r="D37" s="635">
        <f t="shared" si="2"/>
        <v>1502468.63</v>
      </c>
      <c r="E37" s="635">
        <f t="shared" si="3"/>
        <v>18492195.16</v>
      </c>
      <c r="F37" s="635">
        <f t="shared" si="4"/>
        <v>16677008.889999999</v>
      </c>
      <c r="G37" s="635">
        <f t="shared" si="5"/>
        <v>18097427.784296967</v>
      </c>
      <c r="H37" s="668">
        <v>0</v>
      </c>
      <c r="I37" s="668">
        <v>0</v>
      </c>
      <c r="J37" s="668">
        <v>0</v>
      </c>
      <c r="K37" s="668">
        <v>0</v>
      </c>
      <c r="L37" s="668">
        <v>0</v>
      </c>
      <c r="M37" s="668">
        <v>1098078.46</v>
      </c>
      <c r="N37" s="668">
        <v>0</v>
      </c>
      <c r="O37" s="668">
        <v>404390.17000000004</v>
      </c>
      <c r="P37" s="668">
        <v>3359508.03</v>
      </c>
      <c r="Q37" s="669">
        <v>4318517.09</v>
      </c>
      <c r="R37" s="668">
        <v>7011933.2800000012</v>
      </c>
      <c r="S37" s="668">
        <v>3802236.7600000002</v>
      </c>
      <c r="T37" s="668">
        <v>4421559.9499999993</v>
      </c>
      <c r="U37" s="668">
        <v>4494982.01</v>
      </c>
      <c r="V37" s="668">
        <v>5178859.55</v>
      </c>
      <c r="W37" s="668">
        <v>2581607.3800000004</v>
      </c>
      <c r="X37" s="668">
        <v>2648818.6199999996</v>
      </c>
      <c r="Y37" s="668">
        <v>2919804.9899999998</v>
      </c>
      <c r="Z37" s="668">
        <v>3004458.0700000003</v>
      </c>
      <c r="AA37" s="666">
        <v>9524346.1042969692</v>
      </c>
      <c r="AB37" s="668">
        <v>290584.42570303089</v>
      </c>
      <c r="AC37" s="647">
        <v>54769100.464296967</v>
      </c>
      <c r="AD37" s="647">
        <v>57505998.329999991</v>
      </c>
      <c r="AE37" s="647">
        <v>2736897.87</v>
      </c>
      <c r="AF37" s="618">
        <f t="shared" si="0"/>
        <v>9.4396267895492589E-2</v>
      </c>
    </row>
    <row r="38" spans="1:32" hidden="1" x14ac:dyDescent="0.25">
      <c r="A38" s="644" t="s">
        <v>507</v>
      </c>
      <c r="B38" s="656" t="s">
        <v>491</v>
      </c>
      <c r="C38" s="635">
        <f t="shared" si="1"/>
        <v>0</v>
      </c>
      <c r="D38" s="635">
        <f t="shared" si="2"/>
        <v>1502468.63</v>
      </c>
      <c r="E38" s="635">
        <f t="shared" si="3"/>
        <v>14055792.989999998</v>
      </c>
      <c r="F38" s="635">
        <f t="shared" si="4"/>
        <v>11095591.869999999</v>
      </c>
      <c r="G38" s="635">
        <f t="shared" si="5"/>
        <v>9822049.9942969698</v>
      </c>
      <c r="H38" s="645">
        <v>0</v>
      </c>
      <c r="I38" s="645">
        <v>0</v>
      </c>
      <c r="J38" s="645">
        <v>0</v>
      </c>
      <c r="K38" s="645">
        <v>0</v>
      </c>
      <c r="L38" s="645">
        <v>0</v>
      </c>
      <c r="M38" s="645">
        <v>1098078.46</v>
      </c>
      <c r="N38" s="645">
        <v>0</v>
      </c>
      <c r="O38" s="645">
        <v>404390.17000000004</v>
      </c>
      <c r="P38" s="645">
        <v>2434054.5599999996</v>
      </c>
      <c r="Q38" s="677">
        <v>3134433.6</v>
      </c>
      <c r="R38" s="645">
        <v>5529557.7199999997</v>
      </c>
      <c r="S38" s="645">
        <v>2957747.11</v>
      </c>
      <c r="T38" s="645">
        <v>3715525.7299999995</v>
      </c>
      <c r="U38" s="645">
        <v>2283726.11</v>
      </c>
      <c r="V38" s="645">
        <v>4036662.5200000005</v>
      </c>
      <c r="W38" s="645">
        <v>1059677.51</v>
      </c>
      <c r="X38" s="645">
        <v>1866512.6599999997</v>
      </c>
      <c r="Y38" s="645">
        <v>968045.48</v>
      </c>
      <c r="Z38" s="645">
        <v>1981632.7999999998</v>
      </c>
      <c r="AA38" s="641">
        <v>5005859.0542969704</v>
      </c>
      <c r="AB38" s="645">
        <v>338497.70570303063</v>
      </c>
      <c r="AC38" s="647">
        <v>36475903.48429697</v>
      </c>
      <c r="AD38" s="647">
        <v>39374326.479999997</v>
      </c>
      <c r="AE38" s="647">
        <v>2898423</v>
      </c>
      <c r="AF38" s="618">
        <f t="shared" si="0"/>
        <v>6.2867367326552751E-2</v>
      </c>
    </row>
    <row r="39" spans="1:32" hidden="1" x14ac:dyDescent="0.25">
      <c r="A39" s="670" t="s">
        <v>508</v>
      </c>
      <c r="B39" s="671" t="s">
        <v>493</v>
      </c>
      <c r="C39" s="635">
        <f t="shared" si="1"/>
        <v>0</v>
      </c>
      <c r="D39" s="635">
        <f t="shared" si="2"/>
        <v>1502468.63</v>
      </c>
      <c r="E39" s="635">
        <f t="shared" si="3"/>
        <v>13524345.020000001</v>
      </c>
      <c r="F39" s="635">
        <f t="shared" si="4"/>
        <v>6077263.79</v>
      </c>
      <c r="G39" s="635">
        <f t="shared" si="5"/>
        <v>3192677.88</v>
      </c>
      <c r="H39" s="677">
        <v>0</v>
      </c>
      <c r="I39" s="677">
        <v>0</v>
      </c>
      <c r="J39" s="677">
        <v>0</v>
      </c>
      <c r="K39" s="677">
        <v>0</v>
      </c>
      <c r="L39" s="677">
        <v>0</v>
      </c>
      <c r="M39" s="677">
        <v>1098078.46</v>
      </c>
      <c r="N39" s="677">
        <v>0</v>
      </c>
      <c r="O39" s="677">
        <v>404390.17000000004</v>
      </c>
      <c r="P39" s="677">
        <v>2434054.5599999996</v>
      </c>
      <c r="Q39" s="677">
        <v>3096718.96</v>
      </c>
      <c r="R39" s="677">
        <v>5458501.6900000004</v>
      </c>
      <c r="S39" s="677">
        <v>2535069.81</v>
      </c>
      <c r="T39" s="677">
        <v>2679932.4699999997</v>
      </c>
      <c r="U39" s="677">
        <v>907904.71</v>
      </c>
      <c r="V39" s="677">
        <v>2489426.6100000003</v>
      </c>
      <c r="W39" s="677">
        <v>0</v>
      </c>
      <c r="X39" s="677">
        <v>1129818.3799999999</v>
      </c>
      <c r="Y39" s="677">
        <v>414333.24</v>
      </c>
      <c r="Z39" s="677">
        <v>685250.6399999999</v>
      </c>
      <c r="AA39" s="641">
        <v>963275.62</v>
      </c>
      <c r="AB39" s="677">
        <v>170662.95000000112</v>
      </c>
      <c r="AC39" s="672">
        <v>24296755.32</v>
      </c>
      <c r="AD39" s="672">
        <v>24494873.169999998</v>
      </c>
      <c r="AE39" s="672">
        <v>198117.85</v>
      </c>
      <c r="AF39" s="618">
        <f t="shared" si="0"/>
        <v>4.1876222262826147E-2</v>
      </c>
    </row>
    <row r="40" spans="1:32" hidden="1" x14ac:dyDescent="0.25">
      <c r="A40" s="670" t="s">
        <v>509</v>
      </c>
      <c r="B40" s="673" t="s">
        <v>495</v>
      </c>
      <c r="C40" s="635">
        <f t="shared" si="1"/>
        <v>0</v>
      </c>
      <c r="D40" s="635">
        <f t="shared" si="2"/>
        <v>0</v>
      </c>
      <c r="E40" s="635">
        <f t="shared" si="3"/>
        <v>248945.33999999997</v>
      </c>
      <c r="F40" s="635">
        <f t="shared" si="4"/>
        <v>575636.27</v>
      </c>
      <c r="G40" s="635">
        <f t="shared" si="5"/>
        <v>373917.87</v>
      </c>
      <c r="H40" s="677">
        <v>0</v>
      </c>
      <c r="I40" s="677">
        <v>0</v>
      </c>
      <c r="J40" s="677">
        <v>0</v>
      </c>
      <c r="K40" s="677">
        <v>0</v>
      </c>
      <c r="L40" s="677">
        <v>0</v>
      </c>
      <c r="M40" s="677">
        <v>0</v>
      </c>
      <c r="N40" s="677">
        <v>0</v>
      </c>
      <c r="O40" s="677">
        <v>0</v>
      </c>
      <c r="P40" s="677">
        <v>0</v>
      </c>
      <c r="Q40" s="677">
        <v>37714.639999999999</v>
      </c>
      <c r="R40" s="677">
        <v>71056.03</v>
      </c>
      <c r="S40" s="677">
        <v>140174.66999999998</v>
      </c>
      <c r="T40" s="677">
        <v>162885.20000000001</v>
      </c>
      <c r="U40" s="677">
        <v>187582.36</v>
      </c>
      <c r="V40" s="677">
        <v>154022.95000000001</v>
      </c>
      <c r="W40" s="677">
        <v>71145.759999999995</v>
      </c>
      <c r="X40" s="677">
        <v>25937.080000000005</v>
      </c>
      <c r="Y40" s="677">
        <v>46523.47</v>
      </c>
      <c r="Z40" s="677">
        <v>140157.12</v>
      </c>
      <c r="AA40" s="641">
        <v>161300.20000000001</v>
      </c>
      <c r="AB40" s="677">
        <v>115295.23999999993</v>
      </c>
      <c r="AC40" s="672">
        <v>1198499.48</v>
      </c>
      <c r="AD40" s="672">
        <v>4258629.91</v>
      </c>
      <c r="AE40" s="672">
        <v>3060130.43</v>
      </c>
      <c r="AF40" s="618">
        <f t="shared" si="0"/>
        <v>2.0656515631553704E-3</v>
      </c>
    </row>
    <row r="41" spans="1:32" hidden="1" x14ac:dyDescent="0.25">
      <c r="A41" s="670" t="s">
        <v>510</v>
      </c>
      <c r="B41" s="673" t="s">
        <v>497</v>
      </c>
      <c r="C41" s="635">
        <f t="shared" si="1"/>
        <v>0</v>
      </c>
      <c r="D41" s="635">
        <f t="shared" si="2"/>
        <v>0</v>
      </c>
      <c r="E41" s="635">
        <f t="shared" si="3"/>
        <v>44792.29</v>
      </c>
      <c r="F41" s="635">
        <f t="shared" si="4"/>
        <v>664505.34</v>
      </c>
      <c r="G41" s="635">
        <f t="shared" si="5"/>
        <v>1488219.2239969699</v>
      </c>
      <c r="H41" s="677"/>
      <c r="I41" s="677"/>
      <c r="J41" s="677"/>
      <c r="K41" s="677"/>
      <c r="L41" s="677"/>
      <c r="M41" s="677"/>
      <c r="N41" s="677"/>
      <c r="O41" s="677">
        <v>0</v>
      </c>
      <c r="P41" s="677">
        <v>0</v>
      </c>
      <c r="Q41" s="677">
        <v>0</v>
      </c>
      <c r="R41" s="677">
        <v>0</v>
      </c>
      <c r="S41" s="677">
        <v>44792.29</v>
      </c>
      <c r="T41" s="677">
        <v>54204.72</v>
      </c>
      <c r="U41" s="677">
        <v>146834.57999999999</v>
      </c>
      <c r="V41" s="677">
        <v>325844.64</v>
      </c>
      <c r="W41" s="677">
        <v>137621.4</v>
      </c>
      <c r="X41" s="677">
        <v>243868.55</v>
      </c>
      <c r="Y41" s="677">
        <v>227331.20000000001</v>
      </c>
      <c r="Z41" s="677">
        <v>485522.82</v>
      </c>
      <c r="AA41" s="641">
        <v>531496.65399696981</v>
      </c>
      <c r="AB41" s="677">
        <v>52539.336003030301</v>
      </c>
      <c r="AC41" s="672">
        <v>2197516.8539969698</v>
      </c>
      <c r="AD41" s="672">
        <v>2569683.37</v>
      </c>
      <c r="AE41" s="672">
        <v>372166.52</v>
      </c>
      <c r="AF41" s="618">
        <f t="shared" si="0"/>
        <v>3.7874894401448657E-3</v>
      </c>
    </row>
    <row r="42" spans="1:32" ht="25.5" hidden="1" x14ac:dyDescent="0.25">
      <c r="A42" s="670" t="s">
        <v>511</v>
      </c>
      <c r="B42" s="673" t="s">
        <v>499</v>
      </c>
      <c r="C42" s="635">
        <f t="shared" si="1"/>
        <v>0</v>
      </c>
      <c r="D42" s="635">
        <f t="shared" si="2"/>
        <v>0</v>
      </c>
      <c r="E42" s="635">
        <f t="shared" si="3"/>
        <v>237710.34</v>
      </c>
      <c r="F42" s="635">
        <f t="shared" si="4"/>
        <v>3778186.47</v>
      </c>
      <c r="G42" s="635">
        <f t="shared" si="5"/>
        <v>4767235.020299999</v>
      </c>
      <c r="H42" s="677"/>
      <c r="I42" s="677"/>
      <c r="J42" s="677"/>
      <c r="K42" s="677"/>
      <c r="L42" s="677"/>
      <c r="M42" s="677"/>
      <c r="N42" s="677"/>
      <c r="O42" s="677"/>
      <c r="P42" s="677">
        <v>0</v>
      </c>
      <c r="Q42" s="677">
        <v>0</v>
      </c>
      <c r="R42" s="677">
        <v>0</v>
      </c>
      <c r="S42" s="677">
        <v>237710.34</v>
      </c>
      <c r="T42" s="677">
        <v>818503.34000000008</v>
      </c>
      <c r="U42" s="677">
        <v>1041404.46</v>
      </c>
      <c r="V42" s="677">
        <v>1067368.3199999998</v>
      </c>
      <c r="W42" s="677">
        <v>850910.35</v>
      </c>
      <c r="X42" s="677">
        <v>466888.65</v>
      </c>
      <c r="Y42" s="677">
        <v>279857.57</v>
      </c>
      <c r="Z42" s="677">
        <v>670702.22</v>
      </c>
      <c r="AA42" s="641">
        <v>3349786.5802999996</v>
      </c>
      <c r="AB42" s="677">
        <v>0.17969999928027391</v>
      </c>
      <c r="AC42" s="672">
        <v>8783131.8302999996</v>
      </c>
      <c r="AD42" s="672">
        <v>8051140.0300000003</v>
      </c>
      <c r="AE42" s="672">
        <v>-731991.8</v>
      </c>
      <c r="AF42" s="618">
        <f t="shared" si="0"/>
        <v>1.5138004060426362E-2</v>
      </c>
    </row>
    <row r="43" spans="1:32" ht="25.5" hidden="1" x14ac:dyDescent="0.25">
      <c r="A43" s="670" t="s">
        <v>500</v>
      </c>
      <c r="B43" s="673" t="s">
        <v>501</v>
      </c>
      <c r="C43" s="635">
        <f t="shared" si="1"/>
        <v>0</v>
      </c>
      <c r="D43" s="635">
        <f t="shared" si="2"/>
        <v>0</v>
      </c>
      <c r="E43" s="635">
        <f t="shared" si="3"/>
        <v>0</v>
      </c>
      <c r="F43" s="635">
        <f t="shared" si="4"/>
        <v>0</v>
      </c>
      <c r="G43" s="635">
        <f t="shared" si="5"/>
        <v>0</v>
      </c>
      <c r="H43" s="677"/>
      <c r="I43" s="677"/>
      <c r="J43" s="677"/>
      <c r="K43" s="677"/>
      <c r="L43" s="677"/>
      <c r="M43" s="677"/>
      <c r="N43" s="677"/>
      <c r="O43" s="677"/>
      <c r="P43" s="677"/>
      <c r="Q43" s="677"/>
      <c r="R43" s="677">
        <v>0</v>
      </c>
      <c r="S43" s="677">
        <v>0</v>
      </c>
      <c r="T43" s="677">
        <v>0</v>
      </c>
      <c r="U43" s="677">
        <v>0</v>
      </c>
      <c r="V43" s="677">
        <v>0</v>
      </c>
      <c r="W43" s="677">
        <v>0</v>
      </c>
      <c r="X43" s="677">
        <v>0</v>
      </c>
      <c r="Y43" s="677">
        <v>0</v>
      </c>
      <c r="Z43" s="677">
        <v>0</v>
      </c>
      <c r="AA43" s="641">
        <v>0</v>
      </c>
      <c r="AB43" s="677">
        <v>0</v>
      </c>
      <c r="AC43" s="672">
        <v>0</v>
      </c>
      <c r="AD43" s="672">
        <v>0</v>
      </c>
      <c r="AE43" s="672">
        <v>0</v>
      </c>
      <c r="AF43" s="618">
        <f t="shared" si="0"/>
        <v>0</v>
      </c>
    </row>
    <row r="44" spans="1:32" hidden="1" x14ac:dyDescent="0.25">
      <c r="A44" s="678" t="s">
        <v>512</v>
      </c>
      <c r="B44" s="679" t="s">
        <v>513</v>
      </c>
      <c r="C44" s="635">
        <f t="shared" si="1"/>
        <v>0</v>
      </c>
      <c r="D44" s="635">
        <f t="shared" si="2"/>
        <v>0</v>
      </c>
      <c r="E44" s="635">
        <f t="shared" si="3"/>
        <v>2326790.73</v>
      </c>
      <c r="F44" s="635">
        <f t="shared" si="4"/>
        <v>3102664.28</v>
      </c>
      <c r="G44" s="635">
        <f t="shared" si="5"/>
        <v>5677768.7000000002</v>
      </c>
      <c r="H44" s="645">
        <v>0</v>
      </c>
      <c r="I44" s="645">
        <v>0</v>
      </c>
      <c r="J44" s="645">
        <v>0</v>
      </c>
      <c r="K44" s="645">
        <v>0</v>
      </c>
      <c r="L44" s="645">
        <v>0</v>
      </c>
      <c r="M44" s="645">
        <v>0</v>
      </c>
      <c r="N44" s="645">
        <v>0</v>
      </c>
      <c r="O44" s="645">
        <v>0</v>
      </c>
      <c r="P44" s="645">
        <v>447961.93</v>
      </c>
      <c r="Q44" s="677">
        <v>1184083.49</v>
      </c>
      <c r="R44" s="645">
        <v>312200.30000000005</v>
      </c>
      <c r="S44" s="645">
        <v>382545.01</v>
      </c>
      <c r="T44" s="645">
        <v>-0.24999999999818101</v>
      </c>
      <c r="U44" s="645">
        <v>1668280.9</v>
      </c>
      <c r="V44" s="645">
        <v>572897.02</v>
      </c>
      <c r="W44" s="645">
        <v>861486.61</v>
      </c>
      <c r="X44" s="645">
        <v>293881.42</v>
      </c>
      <c r="Y44" s="645">
        <v>1389587.14</v>
      </c>
      <c r="Z44" s="645">
        <v>510466.28</v>
      </c>
      <c r="AA44" s="641">
        <v>3483833.8600000003</v>
      </c>
      <c r="AB44" s="645">
        <v>0.76000000050407834</v>
      </c>
      <c r="AC44" s="647">
        <v>11107223.710000001</v>
      </c>
      <c r="AD44" s="647">
        <v>11150388.669999998</v>
      </c>
      <c r="AE44" s="647">
        <v>43164.959999999999</v>
      </c>
      <c r="AF44" s="618">
        <f t="shared" si="0"/>
        <v>1.9143649539904592E-2</v>
      </c>
    </row>
    <row r="45" spans="1:32" hidden="1" x14ac:dyDescent="0.25">
      <c r="A45" s="680" t="s">
        <v>514</v>
      </c>
      <c r="B45" s="654" t="s">
        <v>515</v>
      </c>
      <c r="C45" s="635">
        <f t="shared" si="1"/>
        <v>0</v>
      </c>
      <c r="D45" s="635">
        <f t="shared" si="2"/>
        <v>0</v>
      </c>
      <c r="E45" s="635">
        <f t="shared" si="3"/>
        <v>1901883.5899999999</v>
      </c>
      <c r="F45" s="635">
        <f t="shared" si="4"/>
        <v>1302867.25</v>
      </c>
      <c r="G45" s="635">
        <f t="shared" si="5"/>
        <v>4589529.68</v>
      </c>
      <c r="H45" s="677">
        <v>0</v>
      </c>
      <c r="I45" s="677">
        <v>0</v>
      </c>
      <c r="J45" s="677">
        <v>0</v>
      </c>
      <c r="K45" s="677">
        <v>0</v>
      </c>
      <c r="L45" s="677">
        <v>0</v>
      </c>
      <c r="M45" s="677">
        <v>0</v>
      </c>
      <c r="N45" s="677">
        <v>0</v>
      </c>
      <c r="O45" s="677">
        <v>0</v>
      </c>
      <c r="P45" s="677">
        <v>447961.93</v>
      </c>
      <c r="Q45" s="677">
        <v>1139351.26</v>
      </c>
      <c r="R45" s="677">
        <v>33429.9</v>
      </c>
      <c r="S45" s="677">
        <v>281140.5</v>
      </c>
      <c r="T45" s="677">
        <v>0</v>
      </c>
      <c r="U45" s="677">
        <v>941947.54</v>
      </c>
      <c r="V45" s="677">
        <v>116889.89</v>
      </c>
      <c r="W45" s="677">
        <v>244029.81999999998</v>
      </c>
      <c r="X45" s="677">
        <v>245103.18</v>
      </c>
      <c r="Y45" s="677">
        <v>914422.61</v>
      </c>
      <c r="Z45" s="677">
        <v>231599.18</v>
      </c>
      <c r="AA45" s="641">
        <v>3198404.71</v>
      </c>
      <c r="AB45" s="677">
        <v>0.51000000024214387</v>
      </c>
      <c r="AC45" s="672">
        <v>7794280.5199999996</v>
      </c>
      <c r="AD45" s="672">
        <v>7839170.3300000001</v>
      </c>
      <c r="AE45" s="672">
        <v>44889.81</v>
      </c>
      <c r="AF45" s="618">
        <f t="shared" si="0"/>
        <v>1.3433687714081823E-2</v>
      </c>
    </row>
    <row r="46" spans="1:32" hidden="1" x14ac:dyDescent="0.25">
      <c r="A46" s="680" t="s">
        <v>516</v>
      </c>
      <c r="B46" s="654" t="s">
        <v>517</v>
      </c>
      <c r="C46" s="635">
        <f t="shared" si="1"/>
        <v>0</v>
      </c>
      <c r="D46" s="635">
        <f t="shared" si="2"/>
        <v>0</v>
      </c>
      <c r="E46" s="635">
        <f t="shared" si="3"/>
        <v>424907.14</v>
      </c>
      <c r="F46" s="635">
        <f t="shared" si="4"/>
        <v>351075.58</v>
      </c>
      <c r="G46" s="635">
        <f t="shared" si="5"/>
        <v>255865.87</v>
      </c>
      <c r="H46" s="677">
        <v>0</v>
      </c>
      <c r="I46" s="677">
        <v>0</v>
      </c>
      <c r="J46" s="677">
        <v>0</v>
      </c>
      <c r="K46" s="677">
        <v>0</v>
      </c>
      <c r="L46" s="677">
        <v>0</v>
      </c>
      <c r="M46" s="677">
        <v>0</v>
      </c>
      <c r="N46" s="677">
        <v>0</v>
      </c>
      <c r="O46" s="677">
        <v>0</v>
      </c>
      <c r="P46" s="677">
        <v>0</v>
      </c>
      <c r="Q46" s="677">
        <v>44732.23</v>
      </c>
      <c r="R46" s="677">
        <v>278770.40000000002</v>
      </c>
      <c r="S46" s="677">
        <v>101404.51000000001</v>
      </c>
      <c r="T46" s="677">
        <v>-0.3999999999996362</v>
      </c>
      <c r="U46" s="677">
        <v>142090.9</v>
      </c>
      <c r="V46" s="677">
        <v>76892.320000000007</v>
      </c>
      <c r="W46" s="677">
        <v>132092.76</v>
      </c>
      <c r="X46" s="677">
        <v>0</v>
      </c>
      <c r="Y46" s="677">
        <v>75740.58</v>
      </c>
      <c r="Z46" s="677">
        <v>129256.42</v>
      </c>
      <c r="AA46" s="641">
        <v>50868.87</v>
      </c>
      <c r="AB46" s="677">
        <v>0.39999999993597157</v>
      </c>
      <c r="AC46" s="672">
        <v>1031848.5900000001</v>
      </c>
      <c r="AD46" s="672">
        <v>1025611.96</v>
      </c>
      <c r="AE46" s="672">
        <v>-6236.63</v>
      </c>
      <c r="AF46" s="618">
        <f t="shared" si="0"/>
        <v>1.7784235107662835E-3</v>
      </c>
    </row>
    <row r="47" spans="1:32" hidden="1" x14ac:dyDescent="0.25">
      <c r="A47" s="680" t="s">
        <v>516</v>
      </c>
      <c r="B47" s="654" t="s">
        <v>518</v>
      </c>
      <c r="C47" s="635">
        <f t="shared" si="1"/>
        <v>0</v>
      </c>
      <c r="D47" s="635">
        <f t="shared" si="2"/>
        <v>0</v>
      </c>
      <c r="E47" s="635">
        <f t="shared" si="3"/>
        <v>0</v>
      </c>
      <c r="F47" s="635">
        <f t="shared" si="4"/>
        <v>1448721.45</v>
      </c>
      <c r="G47" s="635">
        <f t="shared" si="5"/>
        <v>832373.15</v>
      </c>
      <c r="H47" s="677"/>
      <c r="I47" s="677"/>
      <c r="J47" s="677"/>
      <c r="K47" s="677"/>
      <c r="L47" s="677"/>
      <c r="M47" s="677"/>
      <c r="N47" s="677"/>
      <c r="O47" s="677"/>
      <c r="P47" s="677">
        <v>0</v>
      </c>
      <c r="Q47" s="677">
        <v>0</v>
      </c>
      <c r="R47" s="677">
        <v>0</v>
      </c>
      <c r="S47" s="677">
        <v>0</v>
      </c>
      <c r="T47" s="677">
        <v>0.15000000000145519</v>
      </c>
      <c r="U47" s="677">
        <v>584242.46</v>
      </c>
      <c r="V47" s="677">
        <v>379114.80999999994</v>
      </c>
      <c r="W47" s="677">
        <v>485364.03</v>
      </c>
      <c r="X47" s="677">
        <v>48778.239999999998</v>
      </c>
      <c r="Y47" s="677">
        <v>399423.95</v>
      </c>
      <c r="Z47" s="677">
        <v>149610.68</v>
      </c>
      <c r="AA47" s="641">
        <v>234560.28</v>
      </c>
      <c r="AB47" s="677">
        <v>-0.1499999996740371</v>
      </c>
      <c r="AC47" s="672">
        <v>2281094.5999999996</v>
      </c>
      <c r="AD47" s="672">
        <v>2285606.38</v>
      </c>
      <c r="AE47" s="672">
        <v>4511.78</v>
      </c>
      <c r="AF47" s="618">
        <f t="shared" si="0"/>
        <v>3.9315383150564853E-3</v>
      </c>
    </row>
    <row r="48" spans="1:32" hidden="1" x14ac:dyDescent="0.25">
      <c r="A48" s="678" t="s">
        <v>502</v>
      </c>
      <c r="B48" s="679" t="s">
        <v>519</v>
      </c>
      <c r="C48" s="635">
        <f t="shared" si="1"/>
        <v>0</v>
      </c>
      <c r="D48" s="635">
        <f t="shared" si="2"/>
        <v>0</v>
      </c>
      <c r="E48" s="635">
        <f t="shared" si="3"/>
        <v>2109611.44</v>
      </c>
      <c r="F48" s="635">
        <f t="shared" si="4"/>
        <v>2478752.7400000002</v>
      </c>
      <c r="G48" s="635">
        <f t="shared" si="5"/>
        <v>2597609.09</v>
      </c>
      <c r="H48" s="645">
        <v>0</v>
      </c>
      <c r="I48" s="645">
        <v>0</v>
      </c>
      <c r="J48" s="645">
        <v>0</v>
      </c>
      <c r="K48" s="645">
        <v>0</v>
      </c>
      <c r="L48" s="645">
        <v>0</v>
      </c>
      <c r="M48" s="645">
        <v>0</v>
      </c>
      <c r="N48" s="645">
        <v>0</v>
      </c>
      <c r="O48" s="645">
        <v>0</v>
      </c>
      <c r="P48" s="645">
        <v>477491.54</v>
      </c>
      <c r="Q48" s="645">
        <v>0</v>
      </c>
      <c r="R48" s="645">
        <v>1170175.26</v>
      </c>
      <c r="S48" s="645">
        <v>461944.64</v>
      </c>
      <c r="T48" s="645">
        <v>706034.47</v>
      </c>
      <c r="U48" s="645">
        <v>542975</v>
      </c>
      <c r="V48" s="645">
        <v>569300.01</v>
      </c>
      <c r="W48" s="645">
        <v>660443.26</v>
      </c>
      <c r="X48" s="645">
        <v>488424.54</v>
      </c>
      <c r="Y48" s="645">
        <v>562172.37</v>
      </c>
      <c r="Z48" s="645">
        <v>512358.99</v>
      </c>
      <c r="AA48" s="641">
        <v>1034653.19</v>
      </c>
      <c r="AB48" s="645">
        <v>-47914.04000000027</v>
      </c>
      <c r="AC48" s="647">
        <v>7185973.2699999996</v>
      </c>
      <c r="AD48" s="647">
        <v>6981283.1799999997</v>
      </c>
      <c r="AE48" s="647">
        <v>-204690.09</v>
      </c>
      <c r="AF48" s="618">
        <f t="shared" si="0"/>
        <v>1.2385251029035246E-2</v>
      </c>
    </row>
    <row r="49" spans="1:32" hidden="1" x14ac:dyDescent="0.25">
      <c r="A49" s="658" t="s">
        <v>481</v>
      </c>
      <c r="B49" s="659">
        <v>0</v>
      </c>
      <c r="C49" s="635">
        <f t="shared" si="1"/>
        <v>0</v>
      </c>
      <c r="D49" s="635">
        <f t="shared" si="2"/>
        <v>0</v>
      </c>
      <c r="E49" s="635">
        <f t="shared" si="3"/>
        <v>0</v>
      </c>
      <c r="F49" s="635">
        <f t="shared" si="4"/>
        <v>0</v>
      </c>
      <c r="G49" s="635">
        <f t="shared" si="5"/>
        <v>0</v>
      </c>
      <c r="H49" s="660">
        <v>0</v>
      </c>
      <c r="I49" s="660">
        <v>0</v>
      </c>
      <c r="J49" s="660">
        <v>0</v>
      </c>
      <c r="K49" s="660">
        <v>0</v>
      </c>
      <c r="L49" s="660">
        <v>0</v>
      </c>
      <c r="M49" s="660">
        <v>0</v>
      </c>
      <c r="N49" s="660">
        <v>0</v>
      </c>
      <c r="O49" s="660">
        <v>0</v>
      </c>
      <c r="P49" s="660">
        <v>0</v>
      </c>
      <c r="Q49" s="660">
        <v>0</v>
      </c>
      <c r="R49" s="660">
        <v>0</v>
      </c>
      <c r="S49" s="660">
        <v>0</v>
      </c>
      <c r="T49" s="660">
        <v>0</v>
      </c>
      <c r="U49" s="660">
        <v>0</v>
      </c>
      <c r="V49" s="660">
        <v>0</v>
      </c>
      <c r="W49" s="660">
        <v>0</v>
      </c>
      <c r="X49" s="660">
        <v>0</v>
      </c>
      <c r="Y49" s="660">
        <v>0</v>
      </c>
      <c r="Z49" s="660">
        <v>0</v>
      </c>
      <c r="AA49" s="661">
        <v>0</v>
      </c>
      <c r="AB49" s="660"/>
      <c r="AC49" s="647">
        <v>0</v>
      </c>
      <c r="AD49" s="647">
        <v>0</v>
      </c>
      <c r="AE49" s="643">
        <v>0</v>
      </c>
      <c r="AF49" s="618">
        <f t="shared" si="0"/>
        <v>0</v>
      </c>
    </row>
    <row r="50" spans="1:32" ht="25.5" hidden="1" x14ac:dyDescent="0.25">
      <c r="A50" s="658" t="s">
        <v>482</v>
      </c>
      <c r="B50" s="659">
        <v>0</v>
      </c>
      <c r="C50" s="635">
        <f t="shared" si="1"/>
        <v>0</v>
      </c>
      <c r="D50" s="635">
        <f t="shared" si="2"/>
        <v>0</v>
      </c>
      <c r="E50" s="635">
        <f t="shared" si="3"/>
        <v>0</v>
      </c>
      <c r="F50" s="635">
        <f t="shared" si="4"/>
        <v>0</v>
      </c>
      <c r="G50" s="635">
        <f t="shared" si="5"/>
        <v>0</v>
      </c>
      <c r="H50" s="660">
        <v>0</v>
      </c>
      <c r="I50" s="660">
        <v>0</v>
      </c>
      <c r="J50" s="660">
        <v>0</v>
      </c>
      <c r="K50" s="660">
        <v>0</v>
      </c>
      <c r="L50" s="660">
        <v>0</v>
      </c>
      <c r="M50" s="660">
        <v>0</v>
      </c>
      <c r="N50" s="660">
        <v>0</v>
      </c>
      <c r="O50" s="660">
        <v>0</v>
      </c>
      <c r="P50" s="660">
        <v>0</v>
      </c>
      <c r="Q50" s="660">
        <v>0</v>
      </c>
      <c r="R50" s="660">
        <v>0</v>
      </c>
      <c r="S50" s="660">
        <v>0</v>
      </c>
      <c r="T50" s="660">
        <v>0</v>
      </c>
      <c r="U50" s="660">
        <v>0</v>
      </c>
      <c r="V50" s="660">
        <v>0</v>
      </c>
      <c r="W50" s="660">
        <v>0</v>
      </c>
      <c r="X50" s="660">
        <v>0</v>
      </c>
      <c r="Y50" s="660">
        <v>0</v>
      </c>
      <c r="Z50" s="660">
        <v>0</v>
      </c>
      <c r="AA50" s="661">
        <v>0</v>
      </c>
      <c r="AB50" s="660">
        <v>1479586.846896071</v>
      </c>
      <c r="AC50" s="647">
        <v>0</v>
      </c>
      <c r="AD50" s="647">
        <v>0</v>
      </c>
      <c r="AE50" s="643">
        <v>0</v>
      </c>
      <c r="AF50" s="618">
        <f t="shared" si="0"/>
        <v>0</v>
      </c>
    </row>
    <row r="51" spans="1:32" hidden="1" x14ac:dyDescent="0.25">
      <c r="A51" s="658" t="s">
        <v>483</v>
      </c>
      <c r="B51" s="659"/>
      <c r="C51" s="635">
        <f t="shared" si="1"/>
        <v>0</v>
      </c>
      <c r="D51" s="635">
        <f t="shared" si="2"/>
        <v>0</v>
      </c>
      <c r="E51" s="635">
        <f t="shared" si="3"/>
        <v>0</v>
      </c>
      <c r="F51" s="635">
        <f t="shared" si="4"/>
        <v>0</v>
      </c>
      <c r="G51" s="635">
        <f t="shared" si="5"/>
        <v>0</v>
      </c>
      <c r="H51" s="660">
        <v>0</v>
      </c>
      <c r="I51" s="660">
        <v>0</v>
      </c>
      <c r="J51" s="660">
        <v>0</v>
      </c>
      <c r="K51" s="660">
        <v>0</v>
      </c>
      <c r="L51" s="660">
        <v>0</v>
      </c>
      <c r="M51" s="660">
        <v>0</v>
      </c>
      <c r="N51" s="660">
        <v>0</v>
      </c>
      <c r="O51" s="660">
        <v>0</v>
      </c>
      <c r="P51" s="660">
        <v>0</v>
      </c>
      <c r="Q51" s="660">
        <v>0</v>
      </c>
      <c r="R51" s="660">
        <v>0</v>
      </c>
      <c r="S51" s="660">
        <v>0</v>
      </c>
      <c r="T51" s="660">
        <v>0</v>
      </c>
      <c r="U51" s="660">
        <v>0</v>
      </c>
      <c r="V51" s="660">
        <v>0</v>
      </c>
      <c r="W51" s="660">
        <v>0</v>
      </c>
      <c r="X51" s="660">
        <v>0</v>
      </c>
      <c r="Y51" s="660">
        <v>0</v>
      </c>
      <c r="Z51" s="660">
        <v>0</v>
      </c>
      <c r="AA51" s="661"/>
      <c r="AB51" s="660"/>
      <c r="AC51" s="647">
        <v>234890.04</v>
      </c>
      <c r="AD51" s="647">
        <v>757596.7</v>
      </c>
      <c r="AE51" s="643"/>
      <c r="AF51" s="618">
        <f t="shared" si="0"/>
        <v>4.048403744786168E-4</v>
      </c>
    </row>
    <row r="52" spans="1:32" ht="25.5" hidden="1" x14ac:dyDescent="0.25">
      <c r="A52" s="676" t="s">
        <v>520</v>
      </c>
      <c r="B52" s="635" t="s">
        <v>521</v>
      </c>
      <c r="C52" s="635">
        <f t="shared" si="1"/>
        <v>0</v>
      </c>
      <c r="D52" s="635">
        <f t="shared" si="2"/>
        <v>2827921.8</v>
      </c>
      <c r="E52" s="635">
        <f t="shared" si="3"/>
        <v>1906921.4100000001</v>
      </c>
      <c r="F52" s="635">
        <f t="shared" si="4"/>
        <v>5464476.5</v>
      </c>
      <c r="G52" s="635">
        <f t="shared" si="5"/>
        <v>10825220.530000001</v>
      </c>
      <c r="H52" s="662">
        <v>0</v>
      </c>
      <c r="I52" s="662">
        <v>0</v>
      </c>
      <c r="J52" s="662">
        <v>0</v>
      </c>
      <c r="K52" s="662">
        <v>0</v>
      </c>
      <c r="L52" s="662">
        <v>14758.880000000001</v>
      </c>
      <c r="M52" s="662">
        <v>143687.44</v>
      </c>
      <c r="N52" s="662">
        <v>3993.43</v>
      </c>
      <c r="O52" s="662">
        <v>2665482.0499999998</v>
      </c>
      <c r="P52" s="662">
        <v>187237.75</v>
      </c>
      <c r="Q52" s="663">
        <v>300400.42000000004</v>
      </c>
      <c r="R52" s="662">
        <v>1085372.7600000002</v>
      </c>
      <c r="S52" s="662">
        <v>333910.48</v>
      </c>
      <c r="T52" s="662">
        <v>700258.75</v>
      </c>
      <c r="U52" s="662">
        <v>684679.78</v>
      </c>
      <c r="V52" s="662">
        <v>3728953.87</v>
      </c>
      <c r="W52" s="662">
        <v>350584.10000000003</v>
      </c>
      <c r="X52" s="662">
        <v>349299.19</v>
      </c>
      <c r="Y52" s="662">
        <v>251574.11</v>
      </c>
      <c r="Z52" s="662">
        <v>1769152.2400000002</v>
      </c>
      <c r="AA52" s="636">
        <v>8455194.9900000002</v>
      </c>
      <c r="AB52" s="662">
        <v>964465.23906093102</v>
      </c>
      <c r="AC52" s="638">
        <v>21024489.100000001</v>
      </c>
      <c r="AD52" s="662">
        <v>22134037.039999999</v>
      </c>
      <c r="AE52" s="638">
        <v>1109547.94</v>
      </c>
      <c r="AF52" s="618">
        <f t="shared" si="0"/>
        <v>3.6236368474651365E-2</v>
      </c>
    </row>
    <row r="53" spans="1:32" ht="25.5" hidden="1" x14ac:dyDescent="0.25">
      <c r="A53" s="667" t="s">
        <v>522</v>
      </c>
      <c r="B53" s="665" t="s">
        <v>523</v>
      </c>
      <c r="C53" s="635">
        <f t="shared" si="1"/>
        <v>0</v>
      </c>
      <c r="D53" s="635">
        <f t="shared" si="2"/>
        <v>0</v>
      </c>
      <c r="E53" s="635">
        <f t="shared" si="3"/>
        <v>813286.79</v>
      </c>
      <c r="F53" s="635">
        <f t="shared" si="4"/>
        <v>1394705.97</v>
      </c>
      <c r="G53" s="635">
        <f t="shared" si="5"/>
        <v>6112011.9199999999</v>
      </c>
      <c r="H53" s="666">
        <v>0</v>
      </c>
      <c r="I53" s="666">
        <v>0</v>
      </c>
      <c r="J53" s="666">
        <v>0</v>
      </c>
      <c r="K53" s="666">
        <v>0</v>
      </c>
      <c r="L53" s="666">
        <v>0</v>
      </c>
      <c r="M53" s="666">
        <v>0</v>
      </c>
      <c r="N53" s="666">
        <v>0</v>
      </c>
      <c r="O53" s="666">
        <v>0</v>
      </c>
      <c r="P53" s="666">
        <v>187237.75</v>
      </c>
      <c r="Q53" s="681">
        <v>0</v>
      </c>
      <c r="R53" s="666">
        <v>472633.48000000004</v>
      </c>
      <c r="S53" s="666">
        <v>153415.56</v>
      </c>
      <c r="T53" s="666">
        <v>346608.16</v>
      </c>
      <c r="U53" s="666">
        <v>255087.14999999997</v>
      </c>
      <c r="V53" s="666">
        <v>442426.56</v>
      </c>
      <c r="W53" s="666">
        <v>350584.10000000003</v>
      </c>
      <c r="X53" s="666">
        <v>349299.19</v>
      </c>
      <c r="Y53" s="666">
        <v>251574.11</v>
      </c>
      <c r="Z53" s="666">
        <v>301210.22000000003</v>
      </c>
      <c r="AA53" s="666">
        <v>5209928.4000000004</v>
      </c>
      <c r="AB53" s="666">
        <v>48976.800000000047</v>
      </c>
      <c r="AC53" s="643">
        <v>8320004.6800000006</v>
      </c>
      <c r="AD53" s="643">
        <v>9040737.4499999993</v>
      </c>
      <c r="AE53" s="643">
        <v>720732.77</v>
      </c>
      <c r="AF53" s="618">
        <f t="shared" si="0"/>
        <v>1.4339789845133682E-2</v>
      </c>
    </row>
    <row r="54" spans="1:32" hidden="1" x14ac:dyDescent="0.25">
      <c r="A54" s="682" t="s">
        <v>1269</v>
      </c>
      <c r="B54" s="656" t="s">
        <v>523</v>
      </c>
      <c r="C54" s="635">
        <f t="shared" si="1"/>
        <v>0</v>
      </c>
      <c r="D54" s="635">
        <f t="shared" si="2"/>
        <v>0</v>
      </c>
      <c r="E54" s="635">
        <f t="shared" si="3"/>
        <v>487243.51000000007</v>
      </c>
      <c r="F54" s="635">
        <f t="shared" si="4"/>
        <v>675994.55</v>
      </c>
      <c r="G54" s="635">
        <f t="shared" si="5"/>
        <v>679524.47</v>
      </c>
      <c r="H54" s="645">
        <v>0</v>
      </c>
      <c r="I54" s="645">
        <v>0</v>
      </c>
      <c r="J54" s="645">
        <v>0</v>
      </c>
      <c r="K54" s="645">
        <v>0</v>
      </c>
      <c r="L54" s="645">
        <v>0</v>
      </c>
      <c r="M54" s="645">
        <v>0</v>
      </c>
      <c r="N54" s="645">
        <v>0</v>
      </c>
      <c r="O54" s="645">
        <v>0</v>
      </c>
      <c r="P54" s="645">
        <v>116578.04000000001</v>
      </c>
      <c r="Q54" s="677">
        <v>0</v>
      </c>
      <c r="R54" s="645">
        <v>279600.02</v>
      </c>
      <c r="S54" s="645">
        <v>91065.45</v>
      </c>
      <c r="T54" s="645">
        <v>205622.18</v>
      </c>
      <c r="U54" s="645">
        <v>134710.34</v>
      </c>
      <c r="V54" s="645">
        <v>145791.74</v>
      </c>
      <c r="W54" s="645">
        <v>189870.29</v>
      </c>
      <c r="X54" s="645">
        <v>114352.76</v>
      </c>
      <c r="Y54" s="645">
        <v>145613.29999999999</v>
      </c>
      <c r="Z54" s="645">
        <v>147185.81</v>
      </c>
      <c r="AA54" s="641">
        <v>272372.59999999998</v>
      </c>
      <c r="AB54" s="645">
        <v>-6309.179999999993</v>
      </c>
      <c r="AC54" s="647">
        <v>1842762.5300000003</v>
      </c>
      <c r="AD54" s="647">
        <v>1815515.68</v>
      </c>
      <c r="AE54" s="647">
        <v>-27246.85</v>
      </c>
      <c r="AF54" s="618">
        <f t="shared" si="0"/>
        <v>3.1760592008088697E-3</v>
      </c>
    </row>
    <row r="55" spans="1:32" hidden="1" x14ac:dyDescent="0.25">
      <c r="A55" s="683" t="s">
        <v>524</v>
      </c>
      <c r="B55" s="654" t="s">
        <v>469</v>
      </c>
      <c r="C55" s="635">
        <f t="shared" si="1"/>
        <v>0</v>
      </c>
      <c r="D55" s="635">
        <f t="shared" si="2"/>
        <v>0</v>
      </c>
      <c r="E55" s="635">
        <f t="shared" si="3"/>
        <v>205476.9</v>
      </c>
      <c r="F55" s="635">
        <f t="shared" si="4"/>
        <v>344856.63999999996</v>
      </c>
      <c r="G55" s="635">
        <f t="shared" si="5"/>
        <v>332952.45999999996</v>
      </c>
      <c r="H55" s="649">
        <v>0</v>
      </c>
      <c r="I55" s="649">
        <v>0</v>
      </c>
      <c r="J55" s="649">
        <v>0</v>
      </c>
      <c r="K55" s="649">
        <v>0</v>
      </c>
      <c r="L55" s="649">
        <v>0</v>
      </c>
      <c r="M55" s="649">
        <v>0</v>
      </c>
      <c r="N55" s="649">
        <v>0</v>
      </c>
      <c r="O55" s="649">
        <v>0</v>
      </c>
      <c r="P55" s="649">
        <v>52836.92</v>
      </c>
      <c r="Q55" s="649">
        <v>0</v>
      </c>
      <c r="R55" s="649">
        <v>123286.14</v>
      </c>
      <c r="S55" s="649">
        <v>29353.84</v>
      </c>
      <c r="T55" s="649">
        <v>111302.39</v>
      </c>
      <c r="U55" s="649">
        <v>62174.34</v>
      </c>
      <c r="V55" s="649">
        <v>69738.84</v>
      </c>
      <c r="W55" s="649">
        <v>101641.06999999999</v>
      </c>
      <c r="X55" s="649">
        <v>49103.679999999993</v>
      </c>
      <c r="Y55" s="649">
        <v>70957.149999999994</v>
      </c>
      <c r="Z55" s="649">
        <v>78739.3</v>
      </c>
      <c r="AA55" s="641">
        <v>134152.32999999999</v>
      </c>
      <c r="AB55" s="649">
        <v>-0.30000000004656613</v>
      </c>
      <c r="AC55" s="672">
        <v>883286</v>
      </c>
      <c r="AD55" s="672">
        <v>883285.7</v>
      </c>
      <c r="AE55" s="672">
        <v>-0.3</v>
      </c>
      <c r="AF55" s="618">
        <f t="shared" si="0"/>
        <v>1.5223712125542637E-3</v>
      </c>
    </row>
    <row r="56" spans="1:32" hidden="1" x14ac:dyDescent="0.25">
      <c r="A56" s="683" t="s">
        <v>525</v>
      </c>
      <c r="B56" s="651" t="s">
        <v>519</v>
      </c>
      <c r="C56" s="635">
        <f t="shared" si="1"/>
        <v>0</v>
      </c>
      <c r="D56" s="635">
        <f t="shared" si="2"/>
        <v>0</v>
      </c>
      <c r="E56" s="635">
        <f t="shared" si="3"/>
        <v>281766.61</v>
      </c>
      <c r="F56" s="635">
        <f t="shared" si="4"/>
        <v>331137.90999999997</v>
      </c>
      <c r="G56" s="635">
        <f t="shared" si="5"/>
        <v>346572.01</v>
      </c>
      <c r="H56" s="649">
        <v>0</v>
      </c>
      <c r="I56" s="649">
        <v>0</v>
      </c>
      <c r="J56" s="649">
        <v>0</v>
      </c>
      <c r="K56" s="649">
        <v>0</v>
      </c>
      <c r="L56" s="649">
        <v>0</v>
      </c>
      <c r="M56" s="649">
        <v>0</v>
      </c>
      <c r="N56" s="649">
        <v>0</v>
      </c>
      <c r="O56" s="649">
        <v>0</v>
      </c>
      <c r="P56" s="649">
        <v>63741.119999999995</v>
      </c>
      <c r="Q56" s="649">
        <v>0</v>
      </c>
      <c r="R56" s="649">
        <v>156313.88</v>
      </c>
      <c r="S56" s="649">
        <v>61711.61</v>
      </c>
      <c r="T56" s="649">
        <v>94319.79</v>
      </c>
      <c r="U56" s="649">
        <v>72536</v>
      </c>
      <c r="V56" s="649">
        <v>76052.899999999994</v>
      </c>
      <c r="W56" s="649">
        <v>88229.22</v>
      </c>
      <c r="X56" s="649">
        <v>65249.08</v>
      </c>
      <c r="Y56" s="649">
        <v>74656.149999999994</v>
      </c>
      <c r="Z56" s="649">
        <v>68446.509999999995</v>
      </c>
      <c r="AA56" s="641">
        <v>138220.26999999999</v>
      </c>
      <c r="AB56" s="649">
        <v>-6308.8799999999464</v>
      </c>
      <c r="AC56" s="672">
        <v>959476.53</v>
      </c>
      <c r="AD56" s="672">
        <v>932229.98</v>
      </c>
      <c r="AE56" s="672">
        <v>-27246.55</v>
      </c>
      <c r="AF56" s="618">
        <f t="shared" si="0"/>
        <v>1.6536879882546054E-3</v>
      </c>
    </row>
    <row r="57" spans="1:32" ht="25.5" hidden="1" x14ac:dyDescent="0.25">
      <c r="A57" s="682" t="s">
        <v>526</v>
      </c>
      <c r="B57" s="656" t="s">
        <v>523</v>
      </c>
      <c r="C57" s="635">
        <f t="shared" si="1"/>
        <v>0</v>
      </c>
      <c r="D57" s="635">
        <f t="shared" si="2"/>
        <v>0</v>
      </c>
      <c r="E57" s="635">
        <f t="shared" si="3"/>
        <v>119694.33</v>
      </c>
      <c r="F57" s="635">
        <f t="shared" si="4"/>
        <v>164753.35</v>
      </c>
      <c r="G57" s="635">
        <f t="shared" si="5"/>
        <v>260440.55000000002</v>
      </c>
      <c r="H57" s="645">
        <v>0</v>
      </c>
      <c r="I57" s="645">
        <v>0</v>
      </c>
      <c r="J57" s="645">
        <v>0</v>
      </c>
      <c r="K57" s="645">
        <v>0</v>
      </c>
      <c r="L57" s="645">
        <v>0</v>
      </c>
      <c r="M57" s="645">
        <v>0</v>
      </c>
      <c r="N57" s="645">
        <v>0</v>
      </c>
      <c r="O57" s="645">
        <v>0</v>
      </c>
      <c r="P57" s="645">
        <v>28389.91</v>
      </c>
      <c r="Q57" s="677">
        <v>0</v>
      </c>
      <c r="R57" s="645">
        <v>68234.44</v>
      </c>
      <c r="S57" s="645">
        <v>23069.98</v>
      </c>
      <c r="T57" s="645">
        <v>52040.01</v>
      </c>
      <c r="U57" s="645">
        <v>32650.870000000003</v>
      </c>
      <c r="V57" s="645">
        <v>35144.51</v>
      </c>
      <c r="W57" s="645">
        <v>44917.96</v>
      </c>
      <c r="X57" s="645">
        <v>28005.85</v>
      </c>
      <c r="Y57" s="645">
        <v>35567.31</v>
      </c>
      <c r="Z57" s="645">
        <v>34824.100000000006</v>
      </c>
      <c r="AA57" s="641">
        <v>162043.29</v>
      </c>
      <c r="AB57" s="645">
        <v>36914.67</v>
      </c>
      <c r="AC57" s="647">
        <v>544888.2300000001</v>
      </c>
      <c r="AD57" s="647">
        <v>583461.5</v>
      </c>
      <c r="AE57" s="647">
        <v>38573.269999999997</v>
      </c>
      <c r="AF57" s="618">
        <f t="shared" si="0"/>
        <v>9.3913200867176282E-4</v>
      </c>
    </row>
    <row r="58" spans="1:32" hidden="1" x14ac:dyDescent="0.25">
      <c r="A58" s="683" t="s">
        <v>524</v>
      </c>
      <c r="B58" s="654" t="s">
        <v>469</v>
      </c>
      <c r="C58" s="635">
        <f t="shared" si="1"/>
        <v>0</v>
      </c>
      <c r="D58" s="635">
        <f t="shared" si="2"/>
        <v>0</v>
      </c>
      <c r="E58" s="635">
        <f t="shared" si="3"/>
        <v>41094.460000000006</v>
      </c>
      <c r="F58" s="635">
        <f t="shared" si="4"/>
        <v>72463.67</v>
      </c>
      <c r="G58" s="635">
        <f t="shared" si="5"/>
        <v>132938.93</v>
      </c>
      <c r="H58" s="649">
        <v>0</v>
      </c>
      <c r="I58" s="649">
        <v>0</v>
      </c>
      <c r="J58" s="649">
        <v>0</v>
      </c>
      <c r="K58" s="649">
        <v>0</v>
      </c>
      <c r="L58" s="649">
        <v>0</v>
      </c>
      <c r="M58" s="649">
        <v>0</v>
      </c>
      <c r="N58" s="649">
        <v>0</v>
      </c>
      <c r="O58" s="649">
        <v>0</v>
      </c>
      <c r="P58" s="649">
        <v>10566.46</v>
      </c>
      <c r="Q58" s="649">
        <v>0</v>
      </c>
      <c r="R58" s="649">
        <v>24657.23</v>
      </c>
      <c r="S58" s="649">
        <v>5870.77</v>
      </c>
      <c r="T58" s="649">
        <v>25752.809999999998</v>
      </c>
      <c r="U58" s="649">
        <v>12434.87</v>
      </c>
      <c r="V58" s="649">
        <v>13947.77</v>
      </c>
      <c r="W58" s="649">
        <v>20328.22</v>
      </c>
      <c r="X58" s="649">
        <v>9820.74</v>
      </c>
      <c r="Y58" s="649">
        <v>14191.439999999999</v>
      </c>
      <c r="Z58" s="649">
        <v>15747.859999999999</v>
      </c>
      <c r="AA58" s="641">
        <v>93178.89</v>
      </c>
      <c r="AB58" s="649">
        <v>1.2699999999895226</v>
      </c>
      <c r="AC58" s="672">
        <v>246497.06</v>
      </c>
      <c r="AD58" s="672">
        <v>246498.33</v>
      </c>
      <c r="AE58" s="672">
        <v>1.27</v>
      </c>
      <c r="AF58" s="618">
        <f t="shared" si="0"/>
        <v>4.2484543864983832E-4</v>
      </c>
    </row>
    <row r="59" spans="1:32" hidden="1" x14ac:dyDescent="0.25">
      <c r="A59" s="683" t="s">
        <v>525</v>
      </c>
      <c r="B59" s="651" t="s">
        <v>519</v>
      </c>
      <c r="C59" s="635">
        <f t="shared" si="1"/>
        <v>0</v>
      </c>
      <c r="D59" s="635">
        <f t="shared" si="2"/>
        <v>0</v>
      </c>
      <c r="E59" s="635">
        <f t="shared" si="3"/>
        <v>78599.87</v>
      </c>
      <c r="F59" s="635">
        <f t="shared" si="4"/>
        <v>92289.680000000008</v>
      </c>
      <c r="G59" s="635">
        <f t="shared" si="5"/>
        <v>127501.62</v>
      </c>
      <c r="H59" s="649">
        <v>0</v>
      </c>
      <c r="I59" s="649">
        <v>0</v>
      </c>
      <c r="J59" s="649">
        <v>0</v>
      </c>
      <c r="K59" s="649">
        <v>0</v>
      </c>
      <c r="L59" s="649">
        <v>0</v>
      </c>
      <c r="M59" s="649">
        <v>0</v>
      </c>
      <c r="N59" s="649">
        <v>0</v>
      </c>
      <c r="O59" s="649">
        <v>0</v>
      </c>
      <c r="P59" s="649">
        <v>17823.449999999997</v>
      </c>
      <c r="Q59" s="649">
        <v>0</v>
      </c>
      <c r="R59" s="649">
        <v>43577.21</v>
      </c>
      <c r="S59" s="649">
        <v>17199.21</v>
      </c>
      <c r="T59" s="649">
        <v>26287.200000000001</v>
      </c>
      <c r="U59" s="649">
        <v>20216</v>
      </c>
      <c r="V59" s="649">
        <v>21196.74</v>
      </c>
      <c r="W59" s="649">
        <v>24589.74</v>
      </c>
      <c r="X59" s="649">
        <v>18185.11</v>
      </c>
      <c r="Y59" s="649">
        <v>21375.87</v>
      </c>
      <c r="Z59" s="649">
        <v>19076.240000000002</v>
      </c>
      <c r="AA59" s="641">
        <v>68864.399999999994</v>
      </c>
      <c r="AB59" s="649">
        <v>36913.400000000009</v>
      </c>
      <c r="AC59" s="672">
        <v>298391.17</v>
      </c>
      <c r="AD59" s="672">
        <v>336963.17000000004</v>
      </c>
      <c r="AE59" s="672">
        <v>38572</v>
      </c>
      <c r="AF59" s="618">
        <f t="shared" si="0"/>
        <v>5.1428657002192428E-4</v>
      </c>
    </row>
    <row r="60" spans="1:32" hidden="1" x14ac:dyDescent="0.25">
      <c r="A60" s="682" t="s">
        <v>527</v>
      </c>
      <c r="B60" s="656" t="s">
        <v>523</v>
      </c>
      <c r="C60" s="635">
        <f t="shared" si="1"/>
        <v>0</v>
      </c>
      <c r="D60" s="635">
        <f t="shared" si="2"/>
        <v>0</v>
      </c>
      <c r="E60" s="635">
        <f t="shared" si="3"/>
        <v>0</v>
      </c>
      <c r="F60" s="635">
        <f t="shared" si="4"/>
        <v>0</v>
      </c>
      <c r="G60" s="635">
        <f t="shared" si="5"/>
        <v>0</v>
      </c>
      <c r="H60" s="645">
        <v>0</v>
      </c>
      <c r="I60" s="645">
        <v>0</v>
      </c>
      <c r="J60" s="645">
        <v>0</v>
      </c>
      <c r="K60" s="645">
        <v>0</v>
      </c>
      <c r="L60" s="645">
        <v>0</v>
      </c>
      <c r="M60" s="645">
        <v>0</v>
      </c>
      <c r="N60" s="645">
        <v>0</v>
      </c>
      <c r="O60" s="645">
        <v>0</v>
      </c>
      <c r="P60" s="645">
        <v>0</v>
      </c>
      <c r="Q60" s="677">
        <v>0</v>
      </c>
      <c r="R60" s="645">
        <v>0</v>
      </c>
      <c r="S60" s="645">
        <v>0</v>
      </c>
      <c r="T60" s="645">
        <v>0</v>
      </c>
      <c r="U60" s="645">
        <v>0</v>
      </c>
      <c r="V60" s="645">
        <v>0</v>
      </c>
      <c r="W60" s="645">
        <v>0</v>
      </c>
      <c r="X60" s="645">
        <v>0</v>
      </c>
      <c r="Y60" s="645">
        <v>0</v>
      </c>
      <c r="Z60" s="645">
        <v>0</v>
      </c>
      <c r="AA60" s="641">
        <v>0</v>
      </c>
      <c r="AB60" s="645">
        <v>0</v>
      </c>
      <c r="AC60" s="647">
        <v>0</v>
      </c>
      <c r="AD60" s="647">
        <v>0</v>
      </c>
      <c r="AE60" s="647">
        <v>0</v>
      </c>
      <c r="AF60" s="618">
        <f t="shared" si="0"/>
        <v>0</v>
      </c>
    </row>
    <row r="61" spans="1:32" hidden="1" x14ac:dyDescent="0.25">
      <c r="A61" s="683" t="s">
        <v>524</v>
      </c>
      <c r="B61" s="654" t="s">
        <v>528</v>
      </c>
      <c r="C61" s="635">
        <f t="shared" si="1"/>
        <v>0</v>
      </c>
      <c r="D61" s="635">
        <f t="shared" si="2"/>
        <v>0</v>
      </c>
      <c r="E61" s="635">
        <f t="shared" si="3"/>
        <v>0</v>
      </c>
      <c r="F61" s="635">
        <f t="shared" si="4"/>
        <v>0</v>
      </c>
      <c r="G61" s="635">
        <f t="shared" si="5"/>
        <v>0</v>
      </c>
      <c r="H61" s="649">
        <v>0</v>
      </c>
      <c r="I61" s="649">
        <v>0</v>
      </c>
      <c r="J61" s="649">
        <v>0</v>
      </c>
      <c r="K61" s="649">
        <v>0</v>
      </c>
      <c r="L61" s="649">
        <v>0</v>
      </c>
      <c r="M61" s="649">
        <v>0</v>
      </c>
      <c r="N61" s="649">
        <v>0</v>
      </c>
      <c r="O61" s="649">
        <v>0</v>
      </c>
      <c r="P61" s="649">
        <v>0</v>
      </c>
      <c r="Q61" s="649">
        <v>0</v>
      </c>
      <c r="R61" s="649">
        <v>0</v>
      </c>
      <c r="S61" s="649">
        <v>0</v>
      </c>
      <c r="T61" s="649">
        <v>0</v>
      </c>
      <c r="U61" s="649">
        <v>0</v>
      </c>
      <c r="V61" s="649">
        <v>0</v>
      </c>
      <c r="W61" s="649">
        <v>0</v>
      </c>
      <c r="X61" s="649">
        <v>0</v>
      </c>
      <c r="Y61" s="649">
        <v>0</v>
      </c>
      <c r="Z61" s="649">
        <v>0</v>
      </c>
      <c r="AA61" s="641">
        <v>0</v>
      </c>
      <c r="AB61" s="649">
        <v>0</v>
      </c>
      <c r="AC61" s="672">
        <v>0</v>
      </c>
      <c r="AD61" s="672">
        <v>0</v>
      </c>
      <c r="AE61" s="672">
        <v>0</v>
      </c>
      <c r="AF61" s="618">
        <f t="shared" si="0"/>
        <v>0</v>
      </c>
    </row>
    <row r="62" spans="1:32" hidden="1" x14ac:dyDescent="0.25">
      <c r="A62" s="683" t="s">
        <v>524</v>
      </c>
      <c r="B62" s="654" t="s">
        <v>529</v>
      </c>
      <c r="C62" s="635">
        <f t="shared" si="1"/>
        <v>0</v>
      </c>
      <c r="D62" s="635">
        <f t="shared" si="2"/>
        <v>0</v>
      </c>
      <c r="E62" s="635">
        <f t="shared" si="3"/>
        <v>0</v>
      </c>
      <c r="F62" s="635">
        <f t="shared" si="4"/>
        <v>0</v>
      </c>
      <c r="G62" s="635">
        <f t="shared" si="5"/>
        <v>0</v>
      </c>
      <c r="H62" s="649">
        <v>0</v>
      </c>
      <c r="I62" s="649">
        <v>0</v>
      </c>
      <c r="J62" s="649">
        <v>0</v>
      </c>
      <c r="K62" s="649">
        <v>0</v>
      </c>
      <c r="L62" s="649">
        <v>0</v>
      </c>
      <c r="M62" s="649">
        <v>0</v>
      </c>
      <c r="N62" s="649">
        <v>0</v>
      </c>
      <c r="O62" s="649">
        <v>0</v>
      </c>
      <c r="P62" s="649">
        <v>0</v>
      </c>
      <c r="Q62" s="649">
        <v>0</v>
      </c>
      <c r="R62" s="649">
        <v>0</v>
      </c>
      <c r="S62" s="649">
        <v>0</v>
      </c>
      <c r="T62" s="649">
        <v>0</v>
      </c>
      <c r="U62" s="649">
        <v>0</v>
      </c>
      <c r="V62" s="649">
        <v>0</v>
      </c>
      <c r="W62" s="649">
        <v>0</v>
      </c>
      <c r="X62" s="649">
        <v>0</v>
      </c>
      <c r="Y62" s="649">
        <v>0</v>
      </c>
      <c r="Z62" s="649">
        <v>0</v>
      </c>
      <c r="AA62" s="641">
        <v>0</v>
      </c>
      <c r="AB62" s="649">
        <v>0</v>
      </c>
      <c r="AC62" s="672">
        <v>0</v>
      </c>
      <c r="AD62" s="672">
        <v>0</v>
      </c>
      <c r="AE62" s="672">
        <v>0</v>
      </c>
      <c r="AF62" s="618">
        <f t="shared" si="0"/>
        <v>0</v>
      </c>
    </row>
    <row r="63" spans="1:32" ht="25.5" hidden="1" x14ac:dyDescent="0.25">
      <c r="A63" s="682" t="s">
        <v>530</v>
      </c>
      <c r="B63" s="656" t="s">
        <v>523</v>
      </c>
      <c r="C63" s="635">
        <f t="shared" si="1"/>
        <v>0</v>
      </c>
      <c r="D63" s="635">
        <f t="shared" si="2"/>
        <v>0</v>
      </c>
      <c r="E63" s="635">
        <f t="shared" si="3"/>
        <v>164381.78000000003</v>
      </c>
      <c r="F63" s="635">
        <f t="shared" si="4"/>
        <v>273933.67000000004</v>
      </c>
      <c r="G63" s="635">
        <f t="shared" si="5"/>
        <v>229284.83000000002</v>
      </c>
      <c r="H63" s="645">
        <v>0</v>
      </c>
      <c r="I63" s="645">
        <v>0</v>
      </c>
      <c r="J63" s="645">
        <v>0</v>
      </c>
      <c r="K63" s="645">
        <v>0</v>
      </c>
      <c r="L63" s="645">
        <v>0</v>
      </c>
      <c r="M63" s="645">
        <v>0</v>
      </c>
      <c r="N63" s="645">
        <v>0</v>
      </c>
      <c r="O63" s="645">
        <v>0</v>
      </c>
      <c r="P63" s="645">
        <v>42269.8</v>
      </c>
      <c r="Q63" s="677">
        <v>0</v>
      </c>
      <c r="R63" s="645">
        <v>98628.91</v>
      </c>
      <c r="S63" s="645">
        <v>23483.07</v>
      </c>
      <c r="T63" s="645">
        <v>87090.31</v>
      </c>
      <c r="U63" s="645">
        <v>49739.47</v>
      </c>
      <c r="V63" s="645">
        <v>55791.07</v>
      </c>
      <c r="W63" s="645">
        <v>81312.820000000007</v>
      </c>
      <c r="X63" s="645">
        <v>39282.910000000003</v>
      </c>
      <c r="Y63" s="645">
        <v>56765.73</v>
      </c>
      <c r="Z63" s="645">
        <v>62991.429999999993</v>
      </c>
      <c r="AA63" s="641">
        <v>70244.760000000009</v>
      </c>
      <c r="AB63" s="645">
        <v>-0.61999999993713573</v>
      </c>
      <c r="AC63" s="647">
        <v>667600.28</v>
      </c>
      <c r="AD63" s="647">
        <v>667599.66</v>
      </c>
      <c r="AE63" s="647">
        <v>-0.62</v>
      </c>
      <c r="AF63" s="618">
        <f t="shared" si="0"/>
        <v>1.15063008783697E-3</v>
      </c>
    </row>
    <row r="64" spans="1:32" hidden="1" x14ac:dyDescent="0.25">
      <c r="A64" s="683" t="s">
        <v>524</v>
      </c>
      <c r="B64" s="654" t="s">
        <v>469</v>
      </c>
      <c r="C64" s="635">
        <f t="shared" si="1"/>
        <v>0</v>
      </c>
      <c r="D64" s="635">
        <f t="shared" si="2"/>
        <v>0</v>
      </c>
      <c r="E64" s="635">
        <f t="shared" si="3"/>
        <v>164381.78000000003</v>
      </c>
      <c r="F64" s="635">
        <f t="shared" si="4"/>
        <v>273933.67000000004</v>
      </c>
      <c r="G64" s="635">
        <f t="shared" si="5"/>
        <v>229284.83000000002</v>
      </c>
      <c r="H64" s="649">
        <v>0</v>
      </c>
      <c r="I64" s="649">
        <v>0</v>
      </c>
      <c r="J64" s="649">
        <v>0</v>
      </c>
      <c r="K64" s="649">
        <v>0</v>
      </c>
      <c r="L64" s="649">
        <v>0</v>
      </c>
      <c r="M64" s="649">
        <v>0</v>
      </c>
      <c r="N64" s="649">
        <v>0</v>
      </c>
      <c r="O64" s="649">
        <v>0</v>
      </c>
      <c r="P64" s="649">
        <v>42269.8</v>
      </c>
      <c r="Q64" s="649">
        <v>0</v>
      </c>
      <c r="R64" s="649">
        <v>98628.91</v>
      </c>
      <c r="S64" s="649">
        <v>23483.07</v>
      </c>
      <c r="T64" s="649">
        <v>87090.31</v>
      </c>
      <c r="U64" s="649">
        <v>49739.47</v>
      </c>
      <c r="V64" s="649">
        <v>55791.07</v>
      </c>
      <c r="W64" s="649">
        <v>81312.820000000007</v>
      </c>
      <c r="X64" s="649">
        <v>39282.910000000003</v>
      </c>
      <c r="Y64" s="649">
        <v>56765.73</v>
      </c>
      <c r="Z64" s="649">
        <v>62991.429999999993</v>
      </c>
      <c r="AA64" s="641">
        <v>70244.760000000009</v>
      </c>
      <c r="AB64" s="649">
        <v>-0.61999999993713573</v>
      </c>
      <c r="AC64" s="672">
        <v>667600.28</v>
      </c>
      <c r="AD64" s="672">
        <v>667599.66</v>
      </c>
      <c r="AE64" s="672">
        <v>-0.62</v>
      </c>
      <c r="AF64" s="618">
        <f t="shared" si="0"/>
        <v>1.15063008783697E-3</v>
      </c>
    </row>
    <row r="65" spans="1:32" hidden="1" x14ac:dyDescent="0.25">
      <c r="A65" s="683" t="s">
        <v>525</v>
      </c>
      <c r="B65" s="651" t="s">
        <v>519</v>
      </c>
      <c r="C65" s="635">
        <f t="shared" si="1"/>
        <v>0</v>
      </c>
      <c r="D65" s="635">
        <f t="shared" si="2"/>
        <v>0</v>
      </c>
      <c r="E65" s="635">
        <f t="shared" si="3"/>
        <v>0</v>
      </c>
      <c r="F65" s="635">
        <f t="shared" si="4"/>
        <v>0</v>
      </c>
      <c r="G65" s="635">
        <f t="shared" si="5"/>
        <v>0</v>
      </c>
      <c r="H65" s="649">
        <v>0</v>
      </c>
      <c r="I65" s="649">
        <v>0</v>
      </c>
      <c r="J65" s="649">
        <v>0</v>
      </c>
      <c r="K65" s="649">
        <v>0</v>
      </c>
      <c r="L65" s="649">
        <v>0</v>
      </c>
      <c r="M65" s="649">
        <v>0</v>
      </c>
      <c r="N65" s="649">
        <v>0</v>
      </c>
      <c r="O65" s="649">
        <v>0</v>
      </c>
      <c r="P65" s="649">
        <v>0</v>
      </c>
      <c r="Q65" s="649">
        <v>0</v>
      </c>
      <c r="R65" s="649">
        <v>0</v>
      </c>
      <c r="S65" s="649">
        <v>0</v>
      </c>
      <c r="T65" s="649">
        <v>0</v>
      </c>
      <c r="U65" s="649">
        <v>0</v>
      </c>
      <c r="V65" s="649">
        <v>0</v>
      </c>
      <c r="W65" s="649">
        <v>0</v>
      </c>
      <c r="X65" s="649">
        <v>0</v>
      </c>
      <c r="Y65" s="649">
        <v>0</v>
      </c>
      <c r="Z65" s="649">
        <v>0</v>
      </c>
      <c r="AA65" s="641">
        <v>0</v>
      </c>
      <c r="AB65" s="649">
        <v>0</v>
      </c>
      <c r="AC65" s="672">
        <v>0</v>
      </c>
      <c r="AD65" s="672">
        <v>0</v>
      </c>
      <c r="AE65" s="672">
        <v>0</v>
      </c>
      <c r="AF65" s="618">
        <f t="shared" si="0"/>
        <v>0</v>
      </c>
    </row>
    <row r="66" spans="1:32" ht="25.5" hidden="1" x14ac:dyDescent="0.25">
      <c r="A66" s="682" t="s">
        <v>531</v>
      </c>
      <c r="B66" s="656" t="s">
        <v>532</v>
      </c>
      <c r="C66" s="635">
        <f t="shared" si="1"/>
        <v>0</v>
      </c>
      <c r="D66" s="635">
        <f t="shared" si="2"/>
        <v>0</v>
      </c>
      <c r="E66" s="635">
        <f t="shared" si="3"/>
        <v>0</v>
      </c>
      <c r="F66" s="635">
        <f t="shared" si="4"/>
        <v>185365.99</v>
      </c>
      <c r="G66" s="635">
        <f t="shared" si="5"/>
        <v>4679222.08</v>
      </c>
      <c r="H66" s="645">
        <v>0</v>
      </c>
      <c r="I66" s="645">
        <v>0</v>
      </c>
      <c r="J66" s="645">
        <v>0</v>
      </c>
      <c r="K66" s="645">
        <v>0</v>
      </c>
      <c r="L66" s="645">
        <v>0</v>
      </c>
      <c r="M66" s="645">
        <v>0</v>
      </c>
      <c r="N66" s="645">
        <v>0</v>
      </c>
      <c r="O66" s="645">
        <v>0</v>
      </c>
      <c r="P66" s="645">
        <v>0</v>
      </c>
      <c r="Q66" s="677">
        <v>0</v>
      </c>
      <c r="R66" s="645">
        <v>0</v>
      </c>
      <c r="S66" s="645">
        <v>0</v>
      </c>
      <c r="T66" s="645">
        <v>0</v>
      </c>
      <c r="U66" s="645">
        <v>0</v>
      </c>
      <c r="V66" s="645">
        <v>185365.99</v>
      </c>
      <c r="W66" s="645">
        <v>0</v>
      </c>
      <c r="X66" s="645">
        <v>145716.51</v>
      </c>
      <c r="Y66" s="645">
        <v>0</v>
      </c>
      <c r="Z66" s="645">
        <v>0</v>
      </c>
      <c r="AA66" s="641">
        <v>4533505.57</v>
      </c>
      <c r="AB66" s="645">
        <v>18371.929999999953</v>
      </c>
      <c r="AC66" s="647">
        <v>4864588.07</v>
      </c>
      <c r="AD66" s="647">
        <v>4802229.71</v>
      </c>
      <c r="AE66" s="647">
        <v>-62358.36</v>
      </c>
      <c r="AF66" s="618">
        <f t="shared" si="0"/>
        <v>8.384270597182459E-3</v>
      </c>
    </row>
    <row r="67" spans="1:32" hidden="1" x14ac:dyDescent="0.25">
      <c r="A67" s="683" t="s">
        <v>525</v>
      </c>
      <c r="B67" s="654" t="s">
        <v>533</v>
      </c>
      <c r="C67" s="635">
        <f t="shared" si="1"/>
        <v>0</v>
      </c>
      <c r="D67" s="635">
        <f t="shared" si="2"/>
        <v>0</v>
      </c>
      <c r="E67" s="635">
        <f t="shared" si="3"/>
        <v>0</v>
      </c>
      <c r="F67" s="635">
        <f t="shared" si="4"/>
        <v>185365.99</v>
      </c>
      <c r="G67" s="635">
        <f t="shared" si="5"/>
        <v>142544.79</v>
      </c>
      <c r="H67" s="649">
        <v>0</v>
      </c>
      <c r="I67" s="649">
        <v>0</v>
      </c>
      <c r="J67" s="649">
        <v>0</v>
      </c>
      <c r="K67" s="649">
        <v>0</v>
      </c>
      <c r="L67" s="649">
        <v>0</v>
      </c>
      <c r="M67" s="649">
        <v>0</v>
      </c>
      <c r="N67" s="649">
        <v>0</v>
      </c>
      <c r="O67" s="649">
        <v>0</v>
      </c>
      <c r="P67" s="649">
        <v>0</v>
      </c>
      <c r="Q67" s="649">
        <v>0</v>
      </c>
      <c r="R67" s="649">
        <v>0</v>
      </c>
      <c r="S67" s="649">
        <v>0</v>
      </c>
      <c r="T67" s="649">
        <v>0</v>
      </c>
      <c r="U67" s="649">
        <v>0</v>
      </c>
      <c r="V67" s="649">
        <v>185365.99</v>
      </c>
      <c r="W67" s="649">
        <v>0</v>
      </c>
      <c r="X67" s="649">
        <v>0</v>
      </c>
      <c r="Y67" s="649">
        <v>0</v>
      </c>
      <c r="Z67" s="649">
        <v>0</v>
      </c>
      <c r="AA67" s="641">
        <v>142544.79</v>
      </c>
      <c r="AB67" s="649">
        <v>2384.9700000000012</v>
      </c>
      <c r="AC67" s="672">
        <v>327910.78000000003</v>
      </c>
      <c r="AD67" s="672">
        <v>330295.75</v>
      </c>
      <c r="AE67" s="672">
        <v>2384.9699999999998</v>
      </c>
      <c r="AF67" s="618">
        <f t="shared" si="0"/>
        <v>5.6516454665670509E-4</v>
      </c>
    </row>
    <row r="68" spans="1:32" hidden="1" x14ac:dyDescent="0.25">
      <c r="A68" s="683" t="s">
        <v>525</v>
      </c>
      <c r="B68" s="654" t="s">
        <v>534</v>
      </c>
      <c r="C68" s="635">
        <f t="shared" si="1"/>
        <v>0</v>
      </c>
      <c r="D68" s="635">
        <f t="shared" si="2"/>
        <v>0</v>
      </c>
      <c r="E68" s="635">
        <f t="shared" si="3"/>
        <v>0</v>
      </c>
      <c r="F68" s="635">
        <f t="shared" si="4"/>
        <v>0</v>
      </c>
      <c r="G68" s="635">
        <f t="shared" si="5"/>
        <v>0</v>
      </c>
      <c r="H68" s="649"/>
      <c r="I68" s="649"/>
      <c r="J68" s="649"/>
      <c r="K68" s="649"/>
      <c r="L68" s="649"/>
      <c r="M68" s="649"/>
      <c r="N68" s="649"/>
      <c r="O68" s="649"/>
      <c r="P68" s="649"/>
      <c r="Q68" s="649">
        <v>0</v>
      </c>
      <c r="R68" s="649">
        <v>0</v>
      </c>
      <c r="S68" s="649">
        <v>0</v>
      </c>
      <c r="T68" s="649">
        <v>0</v>
      </c>
      <c r="U68" s="649">
        <v>0</v>
      </c>
      <c r="V68" s="649">
        <v>0</v>
      </c>
      <c r="W68" s="649">
        <v>0</v>
      </c>
      <c r="X68" s="649">
        <v>0</v>
      </c>
      <c r="Y68" s="649">
        <v>0</v>
      </c>
      <c r="Z68" s="677">
        <v>0</v>
      </c>
      <c r="AA68" s="641">
        <v>0</v>
      </c>
      <c r="AB68" s="649">
        <v>15985.7</v>
      </c>
      <c r="AC68" s="672">
        <v>0</v>
      </c>
      <c r="AD68" s="672">
        <v>15985.7</v>
      </c>
      <c r="AE68" s="672">
        <v>15985.7</v>
      </c>
      <c r="AF68" s="618">
        <f t="shared" si="0"/>
        <v>0</v>
      </c>
    </row>
    <row r="69" spans="1:32" hidden="1" x14ac:dyDescent="0.25">
      <c r="A69" s="683" t="s">
        <v>525</v>
      </c>
      <c r="B69" s="654" t="s">
        <v>535</v>
      </c>
      <c r="C69" s="635">
        <f t="shared" si="1"/>
        <v>0</v>
      </c>
      <c r="D69" s="635">
        <f t="shared" si="2"/>
        <v>0</v>
      </c>
      <c r="E69" s="635">
        <f t="shared" si="3"/>
        <v>0</v>
      </c>
      <c r="F69" s="635">
        <f t="shared" si="4"/>
        <v>0</v>
      </c>
      <c r="G69" s="635">
        <f t="shared" si="5"/>
        <v>1485504.5599999998</v>
      </c>
      <c r="H69" s="649"/>
      <c r="I69" s="649"/>
      <c r="J69" s="649"/>
      <c r="K69" s="649"/>
      <c r="L69" s="649"/>
      <c r="M69" s="649"/>
      <c r="N69" s="649"/>
      <c r="O69" s="649"/>
      <c r="P69" s="649"/>
      <c r="Q69" s="649">
        <v>0</v>
      </c>
      <c r="R69" s="649">
        <v>0</v>
      </c>
      <c r="S69" s="649">
        <v>0</v>
      </c>
      <c r="T69" s="649">
        <v>0</v>
      </c>
      <c r="U69" s="649">
        <v>0</v>
      </c>
      <c r="V69" s="649">
        <v>0</v>
      </c>
      <c r="W69" s="649">
        <v>0</v>
      </c>
      <c r="X69" s="649">
        <v>145716.51</v>
      </c>
      <c r="Y69" s="649">
        <v>0</v>
      </c>
      <c r="Z69" s="677">
        <v>0</v>
      </c>
      <c r="AA69" s="641">
        <v>1339788.0499999998</v>
      </c>
      <c r="AB69" s="649">
        <v>1.75</v>
      </c>
      <c r="AC69" s="672">
        <v>1485504.5599999998</v>
      </c>
      <c r="AD69" s="672">
        <v>1512529.5999999999</v>
      </c>
      <c r="AE69" s="672">
        <v>27025.040000000001</v>
      </c>
      <c r="AF69" s="618">
        <f t="shared" ref="AF69:AF132" si="6">AC69/$AC$556</f>
        <v>2.5603138488123752E-3</v>
      </c>
    </row>
    <row r="70" spans="1:32" hidden="1" x14ac:dyDescent="0.25">
      <c r="A70" s="683" t="s">
        <v>525</v>
      </c>
      <c r="B70" s="654" t="s">
        <v>536</v>
      </c>
      <c r="C70" s="635">
        <f t="shared" ref="C70:C133" si="7">SUM(H70:K70)</f>
        <v>0</v>
      </c>
      <c r="D70" s="635">
        <f t="shared" ref="D70:D133" si="8">SUM(L70:O70)</f>
        <v>0</v>
      </c>
      <c r="E70" s="635">
        <f t="shared" ref="E70:E133" si="9">SUM(P70:S70)</f>
        <v>0</v>
      </c>
      <c r="F70" s="635">
        <f t="shared" ref="F70:F133" si="10">SUM(T70:W70)</f>
        <v>0</v>
      </c>
      <c r="G70" s="635">
        <f t="shared" ref="G70:G133" si="11">SUM(X70:AA70)</f>
        <v>370988.42000000004</v>
      </c>
      <c r="H70" s="649"/>
      <c r="I70" s="649"/>
      <c r="J70" s="649"/>
      <c r="K70" s="649"/>
      <c r="L70" s="649"/>
      <c r="M70" s="649"/>
      <c r="N70" s="649"/>
      <c r="O70" s="649"/>
      <c r="P70" s="649"/>
      <c r="Q70" s="649">
        <v>0</v>
      </c>
      <c r="R70" s="649">
        <v>0</v>
      </c>
      <c r="S70" s="649">
        <v>0</v>
      </c>
      <c r="T70" s="649">
        <v>0</v>
      </c>
      <c r="U70" s="649">
        <v>0</v>
      </c>
      <c r="V70" s="649">
        <v>0</v>
      </c>
      <c r="W70" s="649">
        <v>0</v>
      </c>
      <c r="X70" s="649">
        <v>0</v>
      </c>
      <c r="Y70" s="649">
        <v>0</v>
      </c>
      <c r="Z70" s="677">
        <v>0</v>
      </c>
      <c r="AA70" s="641">
        <v>370988.42000000004</v>
      </c>
      <c r="AB70" s="649">
        <v>-0.49000000004889444</v>
      </c>
      <c r="AC70" s="672">
        <v>370988.42000000004</v>
      </c>
      <c r="AD70" s="672">
        <v>350000</v>
      </c>
      <c r="AE70" s="672">
        <v>-20988.42</v>
      </c>
      <c r="AF70" s="618">
        <f t="shared" si="6"/>
        <v>6.3941021458394055E-4</v>
      </c>
    </row>
    <row r="71" spans="1:32" hidden="1" x14ac:dyDescent="0.25">
      <c r="A71" s="683" t="s">
        <v>525</v>
      </c>
      <c r="B71" s="654" t="s">
        <v>537</v>
      </c>
      <c r="C71" s="635">
        <f t="shared" si="7"/>
        <v>0</v>
      </c>
      <c r="D71" s="635">
        <f t="shared" si="8"/>
        <v>0</v>
      </c>
      <c r="E71" s="635">
        <f t="shared" si="9"/>
        <v>0</v>
      </c>
      <c r="F71" s="635">
        <f t="shared" si="10"/>
        <v>0</v>
      </c>
      <c r="G71" s="635">
        <f t="shared" si="11"/>
        <v>2353671.38</v>
      </c>
      <c r="H71" s="649"/>
      <c r="I71" s="649"/>
      <c r="J71" s="649"/>
      <c r="K71" s="649"/>
      <c r="L71" s="649"/>
      <c r="M71" s="649"/>
      <c r="N71" s="649"/>
      <c r="O71" s="649"/>
      <c r="P71" s="649"/>
      <c r="Q71" s="649">
        <v>0</v>
      </c>
      <c r="R71" s="649">
        <v>0</v>
      </c>
      <c r="S71" s="649">
        <v>0</v>
      </c>
      <c r="T71" s="649">
        <v>0</v>
      </c>
      <c r="U71" s="649">
        <v>0</v>
      </c>
      <c r="V71" s="649">
        <v>0</v>
      </c>
      <c r="W71" s="649">
        <v>0</v>
      </c>
      <c r="X71" s="649">
        <v>0</v>
      </c>
      <c r="Y71" s="649">
        <v>0</v>
      </c>
      <c r="Z71" s="677">
        <v>0</v>
      </c>
      <c r="AA71" s="641">
        <v>2353671.38</v>
      </c>
      <c r="AB71" s="649">
        <v>0</v>
      </c>
      <c r="AC71" s="672">
        <v>2353671.38</v>
      </c>
      <c r="AD71" s="672">
        <v>1669360.71</v>
      </c>
      <c r="AE71" s="672">
        <v>-684310.67</v>
      </c>
      <c r="AF71" s="618">
        <f t="shared" si="6"/>
        <v>4.0566266789294377E-3</v>
      </c>
    </row>
    <row r="72" spans="1:32" hidden="1" x14ac:dyDescent="0.25">
      <c r="A72" s="683" t="s">
        <v>525</v>
      </c>
      <c r="B72" s="654" t="s">
        <v>538</v>
      </c>
      <c r="C72" s="635">
        <f t="shared" si="7"/>
        <v>0</v>
      </c>
      <c r="D72" s="635">
        <f t="shared" si="8"/>
        <v>0</v>
      </c>
      <c r="E72" s="635">
        <f t="shared" si="9"/>
        <v>0</v>
      </c>
      <c r="F72" s="635">
        <f t="shared" si="10"/>
        <v>0</v>
      </c>
      <c r="G72" s="635">
        <f t="shared" si="11"/>
        <v>326512.93</v>
      </c>
      <c r="H72" s="649"/>
      <c r="I72" s="649"/>
      <c r="J72" s="649"/>
      <c r="K72" s="649"/>
      <c r="L72" s="649"/>
      <c r="M72" s="649"/>
      <c r="N72" s="649"/>
      <c r="O72" s="649"/>
      <c r="P72" s="649"/>
      <c r="Q72" s="649">
        <v>0</v>
      </c>
      <c r="R72" s="649">
        <v>0</v>
      </c>
      <c r="S72" s="649">
        <v>0</v>
      </c>
      <c r="T72" s="649">
        <v>0</v>
      </c>
      <c r="U72" s="649">
        <v>0</v>
      </c>
      <c r="V72" s="649">
        <v>0</v>
      </c>
      <c r="W72" s="649">
        <v>0</v>
      </c>
      <c r="X72" s="649">
        <v>0</v>
      </c>
      <c r="Y72" s="649">
        <v>0</v>
      </c>
      <c r="Z72" s="684">
        <v>0</v>
      </c>
      <c r="AA72" s="641">
        <v>326512.93</v>
      </c>
      <c r="AB72" s="649">
        <v>0</v>
      </c>
      <c r="AC72" s="672">
        <v>326512.93</v>
      </c>
      <c r="AD72" s="672">
        <v>324057.95</v>
      </c>
      <c r="AE72" s="672">
        <v>-2454.98</v>
      </c>
      <c r="AF72" s="618">
        <f t="shared" si="6"/>
        <v>5.627553082000002E-4</v>
      </c>
    </row>
    <row r="73" spans="1:32" hidden="1" x14ac:dyDescent="0.25">
      <c r="A73" s="683" t="s">
        <v>525</v>
      </c>
      <c r="B73" s="654" t="s">
        <v>539</v>
      </c>
      <c r="C73" s="635">
        <f t="shared" si="7"/>
        <v>0</v>
      </c>
      <c r="D73" s="635">
        <f t="shared" si="8"/>
        <v>0</v>
      </c>
      <c r="E73" s="635">
        <f t="shared" si="9"/>
        <v>0</v>
      </c>
      <c r="F73" s="635">
        <f t="shared" si="10"/>
        <v>0</v>
      </c>
      <c r="G73" s="635">
        <f t="shared" si="11"/>
        <v>0</v>
      </c>
      <c r="H73" s="649"/>
      <c r="I73" s="649"/>
      <c r="J73" s="649"/>
      <c r="K73" s="649"/>
      <c r="L73" s="649"/>
      <c r="M73" s="649"/>
      <c r="N73" s="649"/>
      <c r="O73" s="649"/>
      <c r="P73" s="649"/>
      <c r="Q73" s="649">
        <v>0</v>
      </c>
      <c r="R73" s="649">
        <v>0</v>
      </c>
      <c r="S73" s="649">
        <v>0</v>
      </c>
      <c r="T73" s="649">
        <v>0</v>
      </c>
      <c r="U73" s="649">
        <v>0</v>
      </c>
      <c r="V73" s="649">
        <v>0</v>
      </c>
      <c r="W73" s="649">
        <v>0</v>
      </c>
      <c r="X73" s="649">
        <v>0</v>
      </c>
      <c r="Y73" s="649">
        <v>0</v>
      </c>
      <c r="Z73" s="677">
        <v>0</v>
      </c>
      <c r="AA73" s="641">
        <v>0</v>
      </c>
      <c r="AB73" s="649">
        <v>0</v>
      </c>
      <c r="AC73" s="672">
        <v>0</v>
      </c>
      <c r="AD73" s="672">
        <v>600000</v>
      </c>
      <c r="AE73" s="672">
        <v>600000</v>
      </c>
      <c r="AF73" s="618">
        <f t="shared" si="6"/>
        <v>0</v>
      </c>
    </row>
    <row r="74" spans="1:32" hidden="1" x14ac:dyDescent="0.25">
      <c r="A74" s="682" t="s">
        <v>540</v>
      </c>
      <c r="B74" s="656" t="s">
        <v>541</v>
      </c>
      <c r="C74" s="635">
        <f t="shared" si="7"/>
        <v>0</v>
      </c>
      <c r="D74" s="635">
        <f t="shared" si="8"/>
        <v>0</v>
      </c>
      <c r="E74" s="635">
        <f t="shared" si="9"/>
        <v>41967.17</v>
      </c>
      <c r="F74" s="635">
        <f t="shared" si="10"/>
        <v>94658.41</v>
      </c>
      <c r="G74" s="635">
        <f t="shared" si="11"/>
        <v>263539.99</v>
      </c>
      <c r="H74" s="645">
        <v>0</v>
      </c>
      <c r="I74" s="645">
        <v>0</v>
      </c>
      <c r="J74" s="645">
        <v>0</v>
      </c>
      <c r="K74" s="645">
        <v>0</v>
      </c>
      <c r="L74" s="645">
        <v>0</v>
      </c>
      <c r="M74" s="645">
        <v>0</v>
      </c>
      <c r="N74" s="645">
        <v>0</v>
      </c>
      <c r="O74" s="645">
        <v>0</v>
      </c>
      <c r="P74" s="645">
        <v>0</v>
      </c>
      <c r="Q74" s="677">
        <v>0</v>
      </c>
      <c r="R74" s="645">
        <v>26170.11</v>
      </c>
      <c r="S74" s="645">
        <v>15797.06</v>
      </c>
      <c r="T74" s="645">
        <v>1855.66</v>
      </c>
      <c r="U74" s="645">
        <v>37986.47</v>
      </c>
      <c r="V74" s="645">
        <v>20333.25</v>
      </c>
      <c r="W74" s="645">
        <v>34483.030000000006</v>
      </c>
      <c r="X74" s="645">
        <v>21941.16</v>
      </c>
      <c r="Y74" s="645">
        <v>13627.77</v>
      </c>
      <c r="Z74" s="645">
        <v>56208.87999999999</v>
      </c>
      <c r="AA74" s="641">
        <v>171762.18</v>
      </c>
      <c r="AB74" s="645">
        <v>2.6044943979286472E-11</v>
      </c>
      <c r="AC74" s="647">
        <v>400165.57</v>
      </c>
      <c r="AD74" s="647">
        <v>1171930.9000000001</v>
      </c>
      <c r="AE74" s="647">
        <v>771765.33</v>
      </c>
      <c r="AF74" s="618">
        <f t="shared" si="6"/>
        <v>6.8969795063362051E-4</v>
      </c>
    </row>
    <row r="75" spans="1:32" hidden="1" x14ac:dyDescent="0.25">
      <c r="A75" s="683" t="s">
        <v>524</v>
      </c>
      <c r="B75" s="654" t="s">
        <v>542</v>
      </c>
      <c r="C75" s="635">
        <f t="shared" si="7"/>
        <v>0</v>
      </c>
      <c r="D75" s="635">
        <f t="shared" si="8"/>
        <v>0</v>
      </c>
      <c r="E75" s="635">
        <f t="shared" si="9"/>
        <v>41967.17</v>
      </c>
      <c r="F75" s="635">
        <f t="shared" si="10"/>
        <v>25521.13</v>
      </c>
      <c r="G75" s="635">
        <f t="shared" si="11"/>
        <v>181035.27</v>
      </c>
      <c r="H75" s="649">
        <v>0</v>
      </c>
      <c r="I75" s="649">
        <v>0</v>
      </c>
      <c r="J75" s="649">
        <v>0</v>
      </c>
      <c r="K75" s="649">
        <v>0</v>
      </c>
      <c r="L75" s="649">
        <v>0</v>
      </c>
      <c r="M75" s="649">
        <v>0</v>
      </c>
      <c r="N75" s="649">
        <v>0</v>
      </c>
      <c r="O75" s="649">
        <v>0</v>
      </c>
      <c r="P75" s="649">
        <v>0</v>
      </c>
      <c r="Q75" s="649">
        <v>0</v>
      </c>
      <c r="R75" s="649">
        <v>26170.11</v>
      </c>
      <c r="S75" s="649">
        <v>15797.06</v>
      </c>
      <c r="T75" s="649">
        <v>927.83</v>
      </c>
      <c r="U75" s="649">
        <v>0</v>
      </c>
      <c r="V75" s="649">
        <v>2115.85</v>
      </c>
      <c r="W75" s="649">
        <v>22477.45</v>
      </c>
      <c r="X75" s="649">
        <v>0</v>
      </c>
      <c r="Y75" s="649">
        <v>13627.77</v>
      </c>
      <c r="Z75" s="649">
        <v>4294.97</v>
      </c>
      <c r="AA75" s="641">
        <v>163112.53</v>
      </c>
      <c r="AB75" s="649">
        <v>3.2596148002994596E-11</v>
      </c>
      <c r="AC75" s="672">
        <v>248508.73</v>
      </c>
      <c r="AD75" s="672">
        <v>1016101.23</v>
      </c>
      <c r="AE75" s="672">
        <v>767592.5</v>
      </c>
      <c r="AF75" s="618">
        <f t="shared" si="6"/>
        <v>4.2831261518966692E-4</v>
      </c>
    </row>
    <row r="76" spans="1:32" hidden="1" x14ac:dyDescent="0.25">
      <c r="A76" s="683" t="s">
        <v>525</v>
      </c>
      <c r="B76" s="654" t="s">
        <v>543</v>
      </c>
      <c r="C76" s="635">
        <f t="shared" si="7"/>
        <v>0</v>
      </c>
      <c r="D76" s="635">
        <f t="shared" si="8"/>
        <v>0</v>
      </c>
      <c r="E76" s="635">
        <f t="shared" si="9"/>
        <v>0</v>
      </c>
      <c r="F76" s="635">
        <f t="shared" si="10"/>
        <v>23280.910000000003</v>
      </c>
      <c r="G76" s="635">
        <f t="shared" si="11"/>
        <v>20503.269999999997</v>
      </c>
      <c r="H76" s="649">
        <v>0</v>
      </c>
      <c r="I76" s="649">
        <v>0</v>
      </c>
      <c r="J76" s="649">
        <v>0</v>
      </c>
      <c r="K76" s="649">
        <v>0</v>
      </c>
      <c r="L76" s="649">
        <v>0</v>
      </c>
      <c r="M76" s="649">
        <v>0</v>
      </c>
      <c r="N76" s="649">
        <v>0</v>
      </c>
      <c r="O76" s="649">
        <v>0</v>
      </c>
      <c r="P76" s="649">
        <v>0</v>
      </c>
      <c r="Q76" s="649">
        <v>0</v>
      </c>
      <c r="R76" s="649">
        <v>0</v>
      </c>
      <c r="S76" s="649">
        <v>0</v>
      </c>
      <c r="T76" s="649">
        <v>927.83</v>
      </c>
      <c r="U76" s="649">
        <v>22353.08</v>
      </c>
      <c r="V76" s="649">
        <v>0</v>
      </c>
      <c r="W76" s="649">
        <v>0</v>
      </c>
      <c r="X76" s="649">
        <v>0</v>
      </c>
      <c r="Y76" s="649">
        <v>0</v>
      </c>
      <c r="Z76" s="649">
        <v>20503.269999999997</v>
      </c>
      <c r="AA76" s="641">
        <v>0</v>
      </c>
      <c r="AB76" s="649">
        <v>7.2475359047530219E-13</v>
      </c>
      <c r="AC76" s="672">
        <v>43747.88</v>
      </c>
      <c r="AD76" s="672">
        <v>43357.61</v>
      </c>
      <c r="AE76" s="672">
        <v>-390.27</v>
      </c>
      <c r="AF76" s="618">
        <f t="shared" si="6"/>
        <v>7.5400847655548051E-5</v>
      </c>
    </row>
    <row r="77" spans="1:32" hidden="1" x14ac:dyDescent="0.25">
      <c r="A77" s="683" t="s">
        <v>544</v>
      </c>
      <c r="B77" s="654" t="s">
        <v>545</v>
      </c>
      <c r="C77" s="635">
        <f t="shared" si="7"/>
        <v>0</v>
      </c>
      <c r="D77" s="635">
        <f t="shared" si="8"/>
        <v>0</v>
      </c>
      <c r="E77" s="635">
        <f t="shared" si="9"/>
        <v>0</v>
      </c>
      <c r="F77" s="635">
        <f t="shared" si="10"/>
        <v>45856.369999999995</v>
      </c>
      <c r="G77" s="635">
        <f t="shared" si="11"/>
        <v>62001.450000000004</v>
      </c>
      <c r="H77" s="649"/>
      <c r="I77" s="649"/>
      <c r="J77" s="649"/>
      <c r="K77" s="649"/>
      <c r="L77" s="649"/>
      <c r="M77" s="649"/>
      <c r="N77" s="649"/>
      <c r="O77" s="649"/>
      <c r="P77" s="649"/>
      <c r="Q77" s="649">
        <v>0</v>
      </c>
      <c r="R77" s="649">
        <v>0</v>
      </c>
      <c r="S77" s="649">
        <v>0</v>
      </c>
      <c r="T77" s="649">
        <v>0</v>
      </c>
      <c r="U77" s="649">
        <v>15633.39</v>
      </c>
      <c r="V77" s="649">
        <v>18217.400000000001</v>
      </c>
      <c r="W77" s="649">
        <v>12005.579999999998</v>
      </c>
      <c r="X77" s="649">
        <v>21941.16</v>
      </c>
      <c r="Y77" s="649">
        <v>0</v>
      </c>
      <c r="Z77" s="649">
        <v>31410.639999999999</v>
      </c>
      <c r="AA77" s="641">
        <v>8649.65</v>
      </c>
      <c r="AB77" s="649">
        <v>-7.2759576141834259E-12</v>
      </c>
      <c r="AC77" s="672">
        <v>107857.81999999999</v>
      </c>
      <c r="AD77" s="672">
        <v>112472.06</v>
      </c>
      <c r="AE77" s="672">
        <v>4614.24</v>
      </c>
      <c r="AF77" s="618">
        <f t="shared" si="6"/>
        <v>1.8589634638934558E-4</v>
      </c>
    </row>
    <row r="78" spans="1:32" ht="25.5" hidden="1" x14ac:dyDescent="0.25">
      <c r="A78" s="664" t="s">
        <v>546</v>
      </c>
      <c r="B78" s="665" t="s">
        <v>547</v>
      </c>
      <c r="C78" s="635">
        <f t="shared" si="7"/>
        <v>0</v>
      </c>
      <c r="D78" s="635">
        <f t="shared" si="8"/>
        <v>143687.44</v>
      </c>
      <c r="E78" s="635">
        <f t="shared" si="9"/>
        <v>0</v>
      </c>
      <c r="F78" s="635">
        <f t="shared" si="10"/>
        <v>0</v>
      </c>
      <c r="G78" s="635">
        <f t="shared" si="11"/>
        <v>0</v>
      </c>
      <c r="H78" s="668">
        <v>0</v>
      </c>
      <c r="I78" s="668">
        <v>0</v>
      </c>
      <c r="J78" s="668">
        <v>0</v>
      </c>
      <c r="K78" s="668">
        <v>0</v>
      </c>
      <c r="L78" s="668">
        <v>0</v>
      </c>
      <c r="M78" s="668">
        <v>143687.44</v>
      </c>
      <c r="N78" s="668">
        <v>0</v>
      </c>
      <c r="O78" s="668">
        <v>0</v>
      </c>
      <c r="P78" s="668">
        <v>0</v>
      </c>
      <c r="Q78" s="668">
        <v>0</v>
      </c>
      <c r="R78" s="668">
        <v>0</v>
      </c>
      <c r="S78" s="668">
        <v>0</v>
      </c>
      <c r="T78" s="668">
        <v>0</v>
      </c>
      <c r="U78" s="668">
        <v>0</v>
      </c>
      <c r="V78" s="668">
        <v>0</v>
      </c>
      <c r="W78" s="668">
        <v>0</v>
      </c>
      <c r="X78" s="668">
        <v>0</v>
      </c>
      <c r="Y78" s="668">
        <v>0</v>
      </c>
      <c r="Z78" s="668">
        <v>0</v>
      </c>
      <c r="AA78" s="666">
        <v>0</v>
      </c>
      <c r="AB78" s="668">
        <v>-0.36000000001513399</v>
      </c>
      <c r="AC78" s="647">
        <v>143687.44</v>
      </c>
      <c r="AD78" s="647">
        <v>143687.07999999999</v>
      </c>
      <c r="AE78" s="647">
        <v>-0.36</v>
      </c>
      <c r="AF78" s="618">
        <f t="shared" si="6"/>
        <v>2.4764982379616346E-4</v>
      </c>
    </row>
    <row r="79" spans="1:32" ht="25.5" hidden="1" x14ac:dyDescent="0.25">
      <c r="A79" s="664" t="s">
        <v>548</v>
      </c>
      <c r="B79" s="665" t="s">
        <v>549</v>
      </c>
      <c r="C79" s="635">
        <f t="shared" si="7"/>
        <v>0</v>
      </c>
      <c r="D79" s="635">
        <f t="shared" si="8"/>
        <v>0</v>
      </c>
      <c r="E79" s="635">
        <f t="shared" si="9"/>
        <v>663336.64</v>
      </c>
      <c r="F79" s="635">
        <f t="shared" si="10"/>
        <v>1599137.44</v>
      </c>
      <c r="G79" s="635">
        <f t="shared" si="11"/>
        <v>0</v>
      </c>
      <c r="H79" s="668">
        <v>0</v>
      </c>
      <c r="I79" s="668">
        <v>0</v>
      </c>
      <c r="J79" s="668">
        <v>0</v>
      </c>
      <c r="K79" s="668">
        <v>0</v>
      </c>
      <c r="L79" s="668">
        <v>0</v>
      </c>
      <c r="M79" s="668">
        <v>0</v>
      </c>
      <c r="N79" s="668">
        <v>0</v>
      </c>
      <c r="O79" s="668">
        <v>0</v>
      </c>
      <c r="P79" s="668">
        <v>0</v>
      </c>
      <c r="Q79" s="668">
        <v>300400.42000000004</v>
      </c>
      <c r="R79" s="668">
        <v>287895.13</v>
      </c>
      <c r="S79" s="668">
        <v>75041.090000000011</v>
      </c>
      <c r="T79" s="668">
        <v>349914.16000000003</v>
      </c>
      <c r="U79" s="668">
        <v>412592.63000000006</v>
      </c>
      <c r="V79" s="668">
        <v>836630.64999999991</v>
      </c>
      <c r="W79" s="668">
        <v>0</v>
      </c>
      <c r="X79" s="668">
        <v>0</v>
      </c>
      <c r="Y79" s="668">
        <v>0</v>
      </c>
      <c r="Z79" s="668">
        <v>0</v>
      </c>
      <c r="AA79" s="666">
        <v>0</v>
      </c>
      <c r="AB79" s="668">
        <v>0</v>
      </c>
      <c r="AC79" s="647">
        <v>2262474.08</v>
      </c>
      <c r="AD79" s="647">
        <v>2262474.08</v>
      </c>
      <c r="AE79" s="647">
        <v>0</v>
      </c>
      <c r="AF79" s="618">
        <f t="shared" si="6"/>
        <v>3.8994452629637424E-3</v>
      </c>
    </row>
    <row r="80" spans="1:32" hidden="1" x14ac:dyDescent="0.25">
      <c r="A80" s="667" t="s">
        <v>550</v>
      </c>
      <c r="B80" s="665" t="s">
        <v>551</v>
      </c>
      <c r="C80" s="635">
        <f t="shared" si="7"/>
        <v>0</v>
      </c>
      <c r="D80" s="635">
        <f t="shared" si="8"/>
        <v>2684234.36</v>
      </c>
      <c r="E80" s="635">
        <f t="shared" si="9"/>
        <v>430297.98000000004</v>
      </c>
      <c r="F80" s="635">
        <f t="shared" si="10"/>
        <v>2470633.0900000003</v>
      </c>
      <c r="G80" s="635">
        <f t="shared" si="11"/>
        <v>1572561.9000000001</v>
      </c>
      <c r="H80" s="668">
        <v>0</v>
      </c>
      <c r="I80" s="668">
        <v>0</v>
      </c>
      <c r="J80" s="668">
        <v>0</v>
      </c>
      <c r="K80" s="668">
        <v>0</v>
      </c>
      <c r="L80" s="668">
        <v>14758.880000000001</v>
      </c>
      <c r="M80" s="668">
        <v>0</v>
      </c>
      <c r="N80" s="668">
        <v>3993.43</v>
      </c>
      <c r="O80" s="668">
        <v>2665482.0499999998</v>
      </c>
      <c r="P80" s="668">
        <v>0</v>
      </c>
      <c r="Q80" s="669">
        <v>0</v>
      </c>
      <c r="R80" s="668">
        <v>324844.15000000002</v>
      </c>
      <c r="S80" s="668">
        <v>105453.83</v>
      </c>
      <c r="T80" s="668">
        <v>3736.43</v>
      </c>
      <c r="U80" s="668">
        <v>17000</v>
      </c>
      <c r="V80" s="668">
        <v>2449896.66</v>
      </c>
      <c r="W80" s="668">
        <v>0</v>
      </c>
      <c r="X80" s="668">
        <v>0</v>
      </c>
      <c r="Y80" s="668">
        <v>0</v>
      </c>
      <c r="Z80" s="668">
        <v>1464032.57</v>
      </c>
      <c r="AA80" s="666">
        <v>108529.33</v>
      </c>
      <c r="AB80" s="668">
        <v>-6.9849193096160889E-10</v>
      </c>
      <c r="AC80" s="647">
        <v>7157727.3300000001</v>
      </c>
      <c r="AD80" s="647">
        <v>7244593.0300000003</v>
      </c>
      <c r="AE80" s="647">
        <v>86865.7</v>
      </c>
      <c r="AF80" s="618">
        <f t="shared" si="6"/>
        <v>1.2336568262719994E-2</v>
      </c>
    </row>
    <row r="81" spans="1:32" hidden="1" x14ac:dyDescent="0.25">
      <c r="A81" s="685" t="s">
        <v>552</v>
      </c>
      <c r="B81" s="686" t="s">
        <v>553</v>
      </c>
      <c r="C81" s="635">
        <f t="shared" si="7"/>
        <v>0</v>
      </c>
      <c r="D81" s="635">
        <f t="shared" si="8"/>
        <v>2684234.36</v>
      </c>
      <c r="E81" s="635">
        <f t="shared" si="9"/>
        <v>430297.98000000004</v>
      </c>
      <c r="F81" s="635">
        <f t="shared" si="10"/>
        <v>2470633.0900000003</v>
      </c>
      <c r="G81" s="635">
        <f t="shared" si="11"/>
        <v>1464032.57</v>
      </c>
      <c r="H81" s="645">
        <v>0</v>
      </c>
      <c r="I81" s="645">
        <v>0</v>
      </c>
      <c r="J81" s="645">
        <v>0</v>
      </c>
      <c r="K81" s="645">
        <v>0</v>
      </c>
      <c r="L81" s="645">
        <v>14758.880000000001</v>
      </c>
      <c r="M81" s="645">
        <v>0</v>
      </c>
      <c r="N81" s="645">
        <v>3993.43</v>
      </c>
      <c r="O81" s="645">
        <v>2665482.0499999998</v>
      </c>
      <c r="P81" s="645">
        <v>0</v>
      </c>
      <c r="Q81" s="677">
        <v>0</v>
      </c>
      <c r="R81" s="645">
        <v>324844.15000000002</v>
      </c>
      <c r="S81" s="645">
        <v>105453.83</v>
      </c>
      <c r="T81" s="645">
        <v>3736.43</v>
      </c>
      <c r="U81" s="645">
        <v>17000</v>
      </c>
      <c r="V81" s="645">
        <v>2449896.66</v>
      </c>
      <c r="W81" s="645">
        <v>0</v>
      </c>
      <c r="X81" s="645">
        <v>0</v>
      </c>
      <c r="Y81" s="645">
        <v>0</v>
      </c>
      <c r="Z81" s="645">
        <v>1464032.57</v>
      </c>
      <c r="AA81" s="641">
        <v>0</v>
      </c>
      <c r="AB81" s="645">
        <v>-6.9849193096160889E-10</v>
      </c>
      <c r="AC81" s="647">
        <v>7049198</v>
      </c>
      <c r="AD81" s="647">
        <v>7136063.7000000002</v>
      </c>
      <c r="AE81" s="647">
        <v>86865.7</v>
      </c>
      <c r="AF81" s="618">
        <f t="shared" si="6"/>
        <v>1.2149514547717377E-2</v>
      </c>
    </row>
    <row r="82" spans="1:32" hidden="1" x14ac:dyDescent="0.25">
      <c r="A82" s="687" t="s">
        <v>552</v>
      </c>
      <c r="B82" s="654" t="s">
        <v>554</v>
      </c>
      <c r="C82" s="635">
        <f t="shared" si="7"/>
        <v>0</v>
      </c>
      <c r="D82" s="635">
        <f t="shared" si="8"/>
        <v>2665482.0499999998</v>
      </c>
      <c r="E82" s="635">
        <f t="shared" si="9"/>
        <v>430297.98000000004</v>
      </c>
      <c r="F82" s="635">
        <f t="shared" si="10"/>
        <v>2448816.66</v>
      </c>
      <c r="G82" s="635">
        <f t="shared" si="11"/>
        <v>1464032.57</v>
      </c>
      <c r="H82" s="677">
        <v>0</v>
      </c>
      <c r="I82" s="677">
        <v>0</v>
      </c>
      <c r="J82" s="677">
        <v>0</v>
      </c>
      <c r="K82" s="677">
        <v>0</v>
      </c>
      <c r="L82" s="677">
        <v>0</v>
      </c>
      <c r="M82" s="677">
        <v>0</v>
      </c>
      <c r="N82" s="677">
        <v>0</v>
      </c>
      <c r="O82" s="677">
        <v>2665482.0499999998</v>
      </c>
      <c r="P82" s="677">
        <v>0</v>
      </c>
      <c r="Q82" s="677">
        <v>0</v>
      </c>
      <c r="R82" s="677">
        <v>324844.15000000002</v>
      </c>
      <c r="S82" s="677">
        <v>105453.83</v>
      </c>
      <c r="T82" s="677">
        <v>0</v>
      </c>
      <c r="U82" s="677">
        <v>0</v>
      </c>
      <c r="V82" s="677">
        <v>2448816.66</v>
      </c>
      <c r="W82" s="677">
        <v>0</v>
      </c>
      <c r="X82" s="677">
        <v>0</v>
      </c>
      <c r="Y82" s="677">
        <v>0</v>
      </c>
      <c r="Z82" s="684">
        <v>1464032.57</v>
      </c>
      <c r="AA82" s="641">
        <v>0</v>
      </c>
      <c r="AB82" s="677">
        <v>-6.9849193096160889E-10</v>
      </c>
      <c r="AC82" s="672">
        <v>7008629.2600000007</v>
      </c>
      <c r="AD82" s="672">
        <v>6998483</v>
      </c>
      <c r="AE82" s="672">
        <v>-10146.26</v>
      </c>
      <c r="AF82" s="618">
        <f t="shared" si="6"/>
        <v>1.2079593047879728E-2</v>
      </c>
    </row>
    <row r="83" spans="1:32" hidden="1" x14ac:dyDescent="0.25">
      <c r="A83" s="687" t="s">
        <v>555</v>
      </c>
      <c r="B83" s="654" t="s">
        <v>556</v>
      </c>
      <c r="C83" s="635">
        <f t="shared" si="7"/>
        <v>0</v>
      </c>
      <c r="D83" s="635">
        <f t="shared" si="8"/>
        <v>0</v>
      </c>
      <c r="E83" s="635">
        <f t="shared" si="9"/>
        <v>0</v>
      </c>
      <c r="F83" s="635">
        <f t="shared" si="10"/>
        <v>0</v>
      </c>
      <c r="G83" s="635">
        <f t="shared" si="11"/>
        <v>0</v>
      </c>
      <c r="H83" s="677">
        <v>0</v>
      </c>
      <c r="I83" s="677">
        <v>0</v>
      </c>
      <c r="J83" s="677">
        <v>0</v>
      </c>
      <c r="K83" s="677">
        <v>0</v>
      </c>
      <c r="L83" s="677">
        <v>0</v>
      </c>
      <c r="M83" s="677">
        <v>0</v>
      </c>
      <c r="N83" s="677">
        <v>0</v>
      </c>
      <c r="O83" s="677">
        <v>0</v>
      </c>
      <c r="P83" s="677">
        <v>0</v>
      </c>
      <c r="Q83" s="677">
        <v>0</v>
      </c>
      <c r="R83" s="677">
        <v>0</v>
      </c>
      <c r="S83" s="677">
        <v>0</v>
      </c>
      <c r="T83" s="677">
        <v>0</v>
      </c>
      <c r="U83" s="677">
        <v>0</v>
      </c>
      <c r="V83" s="677">
        <v>0</v>
      </c>
      <c r="W83" s="677">
        <v>0</v>
      </c>
      <c r="X83" s="677">
        <v>0</v>
      </c>
      <c r="Y83" s="677">
        <v>0</v>
      </c>
      <c r="Z83" s="677">
        <v>0</v>
      </c>
      <c r="AA83" s="641">
        <v>0</v>
      </c>
      <c r="AB83" s="677">
        <v>0</v>
      </c>
      <c r="AC83" s="672">
        <v>0</v>
      </c>
      <c r="AD83" s="672">
        <v>0</v>
      </c>
      <c r="AE83" s="672">
        <v>0</v>
      </c>
      <c r="AF83" s="618">
        <f t="shared" si="6"/>
        <v>0</v>
      </c>
    </row>
    <row r="84" spans="1:32" ht="25.5" hidden="1" x14ac:dyDescent="0.25">
      <c r="A84" s="687" t="s">
        <v>557</v>
      </c>
      <c r="B84" s="654" t="s">
        <v>558</v>
      </c>
      <c r="C84" s="635">
        <f t="shared" si="7"/>
        <v>0</v>
      </c>
      <c r="D84" s="635">
        <f t="shared" si="8"/>
        <v>18752.310000000001</v>
      </c>
      <c r="E84" s="635">
        <f t="shared" si="9"/>
        <v>0</v>
      </c>
      <c r="F84" s="635">
        <f t="shared" si="10"/>
        <v>21816.43</v>
      </c>
      <c r="G84" s="635">
        <f t="shared" si="11"/>
        <v>0</v>
      </c>
      <c r="H84" s="677">
        <v>0</v>
      </c>
      <c r="I84" s="677">
        <v>0</v>
      </c>
      <c r="J84" s="677">
        <v>0</v>
      </c>
      <c r="K84" s="677">
        <v>0</v>
      </c>
      <c r="L84" s="677">
        <v>14758.880000000001</v>
      </c>
      <c r="M84" s="677">
        <v>0</v>
      </c>
      <c r="N84" s="677">
        <v>3993.43</v>
      </c>
      <c r="O84" s="677">
        <v>0</v>
      </c>
      <c r="P84" s="677">
        <v>0</v>
      </c>
      <c r="Q84" s="677">
        <v>0</v>
      </c>
      <c r="R84" s="677">
        <v>0</v>
      </c>
      <c r="S84" s="677">
        <v>0</v>
      </c>
      <c r="T84" s="677">
        <v>3736.43</v>
      </c>
      <c r="U84" s="677">
        <v>17000</v>
      </c>
      <c r="V84" s="677">
        <v>1080</v>
      </c>
      <c r="W84" s="677">
        <v>0</v>
      </c>
      <c r="X84" s="677">
        <v>0</v>
      </c>
      <c r="Y84" s="677">
        <v>0</v>
      </c>
      <c r="Z84" s="677">
        <v>0</v>
      </c>
      <c r="AA84" s="641">
        <v>0</v>
      </c>
      <c r="AB84" s="677">
        <v>0</v>
      </c>
      <c r="AC84" s="672">
        <v>40568.74</v>
      </c>
      <c r="AD84" s="672">
        <v>137580.69999999998</v>
      </c>
      <c r="AE84" s="672">
        <v>97011.96</v>
      </c>
      <c r="AF84" s="618">
        <f t="shared" si="6"/>
        <v>6.9921499837650162E-5</v>
      </c>
    </row>
    <row r="85" spans="1:32" hidden="1" x14ac:dyDescent="0.25">
      <c r="A85" s="685" t="s">
        <v>559</v>
      </c>
      <c r="B85" s="688" t="s">
        <v>560</v>
      </c>
      <c r="C85" s="635">
        <f t="shared" si="7"/>
        <v>0</v>
      </c>
      <c r="D85" s="635">
        <f t="shared" si="8"/>
        <v>0</v>
      </c>
      <c r="E85" s="635">
        <f t="shared" si="9"/>
        <v>0</v>
      </c>
      <c r="F85" s="635">
        <f t="shared" si="10"/>
        <v>0</v>
      </c>
      <c r="G85" s="635">
        <f t="shared" si="11"/>
        <v>108529.33</v>
      </c>
      <c r="H85" s="645">
        <v>0</v>
      </c>
      <c r="I85" s="645">
        <v>0</v>
      </c>
      <c r="J85" s="645">
        <v>0</v>
      </c>
      <c r="K85" s="645">
        <v>0</v>
      </c>
      <c r="L85" s="645">
        <v>0</v>
      </c>
      <c r="M85" s="645">
        <v>0</v>
      </c>
      <c r="N85" s="645">
        <v>0</v>
      </c>
      <c r="O85" s="645">
        <v>0</v>
      </c>
      <c r="P85" s="645">
        <v>0</v>
      </c>
      <c r="Q85" s="645">
        <v>0</v>
      </c>
      <c r="R85" s="645">
        <v>0</v>
      </c>
      <c r="S85" s="645">
        <v>0</v>
      </c>
      <c r="T85" s="645">
        <v>0</v>
      </c>
      <c r="U85" s="645">
        <v>0</v>
      </c>
      <c r="V85" s="645">
        <v>0</v>
      </c>
      <c r="W85" s="645">
        <v>0</v>
      </c>
      <c r="X85" s="645">
        <v>0</v>
      </c>
      <c r="Y85" s="645">
        <v>0</v>
      </c>
      <c r="Z85" s="646">
        <v>0</v>
      </c>
      <c r="AA85" s="641">
        <v>108529.33</v>
      </c>
      <c r="AB85" s="645">
        <v>0</v>
      </c>
      <c r="AC85" s="647">
        <v>108529.33</v>
      </c>
      <c r="AD85" s="647">
        <v>108529.33</v>
      </c>
      <c r="AE85" s="647">
        <v>0</v>
      </c>
      <c r="AF85" s="618">
        <f t="shared" si="6"/>
        <v>1.8705371500261732E-4</v>
      </c>
    </row>
    <row r="86" spans="1:32" ht="25.5" hidden="1" x14ac:dyDescent="0.25">
      <c r="A86" s="664" t="s">
        <v>561</v>
      </c>
      <c r="B86" s="665" t="s">
        <v>562</v>
      </c>
      <c r="C86" s="635">
        <f t="shared" si="7"/>
        <v>0</v>
      </c>
      <c r="D86" s="635">
        <f t="shared" si="8"/>
        <v>0</v>
      </c>
      <c r="E86" s="635">
        <f t="shared" si="9"/>
        <v>0</v>
      </c>
      <c r="F86" s="635">
        <f t="shared" si="10"/>
        <v>0</v>
      </c>
      <c r="G86" s="635">
        <f t="shared" si="11"/>
        <v>2876292.82</v>
      </c>
      <c r="H86" s="668">
        <v>0</v>
      </c>
      <c r="I86" s="668">
        <v>0</v>
      </c>
      <c r="J86" s="668">
        <v>0</v>
      </c>
      <c r="K86" s="668">
        <v>0</v>
      </c>
      <c r="L86" s="668">
        <v>0</v>
      </c>
      <c r="M86" s="668">
        <v>0</v>
      </c>
      <c r="N86" s="668">
        <v>0</v>
      </c>
      <c r="O86" s="668">
        <v>0</v>
      </c>
      <c r="P86" s="668">
        <v>0</v>
      </c>
      <c r="Q86" s="669">
        <v>0</v>
      </c>
      <c r="R86" s="668">
        <v>0</v>
      </c>
      <c r="S86" s="668">
        <v>0</v>
      </c>
      <c r="T86" s="668">
        <v>0</v>
      </c>
      <c r="U86" s="668">
        <v>0</v>
      </c>
      <c r="V86" s="668">
        <v>0</v>
      </c>
      <c r="W86" s="668">
        <v>0</v>
      </c>
      <c r="X86" s="668">
        <v>0</v>
      </c>
      <c r="Y86" s="668">
        <v>0</v>
      </c>
      <c r="Z86" s="668">
        <v>3909.4500000000003</v>
      </c>
      <c r="AA86" s="666">
        <v>2872383.3699999996</v>
      </c>
      <c r="AB86" s="668">
        <v>849126.47</v>
      </c>
      <c r="AC86" s="647">
        <v>2876292.82</v>
      </c>
      <c r="AD86" s="647">
        <v>2979184</v>
      </c>
      <c r="AE86" s="647">
        <v>102891.18</v>
      </c>
      <c r="AF86" s="618">
        <f t="shared" si="6"/>
        <v>4.9573811744378629E-3</v>
      </c>
    </row>
    <row r="87" spans="1:32" ht="25.5" hidden="1" x14ac:dyDescent="0.25">
      <c r="A87" s="644" t="s">
        <v>563</v>
      </c>
      <c r="B87" s="686" t="s">
        <v>564</v>
      </c>
      <c r="C87" s="635">
        <f t="shared" si="7"/>
        <v>0</v>
      </c>
      <c r="D87" s="635">
        <f t="shared" si="8"/>
        <v>0</v>
      </c>
      <c r="E87" s="635">
        <f t="shared" si="9"/>
        <v>0</v>
      </c>
      <c r="F87" s="635">
        <f t="shared" si="10"/>
        <v>0</v>
      </c>
      <c r="G87" s="635">
        <f t="shared" si="11"/>
        <v>1637727.155151515</v>
      </c>
      <c r="H87" s="645">
        <v>0</v>
      </c>
      <c r="I87" s="645">
        <v>0</v>
      </c>
      <c r="J87" s="645">
        <v>0</v>
      </c>
      <c r="K87" s="645">
        <v>0</v>
      </c>
      <c r="L87" s="645">
        <v>0</v>
      </c>
      <c r="M87" s="645">
        <v>0</v>
      </c>
      <c r="N87" s="645">
        <v>0</v>
      </c>
      <c r="O87" s="645">
        <v>0</v>
      </c>
      <c r="P87" s="645">
        <v>0</v>
      </c>
      <c r="Q87" s="645">
        <v>0</v>
      </c>
      <c r="R87" s="645">
        <v>0</v>
      </c>
      <c r="S87" s="645">
        <v>0</v>
      </c>
      <c r="T87" s="645">
        <v>0</v>
      </c>
      <c r="U87" s="645">
        <v>0</v>
      </c>
      <c r="V87" s="645">
        <v>0</v>
      </c>
      <c r="W87" s="645">
        <v>0</v>
      </c>
      <c r="X87" s="645">
        <v>0</v>
      </c>
      <c r="Y87" s="645">
        <v>0</v>
      </c>
      <c r="Z87" s="646">
        <v>2137.8000000000002</v>
      </c>
      <c r="AA87" s="641">
        <v>1635589.355151515</v>
      </c>
      <c r="AB87" s="645">
        <v>665359.64484848478</v>
      </c>
      <c r="AC87" s="647">
        <v>1637727.155151515</v>
      </c>
      <c r="AD87" s="647">
        <v>2022515</v>
      </c>
      <c r="AE87" s="647">
        <v>384787.84</v>
      </c>
      <c r="AF87" s="618">
        <f t="shared" si="6"/>
        <v>2.8226742810607852E-3</v>
      </c>
    </row>
    <row r="88" spans="1:32" ht="25.5" hidden="1" x14ac:dyDescent="0.25">
      <c r="A88" s="644" t="s">
        <v>565</v>
      </c>
      <c r="B88" s="686" t="s">
        <v>566</v>
      </c>
      <c r="C88" s="635">
        <f t="shared" si="7"/>
        <v>0</v>
      </c>
      <c r="D88" s="635">
        <f t="shared" si="8"/>
        <v>0</v>
      </c>
      <c r="E88" s="635">
        <f t="shared" si="9"/>
        <v>0</v>
      </c>
      <c r="F88" s="635">
        <f t="shared" si="10"/>
        <v>0</v>
      </c>
      <c r="G88" s="635">
        <f t="shared" si="11"/>
        <v>1238565.6648484846</v>
      </c>
      <c r="H88" s="645">
        <v>0</v>
      </c>
      <c r="I88" s="645">
        <v>0</v>
      </c>
      <c r="J88" s="645">
        <v>0</v>
      </c>
      <c r="K88" s="645">
        <v>0</v>
      </c>
      <c r="L88" s="645">
        <v>0</v>
      </c>
      <c r="M88" s="645">
        <v>0</v>
      </c>
      <c r="N88" s="645">
        <v>0</v>
      </c>
      <c r="O88" s="645">
        <v>0</v>
      </c>
      <c r="P88" s="645">
        <v>0</v>
      </c>
      <c r="Q88" s="645">
        <v>0</v>
      </c>
      <c r="R88" s="645">
        <v>0</v>
      </c>
      <c r="S88" s="645">
        <v>0</v>
      </c>
      <c r="T88" s="645">
        <v>0</v>
      </c>
      <c r="U88" s="645">
        <v>0</v>
      </c>
      <c r="V88" s="645">
        <v>0</v>
      </c>
      <c r="W88" s="645">
        <v>0</v>
      </c>
      <c r="X88" s="645">
        <v>0</v>
      </c>
      <c r="Y88" s="645">
        <v>0</v>
      </c>
      <c r="Z88" s="646">
        <v>1771.65</v>
      </c>
      <c r="AA88" s="641">
        <v>1236794.0148484847</v>
      </c>
      <c r="AB88" s="645">
        <v>183766.82515151519</v>
      </c>
      <c r="AC88" s="647">
        <v>1238565.6648484846</v>
      </c>
      <c r="AD88" s="647">
        <v>956669</v>
      </c>
      <c r="AE88" s="647">
        <v>-281896.65999999997</v>
      </c>
      <c r="AF88" s="618">
        <f t="shared" si="6"/>
        <v>2.1347068933770773E-3</v>
      </c>
    </row>
    <row r="89" spans="1:32" hidden="1" x14ac:dyDescent="0.25">
      <c r="A89" s="658" t="s">
        <v>481</v>
      </c>
      <c r="B89" s="659">
        <v>0</v>
      </c>
      <c r="C89" s="635">
        <f t="shared" si="7"/>
        <v>0</v>
      </c>
      <c r="D89" s="635">
        <f t="shared" si="8"/>
        <v>0</v>
      </c>
      <c r="E89" s="635">
        <f t="shared" si="9"/>
        <v>0</v>
      </c>
      <c r="F89" s="635">
        <f t="shared" si="10"/>
        <v>0</v>
      </c>
      <c r="G89" s="635">
        <f t="shared" si="11"/>
        <v>0</v>
      </c>
      <c r="H89" s="660">
        <v>0</v>
      </c>
      <c r="I89" s="660">
        <v>0</v>
      </c>
      <c r="J89" s="660">
        <v>0</v>
      </c>
      <c r="K89" s="660">
        <v>0</v>
      </c>
      <c r="L89" s="660">
        <v>0</v>
      </c>
      <c r="M89" s="660">
        <v>0</v>
      </c>
      <c r="N89" s="660">
        <v>0</v>
      </c>
      <c r="O89" s="660">
        <v>0</v>
      </c>
      <c r="P89" s="660">
        <v>0</v>
      </c>
      <c r="Q89" s="660">
        <v>0</v>
      </c>
      <c r="R89" s="660">
        <v>0</v>
      </c>
      <c r="S89" s="660">
        <v>0</v>
      </c>
      <c r="T89" s="660">
        <v>0</v>
      </c>
      <c r="U89" s="660">
        <v>0</v>
      </c>
      <c r="V89" s="660">
        <v>0</v>
      </c>
      <c r="W89" s="660">
        <v>0</v>
      </c>
      <c r="X89" s="660">
        <v>0</v>
      </c>
      <c r="Y89" s="660">
        <v>0</v>
      </c>
      <c r="Z89" s="660">
        <v>0</v>
      </c>
      <c r="AA89" s="661">
        <v>0</v>
      </c>
      <c r="AB89" s="660"/>
      <c r="AC89" s="647">
        <v>0</v>
      </c>
      <c r="AD89" s="647">
        <v>0</v>
      </c>
      <c r="AE89" s="643">
        <v>0</v>
      </c>
      <c r="AF89" s="618">
        <f t="shared" si="6"/>
        <v>0</v>
      </c>
    </row>
    <row r="90" spans="1:32" ht="25.5" hidden="1" x14ac:dyDescent="0.25">
      <c r="A90" s="658" t="s">
        <v>482</v>
      </c>
      <c r="B90" s="659">
        <v>0</v>
      </c>
      <c r="C90" s="635">
        <f t="shared" si="7"/>
        <v>0</v>
      </c>
      <c r="D90" s="635">
        <f t="shared" si="8"/>
        <v>0</v>
      </c>
      <c r="E90" s="635">
        <f t="shared" si="9"/>
        <v>0</v>
      </c>
      <c r="F90" s="635">
        <f t="shared" si="10"/>
        <v>0</v>
      </c>
      <c r="G90" s="635">
        <f t="shared" si="11"/>
        <v>0</v>
      </c>
      <c r="H90" s="660">
        <v>0</v>
      </c>
      <c r="I90" s="660">
        <v>0</v>
      </c>
      <c r="J90" s="660">
        <v>0</v>
      </c>
      <c r="K90" s="660">
        <v>0</v>
      </c>
      <c r="L90" s="660">
        <v>0</v>
      </c>
      <c r="M90" s="660">
        <v>0</v>
      </c>
      <c r="N90" s="660">
        <v>0</v>
      </c>
      <c r="O90" s="660">
        <v>0</v>
      </c>
      <c r="P90" s="660">
        <v>0</v>
      </c>
      <c r="Q90" s="660">
        <v>0</v>
      </c>
      <c r="R90" s="660">
        <v>0</v>
      </c>
      <c r="S90" s="660">
        <v>0</v>
      </c>
      <c r="T90" s="660">
        <v>0</v>
      </c>
      <c r="U90" s="660">
        <v>0</v>
      </c>
      <c r="V90" s="660">
        <v>0</v>
      </c>
      <c r="W90" s="660">
        <v>0</v>
      </c>
      <c r="X90" s="660">
        <v>0</v>
      </c>
      <c r="Y90" s="660">
        <v>0</v>
      </c>
      <c r="Z90" s="660">
        <v>0</v>
      </c>
      <c r="AA90" s="661">
        <v>0</v>
      </c>
      <c r="AB90" s="660">
        <v>66362.329060931719</v>
      </c>
      <c r="AC90" s="647">
        <v>0</v>
      </c>
      <c r="AD90" s="647">
        <v>0</v>
      </c>
      <c r="AE90" s="643">
        <v>0</v>
      </c>
      <c r="AF90" s="618">
        <f t="shared" si="6"/>
        <v>0</v>
      </c>
    </row>
    <row r="91" spans="1:32" hidden="1" x14ac:dyDescent="0.25">
      <c r="A91" s="658" t="s">
        <v>483</v>
      </c>
      <c r="B91" s="659"/>
      <c r="C91" s="635">
        <f t="shared" si="7"/>
        <v>0</v>
      </c>
      <c r="D91" s="635">
        <f t="shared" si="8"/>
        <v>0</v>
      </c>
      <c r="E91" s="635">
        <f t="shared" si="9"/>
        <v>0</v>
      </c>
      <c r="F91" s="635">
        <f t="shared" si="10"/>
        <v>0</v>
      </c>
      <c r="G91" s="635">
        <f t="shared" si="11"/>
        <v>264353.89</v>
      </c>
      <c r="H91" s="660">
        <v>0</v>
      </c>
      <c r="I91" s="660">
        <v>0</v>
      </c>
      <c r="J91" s="660">
        <v>0</v>
      </c>
      <c r="K91" s="660">
        <v>0</v>
      </c>
      <c r="L91" s="660">
        <v>0</v>
      </c>
      <c r="M91" s="660">
        <v>0</v>
      </c>
      <c r="N91" s="660">
        <v>0</v>
      </c>
      <c r="O91" s="660">
        <v>0</v>
      </c>
      <c r="P91" s="660">
        <v>0</v>
      </c>
      <c r="Q91" s="660">
        <v>0</v>
      </c>
      <c r="R91" s="660">
        <v>0</v>
      </c>
      <c r="S91" s="660">
        <v>0</v>
      </c>
      <c r="T91" s="660">
        <v>0</v>
      </c>
      <c r="U91" s="660">
        <v>0</v>
      </c>
      <c r="V91" s="660">
        <v>0</v>
      </c>
      <c r="W91" s="660">
        <v>0</v>
      </c>
      <c r="X91" s="660">
        <v>0</v>
      </c>
      <c r="Y91" s="660">
        <v>0</v>
      </c>
      <c r="Z91" s="660">
        <v>0</v>
      </c>
      <c r="AA91" s="661">
        <v>264353.89</v>
      </c>
      <c r="AB91" s="660"/>
      <c r="AC91" s="647">
        <v>264353.89</v>
      </c>
      <c r="AD91" s="647">
        <v>463361.4</v>
      </c>
      <c r="AE91" s="643">
        <v>199007.51</v>
      </c>
      <c r="AF91" s="618">
        <f t="shared" si="6"/>
        <v>4.556222469989748E-4</v>
      </c>
    </row>
    <row r="92" spans="1:32" hidden="1" x14ac:dyDescent="0.25">
      <c r="A92" s="676" t="s">
        <v>567</v>
      </c>
      <c r="B92" s="635" t="s">
        <v>568</v>
      </c>
      <c r="C92" s="635">
        <f t="shared" si="7"/>
        <v>0</v>
      </c>
      <c r="D92" s="635">
        <f t="shared" si="8"/>
        <v>0</v>
      </c>
      <c r="E92" s="635">
        <f t="shared" si="9"/>
        <v>57762.95</v>
      </c>
      <c r="F92" s="635">
        <f t="shared" si="10"/>
        <v>272552.61</v>
      </c>
      <c r="G92" s="635">
        <f t="shared" si="11"/>
        <v>20344296.289999999</v>
      </c>
      <c r="H92" s="662"/>
      <c r="I92" s="662"/>
      <c r="J92" s="662"/>
      <c r="K92" s="662"/>
      <c r="L92" s="662"/>
      <c r="M92" s="662"/>
      <c r="N92" s="662"/>
      <c r="O92" s="662"/>
      <c r="P92" s="662"/>
      <c r="Q92" s="662"/>
      <c r="R92" s="662"/>
      <c r="S92" s="662">
        <v>57762.95</v>
      </c>
      <c r="T92" s="662">
        <v>46536.18</v>
      </c>
      <c r="U92" s="662">
        <v>0</v>
      </c>
      <c r="V92" s="662">
        <v>2105.29</v>
      </c>
      <c r="W92" s="662">
        <v>223911.14</v>
      </c>
      <c r="X92" s="662">
        <v>318820.47999999998</v>
      </c>
      <c r="Y92" s="662">
        <v>18652401.369999997</v>
      </c>
      <c r="Z92" s="662">
        <v>40238.769999999997</v>
      </c>
      <c r="AA92" s="636">
        <v>1332835.67</v>
      </c>
      <c r="AB92" s="662">
        <v>90385.18</v>
      </c>
      <c r="AC92" s="638">
        <v>20674582.549999997</v>
      </c>
      <c r="AD92" s="662">
        <v>20743491.689999998</v>
      </c>
      <c r="AE92" s="638">
        <v>68909.14</v>
      </c>
      <c r="AF92" s="618">
        <f t="shared" si="6"/>
        <v>3.5633293526328637E-2</v>
      </c>
    </row>
    <row r="93" spans="1:32" hidden="1" x14ac:dyDescent="0.25">
      <c r="A93" s="689" t="s">
        <v>569</v>
      </c>
      <c r="B93" s="640" t="s">
        <v>570</v>
      </c>
      <c r="C93" s="635">
        <f t="shared" si="7"/>
        <v>0</v>
      </c>
      <c r="D93" s="635">
        <f t="shared" si="8"/>
        <v>0</v>
      </c>
      <c r="E93" s="635">
        <f t="shared" si="9"/>
        <v>0</v>
      </c>
      <c r="F93" s="635">
        <f t="shared" si="10"/>
        <v>0</v>
      </c>
      <c r="G93" s="635">
        <f t="shared" si="11"/>
        <v>18603262.52</v>
      </c>
      <c r="H93" s="641"/>
      <c r="I93" s="641"/>
      <c r="J93" s="641"/>
      <c r="K93" s="641"/>
      <c r="L93" s="641"/>
      <c r="M93" s="641"/>
      <c r="N93" s="641"/>
      <c r="O93" s="641"/>
      <c r="P93" s="641"/>
      <c r="Q93" s="641"/>
      <c r="R93" s="641"/>
      <c r="S93" s="641">
        <v>0</v>
      </c>
      <c r="T93" s="641">
        <v>0</v>
      </c>
      <c r="U93" s="641">
        <v>0</v>
      </c>
      <c r="V93" s="641">
        <v>0</v>
      </c>
      <c r="W93" s="641">
        <v>0</v>
      </c>
      <c r="X93" s="641">
        <v>0</v>
      </c>
      <c r="Y93" s="641">
        <v>18603262.52</v>
      </c>
      <c r="Z93" s="641">
        <v>0</v>
      </c>
      <c r="AA93" s="641">
        <v>0</v>
      </c>
      <c r="AB93" s="641">
        <v>0</v>
      </c>
      <c r="AC93" s="643">
        <v>18603262.52</v>
      </c>
      <c r="AD93" s="643">
        <v>18603262.52</v>
      </c>
      <c r="AE93" s="643">
        <v>0</v>
      </c>
      <c r="AF93" s="618">
        <f t="shared" si="6"/>
        <v>3.2063308282977071E-2</v>
      </c>
    </row>
    <row r="94" spans="1:32" hidden="1" x14ac:dyDescent="0.25">
      <c r="A94" s="689" t="s">
        <v>571</v>
      </c>
      <c r="B94" s="640" t="s">
        <v>572</v>
      </c>
      <c r="C94" s="635">
        <f t="shared" si="7"/>
        <v>0</v>
      </c>
      <c r="D94" s="635">
        <f t="shared" si="8"/>
        <v>0</v>
      </c>
      <c r="E94" s="635">
        <f t="shared" si="9"/>
        <v>57762.95</v>
      </c>
      <c r="F94" s="635">
        <f t="shared" si="10"/>
        <v>46536.18</v>
      </c>
      <c r="G94" s="635">
        <f t="shared" si="11"/>
        <v>117001.19</v>
      </c>
      <c r="H94" s="641"/>
      <c r="I94" s="641"/>
      <c r="J94" s="641"/>
      <c r="K94" s="641"/>
      <c r="L94" s="641"/>
      <c r="M94" s="641"/>
      <c r="N94" s="641"/>
      <c r="O94" s="641"/>
      <c r="P94" s="641"/>
      <c r="Q94" s="641">
        <v>0</v>
      </c>
      <c r="R94" s="641">
        <v>0</v>
      </c>
      <c r="S94" s="641">
        <v>57762.95</v>
      </c>
      <c r="T94" s="641">
        <v>46536.18</v>
      </c>
      <c r="U94" s="641">
        <v>0</v>
      </c>
      <c r="V94" s="641">
        <v>0</v>
      </c>
      <c r="W94" s="641">
        <v>0</v>
      </c>
      <c r="X94" s="641">
        <v>34516.11</v>
      </c>
      <c r="Y94" s="641">
        <v>36771.42</v>
      </c>
      <c r="Z94" s="641">
        <v>8217.81</v>
      </c>
      <c r="AA94" s="641">
        <v>37495.85</v>
      </c>
      <c r="AB94" s="641">
        <v>7.2759576141834259E-12</v>
      </c>
      <c r="AC94" s="643">
        <v>221300.32</v>
      </c>
      <c r="AD94" s="643">
        <v>277432.92000000004</v>
      </c>
      <c r="AE94" s="643">
        <v>56132.6</v>
      </c>
      <c r="AF94" s="618">
        <f t="shared" si="6"/>
        <v>3.8141806447407361E-4</v>
      </c>
    </row>
    <row r="95" spans="1:32" hidden="1" x14ac:dyDescent="0.25">
      <c r="A95" s="689" t="s">
        <v>573</v>
      </c>
      <c r="B95" s="640" t="s">
        <v>469</v>
      </c>
      <c r="C95" s="635">
        <f t="shared" si="7"/>
        <v>0</v>
      </c>
      <c r="D95" s="635">
        <f t="shared" si="8"/>
        <v>0</v>
      </c>
      <c r="E95" s="635">
        <f t="shared" si="9"/>
        <v>0</v>
      </c>
      <c r="F95" s="635">
        <f t="shared" si="10"/>
        <v>223911.14</v>
      </c>
      <c r="G95" s="635">
        <f t="shared" si="11"/>
        <v>1480436.7599999998</v>
      </c>
      <c r="H95" s="641"/>
      <c r="I95" s="641"/>
      <c r="J95" s="641"/>
      <c r="K95" s="641"/>
      <c r="L95" s="641"/>
      <c r="M95" s="641"/>
      <c r="N95" s="641"/>
      <c r="O95" s="641"/>
      <c r="P95" s="641"/>
      <c r="Q95" s="641">
        <v>0</v>
      </c>
      <c r="R95" s="641">
        <v>0</v>
      </c>
      <c r="S95" s="641">
        <v>0</v>
      </c>
      <c r="T95" s="641">
        <v>0</v>
      </c>
      <c r="U95" s="641">
        <v>0</v>
      </c>
      <c r="V95" s="641">
        <v>0</v>
      </c>
      <c r="W95" s="641">
        <v>223911.14</v>
      </c>
      <c r="X95" s="641">
        <v>284304.37</v>
      </c>
      <c r="Y95" s="641">
        <v>12042.34</v>
      </c>
      <c r="Z95" s="642">
        <v>0</v>
      </c>
      <c r="AA95" s="641">
        <v>1184090.0499999998</v>
      </c>
      <c r="AB95" s="641">
        <v>0</v>
      </c>
      <c r="AC95" s="643">
        <v>1704347.9</v>
      </c>
      <c r="AD95" s="643">
        <v>1381611.7</v>
      </c>
      <c r="AE95" s="643">
        <v>-322736.2</v>
      </c>
      <c r="AF95" s="618">
        <f t="shared" si="6"/>
        <v>2.9374972309504656E-3</v>
      </c>
    </row>
    <row r="96" spans="1:32" hidden="1" x14ac:dyDescent="0.25">
      <c r="A96" s="689" t="s">
        <v>574</v>
      </c>
      <c r="B96" s="640" t="s">
        <v>575</v>
      </c>
      <c r="C96" s="635">
        <f t="shared" si="7"/>
        <v>0</v>
      </c>
      <c r="D96" s="635">
        <f t="shared" si="8"/>
        <v>0</v>
      </c>
      <c r="E96" s="635">
        <f t="shared" si="9"/>
        <v>0</v>
      </c>
      <c r="F96" s="635">
        <f t="shared" si="10"/>
        <v>0</v>
      </c>
      <c r="G96" s="635">
        <f t="shared" si="11"/>
        <v>107590</v>
      </c>
      <c r="H96" s="641"/>
      <c r="I96" s="641"/>
      <c r="J96" s="641"/>
      <c r="K96" s="641"/>
      <c r="L96" s="641"/>
      <c r="M96" s="641"/>
      <c r="N96" s="641"/>
      <c r="O96" s="641"/>
      <c r="P96" s="641"/>
      <c r="Q96" s="641">
        <v>0</v>
      </c>
      <c r="R96" s="641">
        <v>0</v>
      </c>
      <c r="S96" s="641">
        <v>0</v>
      </c>
      <c r="T96" s="641">
        <v>0</v>
      </c>
      <c r="U96" s="641">
        <v>0</v>
      </c>
      <c r="V96" s="641">
        <v>0</v>
      </c>
      <c r="W96" s="641">
        <v>0</v>
      </c>
      <c r="X96" s="641">
        <v>0</v>
      </c>
      <c r="Y96" s="641">
        <v>0</v>
      </c>
      <c r="Z96" s="642">
        <v>0</v>
      </c>
      <c r="AA96" s="641">
        <v>107590</v>
      </c>
      <c r="AB96" s="641">
        <v>90385.18</v>
      </c>
      <c r="AC96" s="643">
        <v>107590</v>
      </c>
      <c r="AD96" s="643">
        <v>243783.47</v>
      </c>
      <c r="AE96" s="643">
        <v>136193.47</v>
      </c>
      <c r="AF96" s="618">
        <f t="shared" si="6"/>
        <v>1.8543475019270456E-4</v>
      </c>
    </row>
    <row r="97" spans="1:32" hidden="1" x14ac:dyDescent="0.25">
      <c r="A97" s="689" t="s">
        <v>576</v>
      </c>
      <c r="B97" s="640" t="s">
        <v>577</v>
      </c>
      <c r="C97" s="635">
        <f t="shared" si="7"/>
        <v>0</v>
      </c>
      <c r="D97" s="635">
        <f t="shared" si="8"/>
        <v>0</v>
      </c>
      <c r="E97" s="635">
        <f t="shared" si="9"/>
        <v>0</v>
      </c>
      <c r="F97" s="635">
        <f t="shared" si="10"/>
        <v>0</v>
      </c>
      <c r="G97" s="635">
        <f t="shared" si="11"/>
        <v>0</v>
      </c>
      <c r="H97" s="641"/>
      <c r="I97" s="641"/>
      <c r="J97" s="641"/>
      <c r="K97" s="641"/>
      <c r="L97" s="641"/>
      <c r="M97" s="641"/>
      <c r="N97" s="641"/>
      <c r="O97" s="641"/>
      <c r="P97" s="641"/>
      <c r="Q97" s="641"/>
      <c r="R97" s="641"/>
      <c r="S97" s="641">
        <v>0</v>
      </c>
      <c r="T97" s="641">
        <v>0</v>
      </c>
      <c r="U97" s="641">
        <v>0</v>
      </c>
      <c r="V97" s="641">
        <v>0</v>
      </c>
      <c r="W97" s="641">
        <v>0</v>
      </c>
      <c r="X97" s="641">
        <v>0</v>
      </c>
      <c r="Y97" s="641">
        <v>0</v>
      </c>
      <c r="Z97" s="641">
        <v>0</v>
      </c>
      <c r="AA97" s="641">
        <v>0</v>
      </c>
      <c r="AB97" s="641">
        <v>0</v>
      </c>
      <c r="AC97" s="643">
        <v>0</v>
      </c>
      <c r="AD97" s="643">
        <v>0</v>
      </c>
      <c r="AE97" s="643">
        <v>0</v>
      </c>
      <c r="AF97" s="618">
        <f t="shared" si="6"/>
        <v>0</v>
      </c>
    </row>
    <row r="98" spans="1:32" hidden="1" x14ac:dyDescent="0.25">
      <c r="A98" s="689" t="s">
        <v>578</v>
      </c>
      <c r="B98" s="640" t="s">
        <v>577</v>
      </c>
      <c r="C98" s="635">
        <f t="shared" si="7"/>
        <v>0</v>
      </c>
      <c r="D98" s="635">
        <f t="shared" si="8"/>
        <v>0</v>
      </c>
      <c r="E98" s="635">
        <f t="shared" si="9"/>
        <v>0</v>
      </c>
      <c r="F98" s="635">
        <f t="shared" si="10"/>
        <v>2105.29</v>
      </c>
      <c r="G98" s="635">
        <f t="shared" si="11"/>
        <v>325.08999999999997</v>
      </c>
      <c r="H98" s="641"/>
      <c r="I98" s="641"/>
      <c r="J98" s="641"/>
      <c r="K98" s="641"/>
      <c r="L98" s="641"/>
      <c r="M98" s="641"/>
      <c r="N98" s="641"/>
      <c r="O98" s="641"/>
      <c r="P98" s="641"/>
      <c r="Q98" s="641"/>
      <c r="R98" s="641"/>
      <c r="S98" s="641">
        <v>0</v>
      </c>
      <c r="T98" s="641">
        <v>0</v>
      </c>
      <c r="U98" s="641">
        <v>0</v>
      </c>
      <c r="V98" s="641">
        <v>2105.29</v>
      </c>
      <c r="W98" s="641">
        <v>0</v>
      </c>
      <c r="X98" s="641">
        <v>0</v>
      </c>
      <c r="Y98" s="641">
        <v>325.08999999999997</v>
      </c>
      <c r="Z98" s="641">
        <v>0</v>
      </c>
      <c r="AA98" s="641">
        <v>0</v>
      </c>
      <c r="AB98" s="641">
        <v>-1.8118839761882555E-13</v>
      </c>
      <c r="AC98" s="643">
        <v>2401.08</v>
      </c>
      <c r="AD98" s="643">
        <v>2401.08</v>
      </c>
      <c r="AE98" s="643">
        <v>0</v>
      </c>
      <c r="AF98" s="618">
        <f t="shared" si="6"/>
        <v>4.1383369271558605E-6</v>
      </c>
    </row>
    <row r="99" spans="1:32" hidden="1" x14ac:dyDescent="0.25">
      <c r="A99" s="689" t="s">
        <v>579</v>
      </c>
      <c r="B99" s="640" t="s">
        <v>577</v>
      </c>
      <c r="C99" s="635">
        <f t="shared" si="7"/>
        <v>0</v>
      </c>
      <c r="D99" s="635">
        <f t="shared" si="8"/>
        <v>0</v>
      </c>
      <c r="E99" s="635">
        <f t="shared" si="9"/>
        <v>0</v>
      </c>
      <c r="F99" s="635">
        <f t="shared" si="10"/>
        <v>0</v>
      </c>
      <c r="G99" s="635">
        <f t="shared" si="11"/>
        <v>0</v>
      </c>
      <c r="H99" s="641"/>
      <c r="I99" s="641"/>
      <c r="J99" s="641"/>
      <c r="K99" s="641"/>
      <c r="L99" s="641"/>
      <c r="M99" s="641"/>
      <c r="N99" s="641"/>
      <c r="O99" s="641"/>
      <c r="P99" s="641"/>
      <c r="Q99" s="641"/>
      <c r="R99" s="641"/>
      <c r="S99" s="641">
        <v>0</v>
      </c>
      <c r="T99" s="641">
        <v>0</v>
      </c>
      <c r="U99" s="641">
        <v>0</v>
      </c>
      <c r="V99" s="641">
        <v>0</v>
      </c>
      <c r="W99" s="641">
        <v>0</v>
      </c>
      <c r="X99" s="641">
        <v>0</v>
      </c>
      <c r="Y99" s="641">
        <v>0</v>
      </c>
      <c r="Z99" s="690">
        <v>0</v>
      </c>
      <c r="AA99" s="641">
        <v>0</v>
      </c>
      <c r="AB99" s="641">
        <v>0</v>
      </c>
      <c r="AC99" s="643">
        <v>0</v>
      </c>
      <c r="AD99" s="643">
        <v>0</v>
      </c>
      <c r="AE99" s="643">
        <v>0</v>
      </c>
      <c r="AF99" s="618">
        <f t="shared" si="6"/>
        <v>0</v>
      </c>
    </row>
    <row r="100" spans="1:32" hidden="1" x14ac:dyDescent="0.25">
      <c r="A100" s="689" t="s">
        <v>580</v>
      </c>
      <c r="B100" s="640" t="s">
        <v>577</v>
      </c>
      <c r="C100" s="635">
        <f t="shared" si="7"/>
        <v>0</v>
      </c>
      <c r="D100" s="635">
        <f t="shared" si="8"/>
        <v>0</v>
      </c>
      <c r="E100" s="635">
        <f t="shared" si="9"/>
        <v>0</v>
      </c>
      <c r="F100" s="635">
        <f t="shared" si="10"/>
        <v>0</v>
      </c>
      <c r="G100" s="635">
        <f t="shared" si="11"/>
        <v>32020.959999999999</v>
      </c>
      <c r="H100" s="641"/>
      <c r="I100" s="641"/>
      <c r="J100" s="641"/>
      <c r="K100" s="641"/>
      <c r="L100" s="641"/>
      <c r="M100" s="641"/>
      <c r="N100" s="641"/>
      <c r="O100" s="641"/>
      <c r="P100" s="641"/>
      <c r="Q100" s="641"/>
      <c r="R100" s="641"/>
      <c r="S100" s="641">
        <v>0</v>
      </c>
      <c r="T100" s="641">
        <v>0</v>
      </c>
      <c r="U100" s="641">
        <v>0</v>
      </c>
      <c r="V100" s="641">
        <v>0</v>
      </c>
      <c r="W100" s="641">
        <v>0</v>
      </c>
      <c r="X100" s="641">
        <v>0</v>
      </c>
      <c r="Y100" s="641">
        <v>0</v>
      </c>
      <c r="Z100" s="641">
        <v>32020.959999999999</v>
      </c>
      <c r="AA100" s="641">
        <v>0</v>
      </c>
      <c r="AB100" s="641">
        <v>0</v>
      </c>
      <c r="AC100" s="643">
        <v>32020.959999999999</v>
      </c>
      <c r="AD100" s="643">
        <v>150000</v>
      </c>
      <c r="AE100" s="643">
        <v>117979.04</v>
      </c>
      <c r="AF100" s="618">
        <f t="shared" si="6"/>
        <v>5.5189132061814151E-5</v>
      </c>
    </row>
    <row r="101" spans="1:32" hidden="1" x14ac:dyDescent="0.25">
      <c r="A101" s="689" t="s">
        <v>581</v>
      </c>
      <c r="B101" s="640" t="s">
        <v>577</v>
      </c>
      <c r="C101" s="635">
        <f t="shared" si="7"/>
        <v>0</v>
      </c>
      <c r="D101" s="635">
        <f t="shared" si="8"/>
        <v>0</v>
      </c>
      <c r="E101" s="635">
        <f t="shared" si="9"/>
        <v>0</v>
      </c>
      <c r="F101" s="635">
        <f t="shared" si="10"/>
        <v>0</v>
      </c>
      <c r="G101" s="635">
        <f t="shared" si="11"/>
        <v>3659.77</v>
      </c>
      <c r="H101" s="641"/>
      <c r="I101" s="641"/>
      <c r="J101" s="641"/>
      <c r="K101" s="641"/>
      <c r="L101" s="641"/>
      <c r="M101" s="641"/>
      <c r="N101" s="641"/>
      <c r="O101" s="641"/>
      <c r="P101" s="641"/>
      <c r="Q101" s="641"/>
      <c r="R101" s="641"/>
      <c r="S101" s="641">
        <v>0</v>
      </c>
      <c r="T101" s="641">
        <v>0</v>
      </c>
      <c r="U101" s="641">
        <v>0</v>
      </c>
      <c r="V101" s="641">
        <v>0</v>
      </c>
      <c r="W101" s="641">
        <v>0</v>
      </c>
      <c r="X101" s="641">
        <v>0</v>
      </c>
      <c r="Y101" s="641">
        <v>0</v>
      </c>
      <c r="Z101" s="641">
        <v>0</v>
      </c>
      <c r="AA101" s="641">
        <v>3659.77</v>
      </c>
      <c r="AB101" s="641">
        <v>0</v>
      </c>
      <c r="AC101" s="643">
        <v>3659.77</v>
      </c>
      <c r="AD101" s="643">
        <v>85000</v>
      </c>
      <c r="AE101" s="643">
        <v>81340.23</v>
      </c>
      <c r="AF101" s="618">
        <f t="shared" si="6"/>
        <v>6.3077287453550916E-6</v>
      </c>
    </row>
    <row r="102" spans="1:32" ht="25.5" hidden="1" x14ac:dyDescent="0.25">
      <c r="A102" s="658" t="s">
        <v>482</v>
      </c>
      <c r="B102" s="659"/>
      <c r="C102" s="635">
        <f t="shared" si="7"/>
        <v>0</v>
      </c>
      <c r="D102" s="635">
        <f t="shared" si="8"/>
        <v>0</v>
      </c>
      <c r="E102" s="635">
        <f t="shared" si="9"/>
        <v>0</v>
      </c>
      <c r="F102" s="635">
        <f t="shared" si="10"/>
        <v>0</v>
      </c>
      <c r="G102" s="635">
        <f t="shared" si="11"/>
        <v>0</v>
      </c>
      <c r="H102" s="660"/>
      <c r="I102" s="660"/>
      <c r="J102" s="660"/>
      <c r="K102" s="660"/>
      <c r="L102" s="660"/>
      <c r="M102" s="660"/>
      <c r="N102" s="660"/>
      <c r="O102" s="660"/>
      <c r="P102" s="660"/>
      <c r="Q102" s="660"/>
      <c r="R102" s="660"/>
      <c r="S102" s="660"/>
      <c r="T102" s="660"/>
      <c r="U102" s="660"/>
      <c r="V102" s="660"/>
      <c r="W102" s="660"/>
      <c r="X102" s="660"/>
      <c r="Y102" s="660"/>
      <c r="Z102" s="660">
        <v>0</v>
      </c>
      <c r="AA102" s="661">
        <v>0</v>
      </c>
      <c r="AB102" s="660">
        <v>0</v>
      </c>
      <c r="AC102" s="643">
        <v>0</v>
      </c>
      <c r="AD102" s="643">
        <v>0</v>
      </c>
      <c r="AE102" s="643">
        <v>0</v>
      </c>
      <c r="AF102" s="618">
        <f t="shared" si="6"/>
        <v>0</v>
      </c>
    </row>
    <row r="103" spans="1:32" hidden="1" x14ac:dyDescent="0.25">
      <c r="A103" s="658" t="s">
        <v>483</v>
      </c>
      <c r="B103" s="659"/>
      <c r="C103" s="635">
        <f t="shared" si="7"/>
        <v>0</v>
      </c>
      <c r="D103" s="635">
        <f t="shared" si="8"/>
        <v>0</v>
      </c>
      <c r="E103" s="635">
        <f t="shared" si="9"/>
        <v>0</v>
      </c>
      <c r="F103" s="635">
        <f t="shared" si="10"/>
        <v>0</v>
      </c>
      <c r="G103" s="635">
        <f t="shared" si="11"/>
        <v>0</v>
      </c>
      <c r="H103" s="660"/>
      <c r="I103" s="660"/>
      <c r="J103" s="660"/>
      <c r="K103" s="660"/>
      <c r="L103" s="660"/>
      <c r="M103" s="660"/>
      <c r="N103" s="660"/>
      <c r="O103" s="660"/>
      <c r="P103" s="660"/>
      <c r="Q103" s="660"/>
      <c r="R103" s="660"/>
      <c r="S103" s="660">
        <v>0</v>
      </c>
      <c r="T103" s="660">
        <v>0</v>
      </c>
      <c r="U103" s="660">
        <v>0</v>
      </c>
      <c r="V103" s="660">
        <v>0</v>
      </c>
      <c r="W103" s="660">
        <v>0</v>
      </c>
      <c r="X103" s="660">
        <v>0</v>
      </c>
      <c r="Y103" s="660">
        <v>0</v>
      </c>
      <c r="Z103" s="660">
        <v>0</v>
      </c>
      <c r="AA103" s="661">
        <v>0</v>
      </c>
      <c r="AB103" s="660"/>
      <c r="AC103" s="647">
        <v>0</v>
      </c>
      <c r="AD103" s="647">
        <v>0</v>
      </c>
      <c r="AE103" s="643">
        <v>0</v>
      </c>
      <c r="AF103" s="618">
        <f t="shared" si="6"/>
        <v>0</v>
      </c>
    </row>
    <row r="104" spans="1:32" hidden="1" x14ac:dyDescent="0.25">
      <c r="A104" s="676" t="s">
        <v>582</v>
      </c>
      <c r="B104" s="635" t="s">
        <v>583</v>
      </c>
      <c r="C104" s="635">
        <f t="shared" si="7"/>
        <v>0</v>
      </c>
      <c r="D104" s="635">
        <f t="shared" si="8"/>
        <v>0</v>
      </c>
      <c r="E104" s="635">
        <f t="shared" si="9"/>
        <v>0</v>
      </c>
      <c r="F104" s="635">
        <f t="shared" si="10"/>
        <v>644107.24999999837</v>
      </c>
      <c r="G104" s="635">
        <f t="shared" si="11"/>
        <v>1517347.3907424239</v>
      </c>
      <c r="H104" s="662">
        <v>0</v>
      </c>
      <c r="I104" s="662">
        <v>0</v>
      </c>
      <c r="J104" s="662">
        <v>0</v>
      </c>
      <c r="K104" s="662">
        <v>0</v>
      </c>
      <c r="L104" s="662">
        <v>0</v>
      </c>
      <c r="M104" s="662">
        <v>0</v>
      </c>
      <c r="N104" s="662">
        <v>0</v>
      </c>
      <c r="O104" s="662">
        <v>0</v>
      </c>
      <c r="P104" s="662">
        <v>0</v>
      </c>
      <c r="Q104" s="662">
        <v>0</v>
      </c>
      <c r="R104" s="662">
        <v>0</v>
      </c>
      <c r="S104" s="662">
        <v>0</v>
      </c>
      <c r="T104" s="662">
        <v>0</v>
      </c>
      <c r="U104" s="662">
        <v>185936.34000000011</v>
      </c>
      <c r="V104" s="662">
        <v>231126.30999999831</v>
      </c>
      <c r="W104" s="662">
        <v>227044.6</v>
      </c>
      <c r="X104" s="662">
        <v>315739.52999999997</v>
      </c>
      <c r="Y104" s="662">
        <v>267436.68</v>
      </c>
      <c r="Z104" s="662">
        <v>209471.43</v>
      </c>
      <c r="AA104" s="636">
        <v>724699.75074242405</v>
      </c>
      <c r="AB104" s="662">
        <v>182522.77429555467</v>
      </c>
      <c r="AC104" s="638">
        <v>2152863.0207424238</v>
      </c>
      <c r="AD104" s="662">
        <v>2532960.15</v>
      </c>
      <c r="AE104" s="638">
        <v>380097.13</v>
      </c>
      <c r="AF104" s="618">
        <f t="shared" si="6"/>
        <v>3.7105271535503551E-3</v>
      </c>
    </row>
    <row r="105" spans="1:32" hidden="1" x14ac:dyDescent="0.25">
      <c r="A105" s="691" t="s">
        <v>584</v>
      </c>
      <c r="B105" s="692"/>
      <c r="C105" s="635">
        <f t="shared" si="7"/>
        <v>0</v>
      </c>
      <c r="D105" s="635">
        <f t="shared" si="8"/>
        <v>0</v>
      </c>
      <c r="E105" s="635">
        <f t="shared" si="9"/>
        <v>0</v>
      </c>
      <c r="F105" s="635">
        <f t="shared" si="10"/>
        <v>361386.49</v>
      </c>
      <c r="G105" s="635">
        <f t="shared" si="11"/>
        <v>667313.47437878791</v>
      </c>
      <c r="H105" s="641"/>
      <c r="I105" s="641">
        <v>0</v>
      </c>
      <c r="J105" s="641">
        <v>0</v>
      </c>
      <c r="K105" s="641">
        <v>0</v>
      </c>
      <c r="L105" s="641">
        <v>0</v>
      </c>
      <c r="M105" s="641">
        <v>0</v>
      </c>
      <c r="N105" s="641">
        <v>0</v>
      </c>
      <c r="O105" s="641">
        <v>0</v>
      </c>
      <c r="P105" s="641">
        <v>0</v>
      </c>
      <c r="Q105" s="641">
        <v>0</v>
      </c>
      <c r="R105" s="645">
        <v>0</v>
      </c>
      <c r="S105" s="645">
        <v>0</v>
      </c>
      <c r="T105" s="645">
        <v>0</v>
      </c>
      <c r="U105" s="645">
        <v>94685.02</v>
      </c>
      <c r="V105" s="645">
        <v>136063.10999999999</v>
      </c>
      <c r="W105" s="645">
        <v>130638.36</v>
      </c>
      <c r="X105" s="645">
        <v>167146.60999999999</v>
      </c>
      <c r="Y105" s="645">
        <v>106035.89</v>
      </c>
      <c r="Z105" s="646">
        <v>135334.37</v>
      </c>
      <c r="AA105" s="641">
        <v>258796.60437878786</v>
      </c>
      <c r="AB105" s="645">
        <v>-0.37999999994644895</v>
      </c>
      <c r="AC105" s="643">
        <v>1028699.9643787879</v>
      </c>
      <c r="AD105" s="643">
        <v>964050.82</v>
      </c>
      <c r="AE105" s="643">
        <v>-64649.14</v>
      </c>
      <c r="AF105" s="618">
        <f t="shared" si="6"/>
        <v>1.7729967554403253E-3</v>
      </c>
    </row>
    <row r="106" spans="1:32" hidden="1" x14ac:dyDescent="0.25">
      <c r="A106" s="691" t="s">
        <v>585</v>
      </c>
      <c r="B106" s="692"/>
      <c r="C106" s="635">
        <f t="shared" si="7"/>
        <v>0</v>
      </c>
      <c r="D106" s="635">
        <f t="shared" si="8"/>
        <v>0</v>
      </c>
      <c r="E106" s="635">
        <f t="shared" si="9"/>
        <v>0</v>
      </c>
      <c r="F106" s="635">
        <f t="shared" si="10"/>
        <v>282720.75999999844</v>
      </c>
      <c r="G106" s="635">
        <f t="shared" si="11"/>
        <v>825397.93636363628</v>
      </c>
      <c r="H106" s="641"/>
      <c r="I106" s="641">
        <v>0</v>
      </c>
      <c r="J106" s="641">
        <v>0</v>
      </c>
      <c r="K106" s="641">
        <v>0</v>
      </c>
      <c r="L106" s="641">
        <v>0</v>
      </c>
      <c r="M106" s="641">
        <v>0</v>
      </c>
      <c r="N106" s="641">
        <v>0</v>
      </c>
      <c r="O106" s="641">
        <v>0</v>
      </c>
      <c r="P106" s="641">
        <v>0</v>
      </c>
      <c r="Q106" s="641">
        <v>0</v>
      </c>
      <c r="R106" s="645">
        <v>0</v>
      </c>
      <c r="S106" s="645">
        <v>0</v>
      </c>
      <c r="T106" s="645">
        <v>0</v>
      </c>
      <c r="U106" s="645">
        <v>91251.320000000123</v>
      </c>
      <c r="V106" s="645">
        <v>95063.199999998324</v>
      </c>
      <c r="W106" s="645">
        <v>96406.24</v>
      </c>
      <c r="X106" s="645">
        <v>148592.92000000001</v>
      </c>
      <c r="Y106" s="645">
        <v>161400.79</v>
      </c>
      <c r="Z106" s="646">
        <v>74137.06</v>
      </c>
      <c r="AA106" s="641">
        <v>441267.16636363626</v>
      </c>
      <c r="AB106" s="645">
        <v>0</v>
      </c>
      <c r="AC106" s="643">
        <v>1099527.0763636362</v>
      </c>
      <c r="AD106" s="643">
        <v>1528498.8</v>
      </c>
      <c r="AE106" s="643">
        <v>428971.72</v>
      </c>
      <c r="AF106" s="618">
        <f t="shared" si="6"/>
        <v>1.8950695114379186E-3</v>
      </c>
    </row>
    <row r="107" spans="1:32" ht="25.5" hidden="1" x14ac:dyDescent="0.25">
      <c r="A107" s="658" t="s">
        <v>482</v>
      </c>
      <c r="B107" s="659"/>
      <c r="C107" s="635">
        <f t="shared" si="7"/>
        <v>0</v>
      </c>
      <c r="D107" s="635">
        <f t="shared" si="8"/>
        <v>0</v>
      </c>
      <c r="E107" s="635">
        <f t="shared" si="9"/>
        <v>0</v>
      </c>
      <c r="F107" s="635">
        <f t="shared" si="10"/>
        <v>0</v>
      </c>
      <c r="G107" s="635">
        <f t="shared" si="11"/>
        <v>0</v>
      </c>
      <c r="H107" s="660"/>
      <c r="I107" s="660"/>
      <c r="J107" s="660"/>
      <c r="K107" s="660"/>
      <c r="L107" s="660"/>
      <c r="M107" s="660"/>
      <c r="N107" s="660"/>
      <c r="O107" s="660"/>
      <c r="P107" s="660"/>
      <c r="Q107" s="660"/>
      <c r="R107" s="660"/>
      <c r="S107" s="660"/>
      <c r="T107" s="660"/>
      <c r="U107" s="660"/>
      <c r="V107" s="660"/>
      <c r="W107" s="660"/>
      <c r="X107" s="660"/>
      <c r="Y107" s="660"/>
      <c r="Z107" s="660">
        <v>0</v>
      </c>
      <c r="AA107" s="661">
        <v>0</v>
      </c>
      <c r="AB107" s="660">
        <v>182523.15429555462</v>
      </c>
      <c r="AC107" s="643">
        <v>0</v>
      </c>
      <c r="AD107" s="643">
        <v>0</v>
      </c>
      <c r="AE107" s="643">
        <v>0</v>
      </c>
      <c r="AF107" s="618">
        <f t="shared" si="6"/>
        <v>0</v>
      </c>
    </row>
    <row r="108" spans="1:32" hidden="1" x14ac:dyDescent="0.25">
      <c r="A108" s="658" t="s">
        <v>483</v>
      </c>
      <c r="B108" s="659"/>
      <c r="C108" s="635">
        <f t="shared" si="7"/>
        <v>0</v>
      </c>
      <c r="D108" s="635">
        <f t="shared" si="8"/>
        <v>0</v>
      </c>
      <c r="E108" s="635">
        <f t="shared" si="9"/>
        <v>0</v>
      </c>
      <c r="F108" s="635">
        <f t="shared" si="10"/>
        <v>0</v>
      </c>
      <c r="G108" s="635">
        <f t="shared" si="11"/>
        <v>24635.98</v>
      </c>
      <c r="H108" s="660"/>
      <c r="I108" s="660"/>
      <c r="J108" s="660"/>
      <c r="K108" s="660"/>
      <c r="L108" s="660"/>
      <c r="M108" s="660"/>
      <c r="N108" s="660"/>
      <c r="O108" s="660">
        <v>0</v>
      </c>
      <c r="P108" s="660">
        <v>0</v>
      </c>
      <c r="Q108" s="660">
        <v>0</v>
      </c>
      <c r="R108" s="660">
        <v>0</v>
      </c>
      <c r="S108" s="660">
        <v>0</v>
      </c>
      <c r="T108" s="660">
        <v>0</v>
      </c>
      <c r="U108" s="660">
        <v>0</v>
      </c>
      <c r="V108" s="660">
        <v>0</v>
      </c>
      <c r="W108" s="660">
        <v>0</v>
      </c>
      <c r="X108" s="660">
        <v>0</v>
      </c>
      <c r="Y108" s="660">
        <v>0</v>
      </c>
      <c r="Z108" s="661">
        <v>0</v>
      </c>
      <c r="AA108" s="661">
        <v>24635.98</v>
      </c>
      <c r="AB108" s="660"/>
      <c r="AC108" s="647">
        <v>24635.98</v>
      </c>
      <c r="AD108" s="647">
        <v>40410.53</v>
      </c>
      <c r="AE108" s="643">
        <v>15774.55</v>
      </c>
      <c r="AF108" s="618">
        <f t="shared" si="6"/>
        <v>4.2460886672111401E-5</v>
      </c>
    </row>
    <row r="109" spans="1:32" hidden="1" x14ac:dyDescent="0.25">
      <c r="A109" s="693" t="s">
        <v>586</v>
      </c>
      <c r="B109" s="694">
        <v>0</v>
      </c>
      <c r="C109" s="635">
        <f t="shared" si="7"/>
        <v>4262830.17</v>
      </c>
      <c r="D109" s="635">
        <f t="shared" si="8"/>
        <v>24769158.800000001</v>
      </c>
      <c r="E109" s="635">
        <f t="shared" si="9"/>
        <v>80467407.569999993</v>
      </c>
      <c r="F109" s="635">
        <f t="shared" si="10"/>
        <v>87034095.049999997</v>
      </c>
      <c r="G109" s="635">
        <f t="shared" si="11"/>
        <v>70605468.670000002</v>
      </c>
      <c r="H109" s="695">
        <v>0</v>
      </c>
      <c r="I109" s="695">
        <v>0</v>
      </c>
      <c r="J109" s="695">
        <v>1070796</v>
      </c>
      <c r="K109" s="695">
        <v>3192034.17</v>
      </c>
      <c r="L109" s="695">
        <v>3315364.75</v>
      </c>
      <c r="M109" s="695">
        <v>6240855.4499999993</v>
      </c>
      <c r="N109" s="695">
        <v>6118960.9000000013</v>
      </c>
      <c r="O109" s="695">
        <v>9093977.6999999993</v>
      </c>
      <c r="P109" s="695">
        <v>11522921.27</v>
      </c>
      <c r="Q109" s="696">
        <v>21978921.280000001</v>
      </c>
      <c r="R109" s="695">
        <v>32008732.469999999</v>
      </c>
      <c r="S109" s="695">
        <v>14956832.550000001</v>
      </c>
      <c r="T109" s="695">
        <v>18752648.309999999</v>
      </c>
      <c r="U109" s="695">
        <v>25684596.359999999</v>
      </c>
      <c r="V109" s="695">
        <v>25876100.379999995</v>
      </c>
      <c r="W109" s="695">
        <v>16720749.999999998</v>
      </c>
      <c r="X109" s="695">
        <v>11994066.939999999</v>
      </c>
      <c r="Y109" s="695">
        <v>34432299.780000001</v>
      </c>
      <c r="Z109" s="695">
        <v>24179101.950000003</v>
      </c>
      <c r="AA109" s="695"/>
      <c r="AB109" s="695">
        <v>14625721.50983247</v>
      </c>
      <c r="AC109" s="697">
        <v>323087546.78758788</v>
      </c>
      <c r="AD109" s="695">
        <v>337713268.30999994</v>
      </c>
      <c r="AE109" s="698"/>
      <c r="AF109" s="618">
        <f t="shared" si="6"/>
        <v>0.5568515524577573</v>
      </c>
    </row>
    <row r="110" spans="1:32" x14ac:dyDescent="0.25">
      <c r="A110" s="699" t="s">
        <v>587</v>
      </c>
      <c r="B110" s="700"/>
      <c r="C110" s="635">
        <f t="shared" si="7"/>
        <v>0</v>
      </c>
      <c r="D110" s="635">
        <f t="shared" si="8"/>
        <v>0</v>
      </c>
      <c r="E110" s="635">
        <f t="shared" si="9"/>
        <v>0</v>
      </c>
      <c r="F110" s="635">
        <f t="shared" si="10"/>
        <v>0</v>
      </c>
      <c r="G110" s="635">
        <f t="shared" si="11"/>
        <v>0</v>
      </c>
      <c r="H110" s="631"/>
      <c r="I110" s="631"/>
      <c r="J110" s="631"/>
      <c r="K110" s="631"/>
      <c r="L110" s="631"/>
      <c r="M110" s="631"/>
      <c r="N110" s="631"/>
      <c r="O110" s="631"/>
      <c r="P110" s="631">
        <v>0</v>
      </c>
      <c r="Q110" s="632">
        <v>0</v>
      </c>
      <c r="R110" s="631">
        <v>0</v>
      </c>
      <c r="S110" s="631">
        <v>0</v>
      </c>
      <c r="T110" s="631">
        <v>0</v>
      </c>
      <c r="U110" s="631">
        <v>0</v>
      </c>
      <c r="V110" s="631">
        <v>0</v>
      </c>
      <c r="W110" s="631">
        <v>0</v>
      </c>
      <c r="X110" s="631">
        <v>0</v>
      </c>
      <c r="Y110" s="631">
        <v>0</v>
      </c>
      <c r="Z110" s="631">
        <v>0</v>
      </c>
      <c r="AA110" s="631">
        <v>0</v>
      </c>
      <c r="AB110" s="631"/>
      <c r="AC110" s="631"/>
      <c r="AD110" s="631">
        <v>0</v>
      </c>
      <c r="AE110" s="631"/>
      <c r="AF110" s="618">
        <f t="shared" si="6"/>
        <v>0</v>
      </c>
    </row>
    <row r="111" spans="1:32" ht="25.5" x14ac:dyDescent="0.25">
      <c r="A111" s="634" t="s">
        <v>588</v>
      </c>
      <c r="B111" s="701" t="s">
        <v>589</v>
      </c>
      <c r="C111" s="635">
        <f t="shared" si="7"/>
        <v>790150.39658958046</v>
      </c>
      <c r="D111" s="635">
        <f t="shared" si="8"/>
        <v>3354245.8</v>
      </c>
      <c r="E111" s="635">
        <f t="shared" si="9"/>
        <v>7984729.5200000014</v>
      </c>
      <c r="F111" s="635">
        <f t="shared" si="10"/>
        <v>14497221.559999999</v>
      </c>
      <c r="G111" s="635">
        <f>SUM(X111:AA111)</f>
        <v>27390843.340000004</v>
      </c>
      <c r="H111" s="662">
        <v>0</v>
      </c>
      <c r="I111" s="662">
        <v>0</v>
      </c>
      <c r="J111" s="662">
        <v>400271.88658958045</v>
      </c>
      <c r="K111" s="662">
        <v>389878.51</v>
      </c>
      <c r="L111" s="662">
        <v>7733</v>
      </c>
      <c r="M111" s="662">
        <v>1223873.17</v>
      </c>
      <c r="N111" s="662">
        <v>1000880.3500000001</v>
      </c>
      <c r="O111" s="662">
        <v>1121759.28</v>
      </c>
      <c r="P111" s="662">
        <v>539448.28</v>
      </c>
      <c r="Q111" s="663">
        <v>2406972.8200000003</v>
      </c>
      <c r="R111" s="662">
        <v>1025856.35</v>
      </c>
      <c r="S111" s="662">
        <v>4012452.0700000003</v>
      </c>
      <c r="T111" s="662">
        <v>578674.02</v>
      </c>
      <c r="U111" s="662">
        <v>3984280.83</v>
      </c>
      <c r="V111" s="662">
        <v>5323351.9800000004</v>
      </c>
      <c r="W111" s="662">
        <v>4610914.7299999995</v>
      </c>
      <c r="X111" s="662">
        <v>7569584.5699999994</v>
      </c>
      <c r="Y111" s="662">
        <v>9354057.7100000009</v>
      </c>
      <c r="Z111" s="662">
        <v>10467201.060000001</v>
      </c>
      <c r="AA111" s="636"/>
      <c r="AB111" s="662">
        <v>4185352.9230521144</v>
      </c>
      <c r="AC111" s="638"/>
      <c r="AD111" s="662">
        <v>70894407.479999974</v>
      </c>
      <c r="AE111" s="638"/>
      <c r="AF111" s="618">
        <f t="shared" si="6"/>
        <v>0</v>
      </c>
    </row>
    <row r="112" spans="1:32" x14ac:dyDescent="0.25">
      <c r="A112" s="667" t="s">
        <v>590</v>
      </c>
      <c r="B112" s="665" t="s">
        <v>591</v>
      </c>
      <c r="C112" s="635">
        <f t="shared" si="7"/>
        <v>641579.44316859497</v>
      </c>
      <c r="D112" s="635">
        <f t="shared" si="8"/>
        <v>1149081.97</v>
      </c>
      <c r="E112" s="635">
        <f t="shared" si="9"/>
        <v>6093127.6699999999</v>
      </c>
      <c r="F112" s="635">
        <f t="shared" si="10"/>
        <v>12871487.689999999</v>
      </c>
      <c r="G112" s="635">
        <f t="shared" si="11"/>
        <v>45458942.857251652</v>
      </c>
      <c r="H112" s="668">
        <v>0</v>
      </c>
      <c r="I112" s="668">
        <v>0</v>
      </c>
      <c r="J112" s="668">
        <v>315306.19316859497</v>
      </c>
      <c r="K112" s="668">
        <v>326273.25</v>
      </c>
      <c r="L112" s="668">
        <v>5862</v>
      </c>
      <c r="M112" s="668">
        <v>266475.39</v>
      </c>
      <c r="N112" s="668">
        <v>745302.04</v>
      </c>
      <c r="O112" s="668">
        <v>131442.53999999998</v>
      </c>
      <c r="P112" s="668">
        <v>529767.56000000006</v>
      </c>
      <c r="Q112" s="669">
        <v>1580683.62</v>
      </c>
      <c r="R112" s="668">
        <v>1025856.35</v>
      </c>
      <c r="S112" s="668">
        <v>2956820.14</v>
      </c>
      <c r="T112" s="668">
        <v>577487.52999999991</v>
      </c>
      <c r="U112" s="668">
        <v>3110749.65</v>
      </c>
      <c r="V112" s="668">
        <v>4764451.6399999997</v>
      </c>
      <c r="W112" s="668">
        <v>4418798.8699999992</v>
      </c>
      <c r="X112" s="668">
        <v>6839831.4699999997</v>
      </c>
      <c r="Y112" s="668">
        <v>9147499.3499999996</v>
      </c>
      <c r="Z112" s="668">
        <v>9084733.1099999994</v>
      </c>
      <c r="AA112" s="666">
        <v>20386878.927251652</v>
      </c>
      <c r="AB112" s="668">
        <v>3401661.6836581752</v>
      </c>
      <c r="AC112" s="647">
        <v>66214219.627251655</v>
      </c>
      <c r="AD112" s="647">
        <v>67893620.689999983</v>
      </c>
      <c r="AE112" s="647">
        <v>1679401.06</v>
      </c>
      <c r="AF112" s="618">
        <f t="shared" si="6"/>
        <v>0.11412229088004727</v>
      </c>
    </row>
    <row r="113" spans="1:32" x14ac:dyDescent="0.25">
      <c r="A113" s="644" t="s">
        <v>592</v>
      </c>
      <c r="B113" s="640" t="s">
        <v>593</v>
      </c>
      <c r="C113" s="635">
        <f t="shared" si="7"/>
        <v>641579.44316859497</v>
      </c>
      <c r="D113" s="635">
        <f t="shared" si="8"/>
        <v>1130342.97</v>
      </c>
      <c r="E113" s="635">
        <f t="shared" si="9"/>
        <v>3519576.8200000003</v>
      </c>
      <c r="F113" s="635">
        <f t="shared" si="10"/>
        <v>1207312.76</v>
      </c>
      <c r="G113" s="635">
        <f t="shared" si="11"/>
        <v>4927912.3854334652</v>
      </c>
      <c r="H113" s="648">
        <v>0</v>
      </c>
      <c r="I113" s="648">
        <v>0</v>
      </c>
      <c r="J113" s="648">
        <v>315306.19316859497</v>
      </c>
      <c r="K113" s="648">
        <v>326273.25</v>
      </c>
      <c r="L113" s="648">
        <v>5862</v>
      </c>
      <c r="M113" s="648">
        <v>238685.39</v>
      </c>
      <c r="N113" s="648">
        <v>745475.02</v>
      </c>
      <c r="O113" s="648">
        <v>140320.56</v>
      </c>
      <c r="P113" s="648">
        <v>529767.56000000006</v>
      </c>
      <c r="Q113" s="648">
        <v>1033136.31</v>
      </c>
      <c r="R113" s="648">
        <v>13446.65</v>
      </c>
      <c r="S113" s="648">
        <v>1943226.3</v>
      </c>
      <c r="T113" s="648">
        <v>313546.68</v>
      </c>
      <c r="U113" s="648">
        <v>149577.47</v>
      </c>
      <c r="V113" s="648">
        <v>269786.87</v>
      </c>
      <c r="W113" s="648">
        <v>474401.74</v>
      </c>
      <c r="X113" s="648">
        <v>217392.9</v>
      </c>
      <c r="Y113" s="648">
        <v>450543.35999999999</v>
      </c>
      <c r="Z113" s="657">
        <v>1868719.6600000001</v>
      </c>
      <c r="AA113" s="641">
        <v>2391256.4654334658</v>
      </c>
      <c r="AB113" s="648">
        <v>450922.46547635552</v>
      </c>
      <c r="AC113" s="647">
        <v>11426724.375433465</v>
      </c>
      <c r="AD113" s="647">
        <v>10835588.620000001</v>
      </c>
      <c r="AE113" s="647">
        <v>-591135.76</v>
      </c>
      <c r="AF113" s="618">
        <f t="shared" si="6"/>
        <v>1.9694318989491519E-2</v>
      </c>
    </row>
    <row r="114" spans="1:32" x14ac:dyDescent="0.25">
      <c r="A114" s="702" t="s">
        <v>1354</v>
      </c>
      <c r="B114" s="640" t="s">
        <v>594</v>
      </c>
      <c r="C114" s="635">
        <f t="shared" si="7"/>
        <v>0</v>
      </c>
      <c r="D114" s="635">
        <f t="shared" si="8"/>
        <v>18738.999999999993</v>
      </c>
      <c r="E114" s="635">
        <f t="shared" si="9"/>
        <v>0</v>
      </c>
      <c r="F114" s="635">
        <f t="shared" si="10"/>
        <v>121968.42</v>
      </c>
      <c r="G114" s="635">
        <f t="shared" si="11"/>
        <v>191715.32</v>
      </c>
      <c r="H114" s="648">
        <v>0</v>
      </c>
      <c r="I114" s="648">
        <v>0</v>
      </c>
      <c r="J114" s="648">
        <v>0</v>
      </c>
      <c r="K114" s="648">
        <v>0</v>
      </c>
      <c r="L114" s="648">
        <v>0</v>
      </c>
      <c r="M114" s="648">
        <v>27790</v>
      </c>
      <c r="N114" s="648">
        <v>-172.98</v>
      </c>
      <c r="O114" s="648">
        <v>-8878.0200000000095</v>
      </c>
      <c r="P114" s="648">
        <v>0</v>
      </c>
      <c r="Q114" s="648">
        <v>0</v>
      </c>
      <c r="R114" s="648">
        <v>0</v>
      </c>
      <c r="S114" s="648">
        <v>0</v>
      </c>
      <c r="T114" s="648">
        <v>55932</v>
      </c>
      <c r="U114" s="648">
        <v>0</v>
      </c>
      <c r="V114" s="648">
        <v>66036.42</v>
      </c>
      <c r="W114" s="648">
        <v>0</v>
      </c>
      <c r="X114" s="648">
        <v>50264.86</v>
      </c>
      <c r="Y114" s="648">
        <v>0</v>
      </c>
      <c r="Z114" s="657">
        <v>44232.1</v>
      </c>
      <c r="AA114" s="641">
        <v>97218.36</v>
      </c>
      <c r="AB114" s="648">
        <v>20756.169999999955</v>
      </c>
      <c r="AC114" s="647">
        <v>332422.74</v>
      </c>
      <c r="AD114" s="647">
        <v>383334.85</v>
      </c>
      <c r="AE114" s="647">
        <v>50912.11</v>
      </c>
      <c r="AF114" s="618">
        <f t="shared" si="6"/>
        <v>5.7294105168021543E-4</v>
      </c>
    </row>
    <row r="115" spans="1:32" x14ac:dyDescent="0.25">
      <c r="A115" s="644" t="s">
        <v>595</v>
      </c>
      <c r="B115" s="640" t="s">
        <v>596</v>
      </c>
      <c r="C115" s="635">
        <f t="shared" si="7"/>
        <v>0</v>
      </c>
      <c r="D115" s="635">
        <f t="shared" si="8"/>
        <v>0</v>
      </c>
      <c r="E115" s="635">
        <f t="shared" si="9"/>
        <v>2573550.8500000006</v>
      </c>
      <c r="F115" s="635">
        <f t="shared" si="10"/>
        <v>2127949.0700000003</v>
      </c>
      <c r="G115" s="635">
        <f t="shared" si="11"/>
        <v>532795.43121212127</v>
      </c>
      <c r="H115" s="648">
        <v>0</v>
      </c>
      <c r="I115" s="648">
        <v>0</v>
      </c>
      <c r="J115" s="648">
        <v>0</v>
      </c>
      <c r="K115" s="648">
        <v>0</v>
      </c>
      <c r="L115" s="648">
        <v>0</v>
      </c>
      <c r="M115" s="648">
        <v>0</v>
      </c>
      <c r="N115" s="648">
        <v>0</v>
      </c>
      <c r="O115" s="648">
        <v>0</v>
      </c>
      <c r="P115" s="648">
        <v>0</v>
      </c>
      <c r="Q115" s="648">
        <v>547547.31000000006</v>
      </c>
      <c r="R115" s="648">
        <v>1012409.7000000001</v>
      </c>
      <c r="S115" s="648">
        <v>1013593.8400000001</v>
      </c>
      <c r="T115" s="648">
        <v>208008.80999999997</v>
      </c>
      <c r="U115" s="648">
        <v>883028.59000000008</v>
      </c>
      <c r="V115" s="648">
        <v>1036911.6699999999</v>
      </c>
      <c r="W115" s="648">
        <v>0</v>
      </c>
      <c r="X115" s="648">
        <v>0</v>
      </c>
      <c r="Y115" s="648">
        <v>0</v>
      </c>
      <c r="Z115" s="703">
        <v>0</v>
      </c>
      <c r="AA115" s="641">
        <v>532795.43121212127</v>
      </c>
      <c r="AB115" s="648">
        <v>447113.35878787877</v>
      </c>
      <c r="AC115" s="647">
        <v>5234295.3512121215</v>
      </c>
      <c r="AD115" s="647">
        <v>5705830.6699999999</v>
      </c>
      <c r="AE115" s="647">
        <v>471535.32</v>
      </c>
      <c r="AF115" s="618">
        <f t="shared" si="6"/>
        <v>9.0214727287559679E-3</v>
      </c>
    </row>
    <row r="116" spans="1:32" x14ac:dyDescent="0.25">
      <c r="A116" s="644" t="s">
        <v>597</v>
      </c>
      <c r="B116" s="640" t="s">
        <v>598</v>
      </c>
      <c r="C116" s="635">
        <f t="shared" si="7"/>
        <v>0</v>
      </c>
      <c r="D116" s="635">
        <f t="shared" si="8"/>
        <v>0</v>
      </c>
      <c r="E116" s="635">
        <f t="shared" si="9"/>
        <v>0</v>
      </c>
      <c r="F116" s="635">
        <f t="shared" si="10"/>
        <v>3948715.78</v>
      </c>
      <c r="G116" s="635">
        <f t="shared" si="11"/>
        <v>8770136.1318181828</v>
      </c>
      <c r="H116" s="648">
        <v>0</v>
      </c>
      <c r="I116" s="648">
        <v>0</v>
      </c>
      <c r="J116" s="648">
        <v>0</v>
      </c>
      <c r="K116" s="648">
        <v>0</v>
      </c>
      <c r="L116" s="648">
        <v>0</v>
      </c>
      <c r="M116" s="648">
        <v>0</v>
      </c>
      <c r="N116" s="648">
        <v>0</v>
      </c>
      <c r="O116" s="648">
        <v>0</v>
      </c>
      <c r="P116" s="648">
        <v>0</v>
      </c>
      <c r="Q116" s="648">
        <v>0</v>
      </c>
      <c r="R116" s="648">
        <v>0</v>
      </c>
      <c r="S116" s="648">
        <v>0</v>
      </c>
      <c r="T116" s="648">
        <v>0.38000000000465661</v>
      </c>
      <c r="U116" s="648">
        <v>696238.87</v>
      </c>
      <c r="V116" s="648">
        <v>1934585.7100000002</v>
      </c>
      <c r="W116" s="648">
        <v>1317890.8199999998</v>
      </c>
      <c r="X116" s="648">
        <v>3226324.21</v>
      </c>
      <c r="Y116" s="648">
        <v>3169642.8600000003</v>
      </c>
      <c r="Z116" s="657">
        <v>63717.99</v>
      </c>
      <c r="AA116" s="641">
        <v>2310451.0718181818</v>
      </c>
      <c r="AB116" s="648">
        <v>1270255.1381818196</v>
      </c>
      <c r="AC116" s="647">
        <v>12718851.911818182</v>
      </c>
      <c r="AD116" s="647">
        <v>14113576.77</v>
      </c>
      <c r="AE116" s="647">
        <v>1394724.86</v>
      </c>
      <c r="AF116" s="618">
        <f t="shared" si="6"/>
        <v>2.1921341453722532E-2</v>
      </c>
    </row>
    <row r="117" spans="1:32" x14ac:dyDescent="0.25">
      <c r="A117" s="644" t="s">
        <v>599</v>
      </c>
      <c r="B117" s="640" t="s">
        <v>600</v>
      </c>
      <c r="C117" s="635">
        <f t="shared" si="7"/>
        <v>0</v>
      </c>
      <c r="D117" s="635">
        <f t="shared" si="8"/>
        <v>0</v>
      </c>
      <c r="E117" s="635">
        <f t="shared" si="9"/>
        <v>0</v>
      </c>
      <c r="F117" s="635">
        <f t="shared" si="10"/>
        <v>2259448.9</v>
      </c>
      <c r="G117" s="635">
        <f t="shared" si="11"/>
        <v>3989372.5754545457</v>
      </c>
      <c r="H117" s="648">
        <v>0</v>
      </c>
      <c r="I117" s="648">
        <v>0</v>
      </c>
      <c r="J117" s="648">
        <v>0</v>
      </c>
      <c r="K117" s="648">
        <v>0</v>
      </c>
      <c r="L117" s="648">
        <v>0</v>
      </c>
      <c r="M117" s="648">
        <v>0</v>
      </c>
      <c r="N117" s="648">
        <v>0</v>
      </c>
      <c r="O117" s="648">
        <v>0</v>
      </c>
      <c r="P117" s="648">
        <v>0</v>
      </c>
      <c r="Q117" s="648">
        <v>0</v>
      </c>
      <c r="R117" s="648">
        <v>0</v>
      </c>
      <c r="S117" s="648">
        <v>0</v>
      </c>
      <c r="T117" s="648">
        <v>-0.33999999999650754</v>
      </c>
      <c r="U117" s="648">
        <v>1052169.4100000001</v>
      </c>
      <c r="V117" s="648">
        <v>357310.23</v>
      </c>
      <c r="W117" s="648">
        <v>849969.6</v>
      </c>
      <c r="X117" s="648">
        <v>589982.92000000004</v>
      </c>
      <c r="Y117" s="648">
        <v>1139400.6000000001</v>
      </c>
      <c r="Z117" s="657">
        <v>658439.02</v>
      </c>
      <c r="AA117" s="641">
        <v>1601550.0354545456</v>
      </c>
      <c r="AB117" s="648">
        <v>458934.48454545485</v>
      </c>
      <c r="AC117" s="647">
        <v>6248821.4754545446</v>
      </c>
      <c r="AD117" s="647">
        <v>6675202.6699999999</v>
      </c>
      <c r="AE117" s="647">
        <v>426381.19</v>
      </c>
      <c r="AF117" s="618">
        <f t="shared" si="6"/>
        <v>1.0770040424758072E-2</v>
      </c>
    </row>
    <row r="118" spans="1:32" x14ac:dyDescent="0.25">
      <c r="A118" s="644" t="s">
        <v>601</v>
      </c>
      <c r="B118" s="640" t="s">
        <v>602</v>
      </c>
      <c r="C118" s="635">
        <f t="shared" si="7"/>
        <v>0</v>
      </c>
      <c r="D118" s="635">
        <f t="shared" si="8"/>
        <v>0</v>
      </c>
      <c r="E118" s="635">
        <f t="shared" si="9"/>
        <v>0</v>
      </c>
      <c r="F118" s="635">
        <f t="shared" si="10"/>
        <v>0</v>
      </c>
      <c r="G118" s="635">
        <f t="shared" si="11"/>
        <v>2125557.33</v>
      </c>
      <c r="H118" s="648">
        <v>0</v>
      </c>
      <c r="I118" s="648">
        <v>0</v>
      </c>
      <c r="J118" s="648">
        <v>0</v>
      </c>
      <c r="K118" s="648">
        <v>0</v>
      </c>
      <c r="L118" s="648">
        <v>0</v>
      </c>
      <c r="M118" s="648">
        <v>0</v>
      </c>
      <c r="N118" s="648">
        <v>0</v>
      </c>
      <c r="O118" s="648">
        <v>0</v>
      </c>
      <c r="P118" s="648">
        <v>0</v>
      </c>
      <c r="Q118" s="648">
        <v>0</v>
      </c>
      <c r="R118" s="648">
        <v>0</v>
      </c>
      <c r="S118" s="648">
        <v>0</v>
      </c>
      <c r="T118" s="648">
        <v>0</v>
      </c>
      <c r="U118" s="648">
        <v>0</v>
      </c>
      <c r="V118" s="648">
        <v>0</v>
      </c>
      <c r="W118" s="648">
        <v>0</v>
      </c>
      <c r="X118" s="648">
        <v>303708.65999999997</v>
      </c>
      <c r="Y118" s="648">
        <v>441734.18</v>
      </c>
      <c r="Z118" s="657">
        <v>462527.08999999997</v>
      </c>
      <c r="AA118" s="641">
        <v>917587.4</v>
      </c>
      <c r="AB118" s="648">
        <v>269435.71999999997</v>
      </c>
      <c r="AC118" s="647">
        <v>2125557.33</v>
      </c>
      <c r="AD118" s="647">
        <v>2376132.41</v>
      </c>
      <c r="AE118" s="647">
        <v>250575.08</v>
      </c>
      <c r="AF118" s="618">
        <f t="shared" si="6"/>
        <v>3.66346493641437E-3</v>
      </c>
    </row>
    <row r="119" spans="1:32" x14ac:dyDescent="0.25">
      <c r="A119" s="644" t="s">
        <v>603</v>
      </c>
      <c r="B119" s="640" t="s">
        <v>604</v>
      </c>
      <c r="C119" s="635">
        <f t="shared" si="7"/>
        <v>0</v>
      </c>
      <c r="D119" s="635">
        <f t="shared" si="8"/>
        <v>0</v>
      </c>
      <c r="E119" s="635">
        <f t="shared" si="9"/>
        <v>0</v>
      </c>
      <c r="F119" s="635">
        <f t="shared" si="10"/>
        <v>2118990.81</v>
      </c>
      <c r="G119" s="635">
        <f t="shared" si="11"/>
        <v>8422956.9406060614</v>
      </c>
      <c r="H119" s="648"/>
      <c r="I119" s="648"/>
      <c r="J119" s="648"/>
      <c r="K119" s="648"/>
      <c r="L119" s="648"/>
      <c r="M119" s="648"/>
      <c r="N119" s="648"/>
      <c r="O119" s="648"/>
      <c r="P119" s="648"/>
      <c r="Q119" s="648"/>
      <c r="R119" s="648"/>
      <c r="S119" s="648"/>
      <c r="T119" s="648"/>
      <c r="U119" s="648">
        <v>329735.31</v>
      </c>
      <c r="V119" s="648">
        <v>1099820.74</v>
      </c>
      <c r="W119" s="648">
        <v>689434.76</v>
      </c>
      <c r="X119" s="648">
        <v>603689.61</v>
      </c>
      <c r="Y119" s="648">
        <v>1493887.0299999998</v>
      </c>
      <c r="Z119" s="657">
        <v>3541650.8</v>
      </c>
      <c r="AA119" s="641">
        <v>2783729.500606061</v>
      </c>
      <c r="AB119" s="648">
        <v>-0.39060606062412262</v>
      </c>
      <c r="AC119" s="647">
        <v>10541947.75060606</v>
      </c>
      <c r="AD119" s="647">
        <v>10538932.65</v>
      </c>
      <c r="AE119" s="647">
        <v>-3015.1</v>
      </c>
      <c r="AF119" s="618">
        <f t="shared" si="6"/>
        <v>1.8169378638146466E-2</v>
      </c>
    </row>
    <row r="120" spans="1:32" x14ac:dyDescent="0.25">
      <c r="A120" s="644" t="s">
        <v>605</v>
      </c>
      <c r="B120" s="640" t="s">
        <v>606</v>
      </c>
      <c r="C120" s="635">
        <f t="shared" si="7"/>
        <v>0</v>
      </c>
      <c r="D120" s="635">
        <f t="shared" si="8"/>
        <v>0</v>
      </c>
      <c r="E120" s="635">
        <f t="shared" si="9"/>
        <v>0</v>
      </c>
      <c r="F120" s="635">
        <f t="shared" si="10"/>
        <v>792955.33000000007</v>
      </c>
      <c r="G120" s="635">
        <f t="shared" si="11"/>
        <v>10235370.698484849</v>
      </c>
      <c r="H120" s="648"/>
      <c r="I120" s="648"/>
      <c r="J120" s="648"/>
      <c r="K120" s="648"/>
      <c r="L120" s="648"/>
      <c r="M120" s="648"/>
      <c r="N120" s="648"/>
      <c r="O120" s="648"/>
      <c r="P120" s="648"/>
      <c r="Q120" s="648"/>
      <c r="R120" s="648"/>
      <c r="S120" s="648"/>
      <c r="T120" s="648"/>
      <c r="U120" s="648">
        <v>0</v>
      </c>
      <c r="V120" s="648">
        <v>0</v>
      </c>
      <c r="W120" s="648">
        <v>792955.33000000007</v>
      </c>
      <c r="X120" s="648">
        <v>1380030.46</v>
      </c>
      <c r="Y120" s="648">
        <v>1787149.1</v>
      </c>
      <c r="Z120" s="657">
        <v>1506518.1400000001</v>
      </c>
      <c r="AA120" s="641">
        <v>5561672.9984848481</v>
      </c>
      <c r="AB120" s="648">
        <v>147495.94151515141</v>
      </c>
      <c r="AC120" s="647">
        <v>11028326.028484847</v>
      </c>
      <c r="AD120" s="647">
        <v>10312788.35</v>
      </c>
      <c r="AE120" s="647">
        <v>-715537.68</v>
      </c>
      <c r="AF120" s="618">
        <f t="shared" si="6"/>
        <v>1.9007666903390549E-2</v>
      </c>
    </row>
    <row r="121" spans="1:32" x14ac:dyDescent="0.25">
      <c r="A121" s="644" t="s">
        <v>607</v>
      </c>
      <c r="B121" s="640" t="s">
        <v>608</v>
      </c>
      <c r="C121" s="635">
        <f t="shared" si="7"/>
        <v>0</v>
      </c>
      <c r="D121" s="635">
        <f t="shared" si="8"/>
        <v>0</v>
      </c>
      <c r="E121" s="635">
        <f t="shared" si="9"/>
        <v>0</v>
      </c>
      <c r="F121" s="635">
        <f t="shared" si="10"/>
        <v>294146.62</v>
      </c>
      <c r="G121" s="635">
        <f t="shared" si="11"/>
        <v>2019043.3542424245</v>
      </c>
      <c r="H121" s="648"/>
      <c r="I121" s="648"/>
      <c r="J121" s="648"/>
      <c r="K121" s="648"/>
      <c r="L121" s="648"/>
      <c r="M121" s="648"/>
      <c r="N121" s="648"/>
      <c r="O121" s="648"/>
      <c r="P121" s="648"/>
      <c r="Q121" s="648"/>
      <c r="R121" s="648"/>
      <c r="S121" s="648"/>
      <c r="T121" s="648"/>
      <c r="U121" s="648">
        <v>0</v>
      </c>
      <c r="V121" s="648">
        <v>0</v>
      </c>
      <c r="W121" s="648">
        <v>294146.62</v>
      </c>
      <c r="X121" s="648">
        <v>291199.66000000003</v>
      </c>
      <c r="Y121" s="648">
        <v>453244.23000000004</v>
      </c>
      <c r="Z121" s="657">
        <v>573240.26</v>
      </c>
      <c r="AA121" s="641">
        <v>701359.20424242434</v>
      </c>
      <c r="AB121" s="648">
        <v>396825.42575757555</v>
      </c>
      <c r="AC121" s="647">
        <v>2313189.9742424246</v>
      </c>
      <c r="AD121" s="647">
        <v>2711381.26</v>
      </c>
      <c r="AE121" s="647">
        <v>398191.29</v>
      </c>
      <c r="AF121" s="618">
        <f t="shared" si="6"/>
        <v>3.9868557024064751E-3</v>
      </c>
    </row>
    <row r="122" spans="1:32" x14ac:dyDescent="0.25">
      <c r="A122" s="704" t="s">
        <v>1229</v>
      </c>
      <c r="B122" s="705" t="s">
        <v>609</v>
      </c>
      <c r="C122" s="635">
        <f t="shared" si="7"/>
        <v>0</v>
      </c>
      <c r="D122" s="635">
        <f t="shared" si="8"/>
        <v>0</v>
      </c>
      <c r="E122" s="635">
        <f t="shared" si="9"/>
        <v>0</v>
      </c>
      <c r="F122" s="635">
        <f t="shared" si="10"/>
        <v>0</v>
      </c>
      <c r="G122" s="635">
        <f t="shared" si="11"/>
        <v>51958.91</v>
      </c>
      <c r="H122" s="648">
        <v>0</v>
      </c>
      <c r="I122" s="648">
        <v>0</v>
      </c>
      <c r="J122" s="648">
        <v>0</v>
      </c>
      <c r="K122" s="648">
        <v>0</v>
      </c>
      <c r="L122" s="648">
        <v>0</v>
      </c>
      <c r="M122" s="648">
        <v>0</v>
      </c>
      <c r="N122" s="648">
        <v>0</v>
      </c>
      <c r="O122" s="648">
        <v>0</v>
      </c>
      <c r="P122" s="648">
        <v>0</v>
      </c>
      <c r="Q122" s="648">
        <v>0</v>
      </c>
      <c r="R122" s="648">
        <v>0</v>
      </c>
      <c r="S122" s="648">
        <v>0</v>
      </c>
      <c r="T122" s="648">
        <v>0</v>
      </c>
      <c r="U122" s="648">
        <v>0</v>
      </c>
      <c r="V122" s="648">
        <v>0</v>
      </c>
      <c r="W122" s="648">
        <v>0</v>
      </c>
      <c r="X122" s="648">
        <v>0</v>
      </c>
      <c r="Y122" s="648">
        <v>0</v>
      </c>
      <c r="Z122" s="648">
        <v>0</v>
      </c>
      <c r="AA122" s="641">
        <v>51958.91</v>
      </c>
      <c r="AB122" s="648">
        <v>9.9999999998544808E-2</v>
      </c>
      <c r="AC122" s="647">
        <v>51958.91</v>
      </c>
      <c r="AD122" s="647">
        <v>0</v>
      </c>
      <c r="AE122" s="647">
        <v>-51958.91</v>
      </c>
      <c r="AF122" s="618">
        <f t="shared" si="6"/>
        <v>8.9552816210941715E-5</v>
      </c>
    </row>
    <row r="123" spans="1:32" x14ac:dyDescent="0.25">
      <c r="A123" s="644" t="s">
        <v>610</v>
      </c>
      <c r="B123" s="656" t="s">
        <v>611</v>
      </c>
      <c r="C123" s="635">
        <f t="shared" si="7"/>
        <v>0</v>
      </c>
      <c r="D123" s="635">
        <f t="shared" si="8"/>
        <v>0</v>
      </c>
      <c r="E123" s="635">
        <f t="shared" si="9"/>
        <v>0</v>
      </c>
      <c r="F123" s="635">
        <f t="shared" si="10"/>
        <v>0</v>
      </c>
      <c r="G123" s="635">
        <f t="shared" si="11"/>
        <v>651224.12</v>
      </c>
      <c r="H123" s="648">
        <v>0</v>
      </c>
      <c r="I123" s="648">
        <v>0</v>
      </c>
      <c r="J123" s="648">
        <v>0</v>
      </c>
      <c r="K123" s="648">
        <v>0</v>
      </c>
      <c r="L123" s="648">
        <v>0</v>
      </c>
      <c r="M123" s="648">
        <v>0</v>
      </c>
      <c r="N123" s="648">
        <v>0</v>
      </c>
      <c r="O123" s="648">
        <v>0</v>
      </c>
      <c r="P123" s="648">
        <v>0</v>
      </c>
      <c r="Q123" s="648">
        <v>0</v>
      </c>
      <c r="R123" s="648">
        <v>0</v>
      </c>
      <c r="S123" s="648">
        <v>0</v>
      </c>
      <c r="T123" s="648">
        <v>0</v>
      </c>
      <c r="U123" s="648">
        <v>0</v>
      </c>
      <c r="V123" s="648">
        <v>0</v>
      </c>
      <c r="W123" s="648">
        <v>0</v>
      </c>
      <c r="X123" s="648">
        <v>175455.47</v>
      </c>
      <c r="Y123" s="648">
        <v>211897.99</v>
      </c>
      <c r="Z123" s="648">
        <v>132114.51</v>
      </c>
      <c r="AA123" s="641">
        <v>131756.15000000002</v>
      </c>
      <c r="AB123" s="648">
        <v>-60078.789999999979</v>
      </c>
      <c r="AC123" s="647">
        <v>651224.12000000011</v>
      </c>
      <c r="AD123" s="647">
        <v>565390.48</v>
      </c>
      <c r="AE123" s="647">
        <v>-85833.64</v>
      </c>
      <c r="AF123" s="618">
        <f t="shared" si="6"/>
        <v>1.1224052608203724E-3</v>
      </c>
    </row>
    <row r="124" spans="1:32" x14ac:dyDescent="0.25">
      <c r="A124" s="644" t="s">
        <v>612</v>
      </c>
      <c r="B124" s="656" t="s">
        <v>613</v>
      </c>
      <c r="C124" s="635">
        <f t="shared" si="7"/>
        <v>0</v>
      </c>
      <c r="D124" s="635">
        <f t="shared" si="8"/>
        <v>0</v>
      </c>
      <c r="E124" s="635">
        <f t="shared" si="9"/>
        <v>0</v>
      </c>
      <c r="F124" s="635">
        <f t="shared" si="10"/>
        <v>0</v>
      </c>
      <c r="G124" s="635">
        <f t="shared" si="11"/>
        <v>3441504.9499999997</v>
      </c>
      <c r="H124" s="648">
        <v>0</v>
      </c>
      <c r="I124" s="648">
        <v>0</v>
      </c>
      <c r="J124" s="648">
        <v>0</v>
      </c>
      <c r="K124" s="648">
        <v>0</v>
      </c>
      <c r="L124" s="648">
        <v>0</v>
      </c>
      <c r="M124" s="648">
        <v>0</v>
      </c>
      <c r="N124" s="648">
        <v>0</v>
      </c>
      <c r="O124" s="648">
        <v>0</v>
      </c>
      <c r="P124" s="648">
        <v>0</v>
      </c>
      <c r="Q124" s="648">
        <v>0</v>
      </c>
      <c r="R124" s="648">
        <v>0</v>
      </c>
      <c r="S124" s="648">
        <v>0</v>
      </c>
      <c r="T124" s="648">
        <v>0</v>
      </c>
      <c r="U124" s="648">
        <v>0</v>
      </c>
      <c r="V124" s="648">
        <v>0</v>
      </c>
      <c r="W124" s="648">
        <v>0</v>
      </c>
      <c r="X124" s="648">
        <v>1782.72</v>
      </c>
      <c r="Y124" s="648">
        <v>0</v>
      </c>
      <c r="Z124" s="657">
        <v>233573.53999999998</v>
      </c>
      <c r="AA124" s="641">
        <v>3206148.69</v>
      </c>
      <c r="AB124" s="648">
        <v>2.5100000002421439</v>
      </c>
      <c r="AC124" s="647">
        <v>3441504.9499999997</v>
      </c>
      <c r="AD124" s="647">
        <v>3557814.96</v>
      </c>
      <c r="AE124" s="647">
        <v>116310.01</v>
      </c>
      <c r="AF124" s="618">
        <f t="shared" si="6"/>
        <v>5.9315420642272153E-3</v>
      </c>
    </row>
    <row r="125" spans="1:32" x14ac:dyDescent="0.25">
      <c r="A125" s="644" t="s">
        <v>614</v>
      </c>
      <c r="B125" s="656" t="s">
        <v>615</v>
      </c>
      <c r="C125" s="635">
        <f t="shared" si="7"/>
        <v>0</v>
      </c>
      <c r="D125" s="635">
        <f t="shared" si="8"/>
        <v>0</v>
      </c>
      <c r="E125" s="635">
        <f t="shared" si="9"/>
        <v>0</v>
      </c>
      <c r="F125" s="635">
        <f t="shared" si="10"/>
        <v>0</v>
      </c>
      <c r="G125" s="635">
        <f t="shared" si="11"/>
        <v>23246.44</v>
      </c>
      <c r="H125" s="648"/>
      <c r="I125" s="648"/>
      <c r="J125" s="648"/>
      <c r="K125" s="648"/>
      <c r="L125" s="648"/>
      <c r="M125" s="648"/>
      <c r="N125" s="648"/>
      <c r="O125" s="648"/>
      <c r="P125" s="648"/>
      <c r="Q125" s="648"/>
      <c r="R125" s="648"/>
      <c r="S125" s="648"/>
      <c r="T125" s="648"/>
      <c r="U125" s="648"/>
      <c r="V125" s="648"/>
      <c r="W125" s="648"/>
      <c r="X125" s="648"/>
      <c r="Y125" s="648">
        <v>0</v>
      </c>
      <c r="Z125" s="657">
        <v>0</v>
      </c>
      <c r="AA125" s="641">
        <v>23246.44</v>
      </c>
      <c r="AB125" s="648">
        <v>-0.44999999999708962</v>
      </c>
      <c r="AC125" s="647">
        <v>23246.44</v>
      </c>
      <c r="AD125" s="647">
        <v>17647</v>
      </c>
      <c r="AE125" s="647">
        <v>-5599.44</v>
      </c>
      <c r="AF125" s="618">
        <f t="shared" si="6"/>
        <v>4.0065970761870944E-5</v>
      </c>
    </row>
    <row r="126" spans="1:32" x14ac:dyDescent="0.25">
      <c r="A126" s="644" t="s">
        <v>616</v>
      </c>
      <c r="B126" s="656" t="s">
        <v>617</v>
      </c>
      <c r="C126" s="635">
        <f t="shared" si="7"/>
        <v>0</v>
      </c>
      <c r="D126" s="635">
        <f t="shared" si="8"/>
        <v>0</v>
      </c>
      <c r="E126" s="635">
        <f t="shared" si="9"/>
        <v>0</v>
      </c>
      <c r="F126" s="635">
        <f t="shared" si="10"/>
        <v>0</v>
      </c>
      <c r="G126" s="635">
        <f t="shared" si="11"/>
        <v>76148.27</v>
      </c>
      <c r="H126" s="648"/>
      <c r="I126" s="648"/>
      <c r="J126" s="648"/>
      <c r="K126" s="648"/>
      <c r="L126" s="648"/>
      <c r="M126" s="648"/>
      <c r="N126" s="648"/>
      <c r="O126" s="648"/>
      <c r="P126" s="648"/>
      <c r="Q126" s="648"/>
      <c r="R126" s="648"/>
      <c r="S126" s="648"/>
      <c r="T126" s="648"/>
      <c r="U126" s="648"/>
      <c r="V126" s="648"/>
      <c r="W126" s="648"/>
      <c r="X126" s="648"/>
      <c r="Y126" s="648">
        <v>0</v>
      </c>
      <c r="Z126" s="657">
        <v>0</v>
      </c>
      <c r="AA126" s="641">
        <v>76148.27</v>
      </c>
      <c r="AB126" s="648">
        <v>0</v>
      </c>
      <c r="AC126" s="647">
        <v>76148.27</v>
      </c>
      <c r="AD126" s="647">
        <v>41176.5</v>
      </c>
      <c r="AE126" s="647">
        <v>-34971.769999999997</v>
      </c>
      <c r="AF126" s="618">
        <f t="shared" si="6"/>
        <v>1.3124393926068053E-4</v>
      </c>
    </row>
    <row r="127" spans="1:32" x14ac:dyDescent="0.25">
      <c r="A127" s="644" t="s">
        <v>618</v>
      </c>
      <c r="B127" s="656" t="s">
        <v>619</v>
      </c>
      <c r="C127" s="635">
        <f t="shared" si="7"/>
        <v>0</v>
      </c>
      <c r="D127" s="635">
        <f t="shared" si="8"/>
        <v>0</v>
      </c>
      <c r="E127" s="635">
        <f t="shared" si="9"/>
        <v>0</v>
      </c>
      <c r="F127" s="635">
        <f t="shared" si="10"/>
        <v>0</v>
      </c>
      <c r="G127" s="635">
        <f t="shared" si="11"/>
        <v>0</v>
      </c>
      <c r="H127" s="648"/>
      <c r="I127" s="648"/>
      <c r="J127" s="648"/>
      <c r="K127" s="648"/>
      <c r="L127" s="648"/>
      <c r="M127" s="648"/>
      <c r="N127" s="648"/>
      <c r="O127" s="648"/>
      <c r="P127" s="648"/>
      <c r="Q127" s="648"/>
      <c r="R127" s="648"/>
      <c r="S127" s="648"/>
      <c r="T127" s="648"/>
      <c r="U127" s="648"/>
      <c r="V127" s="648"/>
      <c r="W127" s="648"/>
      <c r="X127" s="648"/>
      <c r="Y127" s="648">
        <v>0</v>
      </c>
      <c r="Z127" s="657">
        <v>0</v>
      </c>
      <c r="AA127" s="641">
        <v>0</v>
      </c>
      <c r="AB127" s="648">
        <v>0</v>
      </c>
      <c r="AC127" s="647">
        <v>0</v>
      </c>
      <c r="AD127" s="647">
        <v>58823.5</v>
      </c>
      <c r="AE127" s="647">
        <v>58823.5</v>
      </c>
      <c r="AF127" s="618">
        <f t="shared" si="6"/>
        <v>0</v>
      </c>
    </row>
    <row r="128" spans="1:32" x14ac:dyDescent="0.25">
      <c r="A128" s="667" t="s">
        <v>620</v>
      </c>
      <c r="B128" s="665" t="s">
        <v>621</v>
      </c>
      <c r="C128" s="635">
        <f t="shared" si="7"/>
        <v>148570.95342098549</v>
      </c>
      <c r="D128" s="635">
        <f t="shared" si="8"/>
        <v>267896.07</v>
      </c>
      <c r="E128" s="635">
        <f t="shared" si="9"/>
        <v>0</v>
      </c>
      <c r="F128" s="635">
        <f t="shared" si="10"/>
        <v>0</v>
      </c>
      <c r="G128" s="635">
        <f t="shared" si="11"/>
        <v>0</v>
      </c>
      <c r="H128" s="668">
        <v>0</v>
      </c>
      <c r="I128" s="668">
        <v>0</v>
      </c>
      <c r="J128" s="668">
        <v>84965.693420985495</v>
      </c>
      <c r="K128" s="668">
        <v>63605.26</v>
      </c>
      <c r="L128" s="668">
        <v>1871</v>
      </c>
      <c r="M128" s="668">
        <v>73791.759999999995</v>
      </c>
      <c r="N128" s="668">
        <v>192233.31000000003</v>
      </c>
      <c r="O128" s="668">
        <v>0</v>
      </c>
      <c r="P128" s="668">
        <v>0</v>
      </c>
      <c r="Q128" s="669">
        <v>0</v>
      </c>
      <c r="R128" s="668">
        <v>0</v>
      </c>
      <c r="S128" s="668">
        <v>0</v>
      </c>
      <c r="T128" s="668">
        <v>0</v>
      </c>
      <c r="U128" s="668">
        <v>0</v>
      </c>
      <c r="V128" s="668">
        <v>0</v>
      </c>
      <c r="W128" s="668">
        <v>0</v>
      </c>
      <c r="X128" s="668">
        <v>0</v>
      </c>
      <c r="Y128" s="668">
        <v>0</v>
      </c>
      <c r="Z128" s="668">
        <v>0</v>
      </c>
      <c r="AA128" s="666">
        <v>0</v>
      </c>
      <c r="AB128" s="668">
        <v>-2.0000000018626451E-2</v>
      </c>
      <c r="AC128" s="647">
        <v>416467.02</v>
      </c>
      <c r="AD128" s="647">
        <v>416467</v>
      </c>
      <c r="AE128" s="647">
        <v>-0.02</v>
      </c>
      <c r="AF128" s="618">
        <f t="shared" si="6"/>
        <v>7.1779401261455611E-4</v>
      </c>
    </row>
    <row r="129" spans="1:32" x14ac:dyDescent="0.25">
      <c r="A129" s="644" t="s">
        <v>592</v>
      </c>
      <c r="B129" s="640" t="s">
        <v>593</v>
      </c>
      <c r="C129" s="635">
        <f t="shared" si="7"/>
        <v>148570.95342098549</v>
      </c>
      <c r="D129" s="635">
        <f t="shared" si="8"/>
        <v>267896.07</v>
      </c>
      <c r="E129" s="635">
        <f t="shared" si="9"/>
        <v>0</v>
      </c>
      <c r="F129" s="635">
        <f t="shared" si="10"/>
        <v>0</v>
      </c>
      <c r="G129" s="635">
        <f t="shared" si="11"/>
        <v>0</v>
      </c>
      <c r="H129" s="648">
        <v>0</v>
      </c>
      <c r="I129" s="648">
        <v>0</v>
      </c>
      <c r="J129" s="648">
        <v>84965.693420985495</v>
      </c>
      <c r="K129" s="648">
        <v>63605.26</v>
      </c>
      <c r="L129" s="648">
        <v>1871</v>
      </c>
      <c r="M129" s="648">
        <v>73791.759999999995</v>
      </c>
      <c r="N129" s="648">
        <v>192233.31000000003</v>
      </c>
      <c r="O129" s="648">
        <v>0</v>
      </c>
      <c r="P129" s="648">
        <v>0</v>
      </c>
      <c r="Q129" s="648">
        <v>0</v>
      </c>
      <c r="R129" s="648">
        <v>0</v>
      </c>
      <c r="S129" s="648">
        <v>0</v>
      </c>
      <c r="T129" s="648">
        <v>0</v>
      </c>
      <c r="U129" s="648">
        <v>0</v>
      </c>
      <c r="V129" s="648">
        <v>0</v>
      </c>
      <c r="W129" s="648">
        <v>0</v>
      </c>
      <c r="X129" s="648">
        <v>0</v>
      </c>
      <c r="Y129" s="648">
        <v>0</v>
      </c>
      <c r="Z129" s="648">
        <v>0</v>
      </c>
      <c r="AA129" s="641">
        <v>0</v>
      </c>
      <c r="AB129" s="648">
        <v>-2.0000000018626451E-2</v>
      </c>
      <c r="AC129" s="647">
        <v>416467.02</v>
      </c>
      <c r="AD129" s="647">
        <v>416467</v>
      </c>
      <c r="AE129" s="647">
        <v>-0.02</v>
      </c>
      <c r="AF129" s="618">
        <f t="shared" si="6"/>
        <v>7.1779401261455611E-4</v>
      </c>
    </row>
    <row r="130" spans="1:32" x14ac:dyDescent="0.25">
      <c r="A130" s="664" t="s">
        <v>622</v>
      </c>
      <c r="B130" s="665" t="s">
        <v>623</v>
      </c>
      <c r="C130" s="635">
        <f t="shared" si="7"/>
        <v>0</v>
      </c>
      <c r="D130" s="635">
        <f t="shared" si="8"/>
        <v>8102.77</v>
      </c>
      <c r="E130" s="635">
        <f t="shared" si="9"/>
        <v>1075853.52</v>
      </c>
      <c r="F130" s="635">
        <f t="shared" si="10"/>
        <v>992025.40999999992</v>
      </c>
      <c r="G130" s="635">
        <f t="shared" si="11"/>
        <v>2046182.1099999999</v>
      </c>
      <c r="H130" s="668">
        <v>0</v>
      </c>
      <c r="I130" s="668">
        <v>0</v>
      </c>
      <c r="J130" s="668">
        <v>0</v>
      </c>
      <c r="K130" s="668">
        <v>0</v>
      </c>
      <c r="L130" s="668">
        <v>0</v>
      </c>
      <c r="M130" s="668">
        <v>0</v>
      </c>
      <c r="N130" s="668">
        <v>0</v>
      </c>
      <c r="O130" s="668">
        <v>8102.77</v>
      </c>
      <c r="P130" s="668">
        <v>9680.7199999999993</v>
      </c>
      <c r="Q130" s="669">
        <v>10540.87</v>
      </c>
      <c r="R130" s="668">
        <v>0</v>
      </c>
      <c r="S130" s="668">
        <v>1055631.93</v>
      </c>
      <c r="T130" s="668">
        <v>0.32000000000698492</v>
      </c>
      <c r="U130" s="668">
        <v>620946.09</v>
      </c>
      <c r="V130" s="668">
        <v>371079</v>
      </c>
      <c r="W130" s="668">
        <v>0</v>
      </c>
      <c r="X130" s="668">
        <v>614663.59</v>
      </c>
      <c r="Y130" s="668">
        <v>0</v>
      </c>
      <c r="Z130" s="668">
        <v>847692.80000000005</v>
      </c>
      <c r="AA130" s="666">
        <v>583825.71999999974</v>
      </c>
      <c r="AB130" s="668">
        <v>0.13999999989755452</v>
      </c>
      <c r="AC130" s="647">
        <v>4122163.8099999996</v>
      </c>
      <c r="AD130" s="647">
        <v>4167909.4899999998</v>
      </c>
      <c r="AE130" s="647">
        <v>45745.68</v>
      </c>
      <c r="AF130" s="618">
        <f t="shared" si="6"/>
        <v>7.1046790255670338E-3</v>
      </c>
    </row>
    <row r="131" spans="1:32" x14ac:dyDescent="0.25">
      <c r="A131" s="706" t="s">
        <v>624</v>
      </c>
      <c r="B131" s="656" t="s">
        <v>625</v>
      </c>
      <c r="C131" s="635">
        <f t="shared" si="7"/>
        <v>0</v>
      </c>
      <c r="D131" s="635">
        <f t="shared" si="8"/>
        <v>8102.77</v>
      </c>
      <c r="E131" s="635">
        <f t="shared" si="9"/>
        <v>20221.59</v>
      </c>
      <c r="F131" s="635">
        <f t="shared" si="10"/>
        <v>0</v>
      </c>
      <c r="G131" s="635">
        <f t="shared" si="11"/>
        <v>0</v>
      </c>
      <c r="H131" s="645">
        <v>0</v>
      </c>
      <c r="I131" s="645">
        <v>0</v>
      </c>
      <c r="J131" s="645">
        <v>0</v>
      </c>
      <c r="K131" s="645">
        <v>0</v>
      </c>
      <c r="L131" s="645">
        <v>0</v>
      </c>
      <c r="M131" s="645">
        <v>0</v>
      </c>
      <c r="N131" s="645">
        <v>0</v>
      </c>
      <c r="O131" s="645">
        <v>8102.77</v>
      </c>
      <c r="P131" s="645">
        <v>9680.7199999999993</v>
      </c>
      <c r="Q131" s="645">
        <v>10540.87</v>
      </c>
      <c r="R131" s="645">
        <v>0</v>
      </c>
      <c r="S131" s="645">
        <v>0</v>
      </c>
      <c r="T131" s="645">
        <v>0</v>
      </c>
      <c r="U131" s="645">
        <v>0</v>
      </c>
      <c r="V131" s="645">
        <v>0</v>
      </c>
      <c r="W131" s="645">
        <v>0</v>
      </c>
      <c r="X131" s="645">
        <v>0</v>
      </c>
      <c r="Y131" s="645">
        <v>0</v>
      </c>
      <c r="Z131" s="645">
        <v>0</v>
      </c>
      <c r="AA131" s="641">
        <v>0</v>
      </c>
      <c r="AB131" s="645">
        <v>0</v>
      </c>
      <c r="AC131" s="647">
        <v>28324.36</v>
      </c>
      <c r="AD131" s="647">
        <v>28324.36</v>
      </c>
      <c r="AE131" s="647">
        <v>0</v>
      </c>
      <c r="AF131" s="618">
        <f t="shared" si="6"/>
        <v>4.8817925652646462E-5</v>
      </c>
    </row>
    <row r="132" spans="1:32" x14ac:dyDescent="0.25">
      <c r="A132" s="644" t="s">
        <v>622</v>
      </c>
      <c r="B132" s="656" t="s">
        <v>626</v>
      </c>
      <c r="C132" s="635">
        <f t="shared" si="7"/>
        <v>0</v>
      </c>
      <c r="D132" s="635">
        <f t="shared" si="8"/>
        <v>0</v>
      </c>
      <c r="E132" s="635">
        <f t="shared" si="9"/>
        <v>1055631.93</v>
      </c>
      <c r="F132" s="635">
        <f t="shared" si="10"/>
        <v>992025.40999999992</v>
      </c>
      <c r="G132" s="635">
        <f t="shared" si="11"/>
        <v>2046182.1099999999</v>
      </c>
      <c r="H132" s="645">
        <v>0</v>
      </c>
      <c r="I132" s="645">
        <v>0</v>
      </c>
      <c r="J132" s="645">
        <v>0</v>
      </c>
      <c r="K132" s="645">
        <v>0</v>
      </c>
      <c r="L132" s="645">
        <v>0</v>
      </c>
      <c r="M132" s="645">
        <v>0</v>
      </c>
      <c r="N132" s="645">
        <v>0</v>
      </c>
      <c r="O132" s="645">
        <v>0</v>
      </c>
      <c r="P132" s="645">
        <v>0</v>
      </c>
      <c r="Q132" s="645">
        <v>0</v>
      </c>
      <c r="R132" s="645">
        <v>0</v>
      </c>
      <c r="S132" s="645">
        <v>1055631.93</v>
      </c>
      <c r="T132" s="645">
        <v>0.32000000000698492</v>
      </c>
      <c r="U132" s="645">
        <v>620946.09</v>
      </c>
      <c r="V132" s="645">
        <v>371079</v>
      </c>
      <c r="W132" s="645">
        <v>0</v>
      </c>
      <c r="X132" s="645">
        <v>614663.59</v>
      </c>
      <c r="Y132" s="645">
        <v>0</v>
      </c>
      <c r="Z132" s="646">
        <v>847692.80000000005</v>
      </c>
      <c r="AA132" s="641">
        <v>583825.71999999974</v>
      </c>
      <c r="AB132" s="645">
        <v>0.13999999989755452</v>
      </c>
      <c r="AC132" s="647">
        <v>4093839.45</v>
      </c>
      <c r="AD132" s="647">
        <v>4139585.13</v>
      </c>
      <c r="AE132" s="647">
        <v>45745.68</v>
      </c>
      <c r="AF132" s="618">
        <f t="shared" si="6"/>
        <v>7.0558610999143885E-3</v>
      </c>
    </row>
    <row r="133" spans="1:32" x14ac:dyDescent="0.25">
      <c r="A133" s="644" t="s">
        <v>1230</v>
      </c>
      <c r="B133" s="707" t="s">
        <v>627</v>
      </c>
      <c r="C133" s="635">
        <f t="shared" si="7"/>
        <v>0</v>
      </c>
      <c r="D133" s="635">
        <f t="shared" si="8"/>
        <v>0</v>
      </c>
      <c r="E133" s="635">
        <f t="shared" si="9"/>
        <v>0</v>
      </c>
      <c r="F133" s="635">
        <f t="shared" si="10"/>
        <v>0</v>
      </c>
      <c r="G133" s="635">
        <f t="shared" si="11"/>
        <v>0</v>
      </c>
      <c r="H133" s="645"/>
      <c r="I133" s="645"/>
      <c r="J133" s="645"/>
      <c r="K133" s="645"/>
      <c r="L133" s="645"/>
      <c r="M133" s="645"/>
      <c r="N133" s="645"/>
      <c r="O133" s="645"/>
      <c r="P133" s="645"/>
      <c r="Q133" s="645"/>
      <c r="R133" s="645"/>
      <c r="S133" s="645"/>
      <c r="T133" s="645"/>
      <c r="U133" s="645"/>
      <c r="V133" s="645"/>
      <c r="W133" s="645"/>
      <c r="X133" s="645"/>
      <c r="Y133" s="645"/>
      <c r="Z133" s="646">
        <v>0</v>
      </c>
      <c r="AA133" s="641">
        <v>0</v>
      </c>
      <c r="AB133" s="645">
        <v>0</v>
      </c>
      <c r="AC133" s="647">
        <v>0</v>
      </c>
      <c r="AD133" s="647"/>
      <c r="AE133" s="647">
        <v>0</v>
      </c>
      <c r="AF133" s="618">
        <f t="shared" ref="AF133:AF196" si="12">AC133/$AC$556</f>
        <v>0</v>
      </c>
    </row>
    <row r="134" spans="1:32" x14ac:dyDescent="0.25">
      <c r="A134" s="667" t="s">
        <v>628</v>
      </c>
      <c r="B134" s="665" t="s">
        <v>629</v>
      </c>
      <c r="C134" s="635">
        <f t="shared" ref="C134:C197" si="13">SUM(H134:K134)</f>
        <v>0</v>
      </c>
      <c r="D134" s="635">
        <f t="shared" ref="D134:D197" si="14">SUM(L134:O134)</f>
        <v>0</v>
      </c>
      <c r="E134" s="635">
        <f t="shared" ref="E134:E197" si="15">SUM(P134:S134)</f>
        <v>0</v>
      </c>
      <c r="F134" s="635">
        <f t="shared" ref="F134:F197" si="16">SUM(T134:W134)</f>
        <v>57406.979999999996</v>
      </c>
      <c r="G134" s="635">
        <f t="shared" ref="G134:G197" si="17">SUM(X134:AA134)</f>
        <v>2057159.6260606064</v>
      </c>
      <c r="H134" s="668">
        <v>0</v>
      </c>
      <c r="I134" s="668">
        <v>0</v>
      </c>
      <c r="J134" s="668">
        <v>0</v>
      </c>
      <c r="K134" s="668">
        <v>0</v>
      </c>
      <c r="L134" s="668">
        <v>0</v>
      </c>
      <c r="M134" s="668">
        <v>0</v>
      </c>
      <c r="N134" s="668">
        <v>0</v>
      </c>
      <c r="O134" s="668">
        <v>0</v>
      </c>
      <c r="P134" s="668">
        <v>0</v>
      </c>
      <c r="Q134" s="669">
        <v>0</v>
      </c>
      <c r="R134" s="668">
        <v>0</v>
      </c>
      <c r="S134" s="668">
        <v>0</v>
      </c>
      <c r="T134" s="668">
        <v>0</v>
      </c>
      <c r="U134" s="668">
        <v>14296.31</v>
      </c>
      <c r="V134" s="668">
        <v>43110.67</v>
      </c>
      <c r="W134" s="668">
        <v>0</v>
      </c>
      <c r="X134" s="668">
        <v>86240.25</v>
      </c>
      <c r="Y134" s="668">
        <v>0</v>
      </c>
      <c r="Z134" s="668">
        <v>201978.12</v>
      </c>
      <c r="AA134" s="666">
        <v>1768941.2560606063</v>
      </c>
      <c r="AB134" s="668">
        <v>333801.853939394</v>
      </c>
      <c r="AC134" s="647">
        <v>2114566.6060606064</v>
      </c>
      <c r="AD134" s="647">
        <v>2241788</v>
      </c>
      <c r="AE134" s="647">
        <v>127221.39</v>
      </c>
      <c r="AF134" s="618">
        <f t="shared" si="12"/>
        <v>3.6445220778946338E-3</v>
      </c>
    </row>
    <row r="135" spans="1:32" x14ac:dyDescent="0.25">
      <c r="A135" s="644" t="s">
        <v>630</v>
      </c>
      <c r="B135" s="640" t="s">
        <v>631</v>
      </c>
      <c r="C135" s="635">
        <f t="shared" si="13"/>
        <v>0</v>
      </c>
      <c r="D135" s="635">
        <f t="shared" si="14"/>
        <v>0</v>
      </c>
      <c r="E135" s="635">
        <f t="shared" si="15"/>
        <v>0</v>
      </c>
      <c r="F135" s="635">
        <f t="shared" si="16"/>
        <v>57406.979999999996</v>
      </c>
      <c r="G135" s="635">
        <f t="shared" si="17"/>
        <v>86240.25</v>
      </c>
      <c r="H135" s="648">
        <v>0</v>
      </c>
      <c r="I135" s="648">
        <v>0</v>
      </c>
      <c r="J135" s="648">
        <v>0</v>
      </c>
      <c r="K135" s="648">
        <v>0</v>
      </c>
      <c r="L135" s="648">
        <v>0</v>
      </c>
      <c r="M135" s="648">
        <v>0</v>
      </c>
      <c r="N135" s="648">
        <v>0</v>
      </c>
      <c r="O135" s="648">
        <v>0</v>
      </c>
      <c r="P135" s="648">
        <v>0</v>
      </c>
      <c r="Q135" s="648">
        <v>0</v>
      </c>
      <c r="R135" s="648">
        <v>0</v>
      </c>
      <c r="S135" s="648">
        <v>0</v>
      </c>
      <c r="T135" s="648">
        <v>0</v>
      </c>
      <c r="U135" s="648">
        <v>14296.31</v>
      </c>
      <c r="V135" s="648">
        <v>43110.67</v>
      </c>
      <c r="W135" s="648">
        <v>0</v>
      </c>
      <c r="X135" s="648">
        <v>86240.25</v>
      </c>
      <c r="Y135" s="648">
        <v>0</v>
      </c>
      <c r="Z135" s="657">
        <v>0</v>
      </c>
      <c r="AA135" s="641">
        <v>0</v>
      </c>
      <c r="AB135" s="648">
        <v>143376.76999999999</v>
      </c>
      <c r="AC135" s="647">
        <v>143647.23000000001</v>
      </c>
      <c r="AD135" s="647">
        <v>294780</v>
      </c>
      <c r="AE135" s="647">
        <v>151132.76999999999</v>
      </c>
      <c r="AF135" s="618">
        <f t="shared" si="12"/>
        <v>2.4758052059600311E-4</v>
      </c>
    </row>
    <row r="136" spans="1:32" x14ac:dyDescent="0.25">
      <c r="A136" s="702" t="s">
        <v>1284</v>
      </c>
      <c r="B136" s="640" t="s">
        <v>632</v>
      </c>
      <c r="C136" s="635">
        <f t="shared" si="13"/>
        <v>0</v>
      </c>
      <c r="D136" s="635">
        <f t="shared" si="14"/>
        <v>0</v>
      </c>
      <c r="E136" s="635">
        <f t="shared" si="15"/>
        <v>0</v>
      </c>
      <c r="F136" s="635">
        <f t="shared" si="16"/>
        <v>0</v>
      </c>
      <c r="G136" s="635">
        <f t="shared" si="17"/>
        <v>13543.65</v>
      </c>
      <c r="H136" s="648">
        <v>0</v>
      </c>
      <c r="I136" s="648">
        <v>0</v>
      </c>
      <c r="J136" s="648">
        <v>0</v>
      </c>
      <c r="K136" s="648">
        <v>0</v>
      </c>
      <c r="L136" s="648">
        <v>0</v>
      </c>
      <c r="M136" s="648">
        <v>0</v>
      </c>
      <c r="N136" s="648">
        <v>0</v>
      </c>
      <c r="O136" s="648">
        <v>0</v>
      </c>
      <c r="P136" s="648">
        <v>0</v>
      </c>
      <c r="Q136" s="648">
        <v>0</v>
      </c>
      <c r="R136" s="648">
        <v>0</v>
      </c>
      <c r="S136" s="648">
        <v>0</v>
      </c>
      <c r="T136" s="648">
        <v>0</v>
      </c>
      <c r="U136" s="648">
        <v>0</v>
      </c>
      <c r="V136" s="648">
        <v>0</v>
      </c>
      <c r="W136" s="648">
        <v>0</v>
      </c>
      <c r="X136" s="648">
        <v>0</v>
      </c>
      <c r="Y136" s="648">
        <v>0</v>
      </c>
      <c r="Z136" s="648">
        <v>0</v>
      </c>
      <c r="AA136" s="641">
        <v>13543.65</v>
      </c>
      <c r="AB136" s="648">
        <v>0</v>
      </c>
      <c r="AC136" s="647">
        <v>13543.65</v>
      </c>
      <c r="AD136" s="647">
        <v>71624</v>
      </c>
      <c r="AE136" s="647">
        <v>58080.35</v>
      </c>
      <c r="AF136" s="618">
        <f t="shared" si="12"/>
        <v>2.3342906910004859E-5</v>
      </c>
    </row>
    <row r="137" spans="1:32" x14ac:dyDescent="0.25">
      <c r="A137" s="702" t="s">
        <v>633</v>
      </c>
      <c r="B137" s="640" t="s">
        <v>634</v>
      </c>
      <c r="C137" s="635">
        <f t="shared" si="13"/>
        <v>0</v>
      </c>
      <c r="D137" s="635">
        <f t="shared" si="14"/>
        <v>0</v>
      </c>
      <c r="E137" s="635">
        <f t="shared" si="15"/>
        <v>0</v>
      </c>
      <c r="F137" s="635">
        <f t="shared" si="16"/>
        <v>0</v>
      </c>
      <c r="G137" s="635">
        <f t="shared" si="17"/>
        <v>1411755.5099999998</v>
      </c>
      <c r="H137" s="648"/>
      <c r="I137" s="648"/>
      <c r="J137" s="648"/>
      <c r="K137" s="648"/>
      <c r="L137" s="648"/>
      <c r="M137" s="648"/>
      <c r="N137" s="648"/>
      <c r="O137" s="648"/>
      <c r="P137" s="648"/>
      <c r="Q137" s="648"/>
      <c r="R137" s="648"/>
      <c r="S137" s="648"/>
      <c r="T137" s="648"/>
      <c r="U137" s="648"/>
      <c r="V137" s="648"/>
      <c r="W137" s="648"/>
      <c r="X137" s="648"/>
      <c r="Y137" s="648">
        <v>0</v>
      </c>
      <c r="Z137" s="648">
        <v>201978.12</v>
      </c>
      <c r="AA137" s="641">
        <v>1209777.3899999999</v>
      </c>
      <c r="AB137" s="648">
        <v>65019.979999999981</v>
      </c>
      <c r="AC137" s="647">
        <v>1411755.5099999998</v>
      </c>
      <c r="AD137" s="647">
        <v>1325384</v>
      </c>
      <c r="AE137" s="647">
        <v>-86371.51</v>
      </c>
      <c r="AF137" s="618">
        <f t="shared" si="12"/>
        <v>2.4332050407103278E-3</v>
      </c>
    </row>
    <row r="138" spans="1:32" x14ac:dyDescent="0.25">
      <c r="A138" s="702" t="s">
        <v>635</v>
      </c>
      <c r="B138" s="640" t="s">
        <v>636</v>
      </c>
      <c r="C138" s="635">
        <f t="shared" si="13"/>
        <v>0</v>
      </c>
      <c r="D138" s="635">
        <f t="shared" si="14"/>
        <v>0</v>
      </c>
      <c r="E138" s="635">
        <f t="shared" si="15"/>
        <v>0</v>
      </c>
      <c r="F138" s="635">
        <f t="shared" si="16"/>
        <v>0</v>
      </c>
      <c r="G138" s="635">
        <f t="shared" si="17"/>
        <v>545620.21606060606</v>
      </c>
      <c r="H138" s="648"/>
      <c r="I138" s="648"/>
      <c r="J138" s="648"/>
      <c r="K138" s="648"/>
      <c r="L138" s="648"/>
      <c r="M138" s="648"/>
      <c r="N138" s="648"/>
      <c r="O138" s="648"/>
      <c r="P138" s="648"/>
      <c r="Q138" s="648"/>
      <c r="R138" s="648"/>
      <c r="S138" s="648"/>
      <c r="T138" s="648"/>
      <c r="U138" s="648"/>
      <c r="V138" s="648"/>
      <c r="W138" s="648"/>
      <c r="X138" s="648"/>
      <c r="Y138" s="648">
        <v>0</v>
      </c>
      <c r="Z138" s="648">
        <v>0</v>
      </c>
      <c r="AA138" s="641">
        <v>545620.21606060606</v>
      </c>
      <c r="AB138" s="648">
        <v>125405.103939394</v>
      </c>
      <c r="AC138" s="647">
        <v>545620.21606060606</v>
      </c>
      <c r="AD138" s="647">
        <v>550000</v>
      </c>
      <c r="AE138" s="647">
        <v>4379.78</v>
      </c>
      <c r="AF138" s="618">
        <f t="shared" si="12"/>
        <v>9.4039360967829698E-4</v>
      </c>
    </row>
    <row r="139" spans="1:32" x14ac:dyDescent="0.25">
      <c r="A139" s="667" t="s">
        <v>637</v>
      </c>
      <c r="B139" s="665" t="s">
        <v>638</v>
      </c>
      <c r="C139" s="635">
        <f t="shared" si="13"/>
        <v>0</v>
      </c>
      <c r="D139" s="635">
        <f t="shared" si="14"/>
        <v>0</v>
      </c>
      <c r="E139" s="635">
        <f t="shared" si="15"/>
        <v>0</v>
      </c>
      <c r="F139" s="635">
        <f t="shared" si="16"/>
        <v>49441.05</v>
      </c>
      <c r="G139" s="635">
        <f t="shared" si="17"/>
        <v>91953.95</v>
      </c>
      <c r="H139" s="668">
        <v>0</v>
      </c>
      <c r="I139" s="668">
        <v>0</v>
      </c>
      <c r="J139" s="668">
        <v>0</v>
      </c>
      <c r="K139" s="668">
        <v>0</v>
      </c>
      <c r="L139" s="668">
        <v>0</v>
      </c>
      <c r="M139" s="668">
        <v>0</v>
      </c>
      <c r="N139" s="668">
        <v>0</v>
      </c>
      <c r="O139" s="668">
        <v>0</v>
      </c>
      <c r="P139" s="668">
        <v>0</v>
      </c>
      <c r="Q139" s="669">
        <v>0</v>
      </c>
      <c r="R139" s="668">
        <v>0</v>
      </c>
      <c r="S139" s="668">
        <v>0</v>
      </c>
      <c r="T139" s="668">
        <v>0</v>
      </c>
      <c r="U139" s="668">
        <v>0</v>
      </c>
      <c r="V139" s="668">
        <v>21654.05</v>
      </c>
      <c r="W139" s="668">
        <v>27787</v>
      </c>
      <c r="X139" s="668">
        <v>28849.26</v>
      </c>
      <c r="Y139" s="668">
        <v>0</v>
      </c>
      <c r="Z139" s="668">
        <v>0</v>
      </c>
      <c r="AA139" s="666">
        <v>63104.69</v>
      </c>
      <c r="AB139" s="668">
        <v>0</v>
      </c>
      <c r="AC139" s="647">
        <v>141395</v>
      </c>
      <c r="AD139" s="647">
        <v>141395</v>
      </c>
      <c r="AE139" s="647">
        <v>0</v>
      </c>
      <c r="AF139" s="618">
        <f t="shared" si="12"/>
        <v>2.4369873132723728E-4</v>
      </c>
    </row>
    <row r="140" spans="1:32" x14ac:dyDescent="0.25">
      <c r="A140" s="702" t="s">
        <v>639</v>
      </c>
      <c r="B140" s="656" t="s">
        <v>638</v>
      </c>
      <c r="C140" s="635">
        <f t="shared" si="13"/>
        <v>0</v>
      </c>
      <c r="D140" s="635">
        <f t="shared" si="14"/>
        <v>0</v>
      </c>
      <c r="E140" s="635">
        <f t="shared" si="15"/>
        <v>0</v>
      </c>
      <c r="F140" s="635">
        <f t="shared" si="16"/>
        <v>49441.05</v>
      </c>
      <c r="G140" s="635">
        <f t="shared" si="17"/>
        <v>91953.95</v>
      </c>
      <c r="H140" s="648">
        <v>0</v>
      </c>
      <c r="I140" s="648">
        <v>0</v>
      </c>
      <c r="J140" s="648">
        <v>0</v>
      </c>
      <c r="K140" s="648">
        <v>0</v>
      </c>
      <c r="L140" s="648">
        <v>0</v>
      </c>
      <c r="M140" s="648">
        <v>0</v>
      </c>
      <c r="N140" s="648">
        <v>0</v>
      </c>
      <c r="O140" s="648">
        <v>0</v>
      </c>
      <c r="P140" s="648">
        <v>0</v>
      </c>
      <c r="Q140" s="648">
        <v>0</v>
      </c>
      <c r="R140" s="648">
        <v>0</v>
      </c>
      <c r="S140" s="648">
        <v>0</v>
      </c>
      <c r="T140" s="648">
        <v>0</v>
      </c>
      <c r="U140" s="648">
        <v>0</v>
      </c>
      <c r="V140" s="648">
        <v>21654.05</v>
      </c>
      <c r="W140" s="648">
        <v>27787</v>
      </c>
      <c r="X140" s="648">
        <v>28849.26</v>
      </c>
      <c r="Y140" s="648">
        <v>0</v>
      </c>
      <c r="Z140" s="657">
        <v>0</v>
      </c>
      <c r="AA140" s="641">
        <v>63104.69</v>
      </c>
      <c r="AB140" s="648">
        <v>0</v>
      </c>
      <c r="AC140" s="647">
        <v>141395</v>
      </c>
      <c r="AD140" s="647">
        <v>141395</v>
      </c>
      <c r="AE140" s="647">
        <v>0</v>
      </c>
      <c r="AF140" s="618">
        <f t="shared" si="12"/>
        <v>2.4369873132723728E-4</v>
      </c>
    </row>
    <row r="141" spans="1:32" x14ac:dyDescent="0.25">
      <c r="A141" s="667" t="s">
        <v>640</v>
      </c>
      <c r="B141" s="665" t="s">
        <v>641</v>
      </c>
      <c r="C141" s="635">
        <f t="shared" si="13"/>
        <v>0</v>
      </c>
      <c r="D141" s="635">
        <f t="shared" si="14"/>
        <v>1929164.99</v>
      </c>
      <c r="E141" s="635">
        <f t="shared" si="15"/>
        <v>815748.33000000007</v>
      </c>
      <c r="F141" s="635">
        <f t="shared" si="16"/>
        <v>526860.42999999993</v>
      </c>
      <c r="G141" s="635">
        <f t="shared" si="17"/>
        <v>1769745.3345454545</v>
      </c>
      <c r="H141" s="668">
        <v>0</v>
      </c>
      <c r="I141" s="668">
        <v>0</v>
      </c>
      <c r="J141" s="668">
        <v>0</v>
      </c>
      <c r="K141" s="668">
        <v>0</v>
      </c>
      <c r="L141" s="668">
        <v>0</v>
      </c>
      <c r="M141" s="668">
        <v>883606.02</v>
      </c>
      <c r="N141" s="668">
        <v>63345</v>
      </c>
      <c r="O141" s="668">
        <v>982213.97</v>
      </c>
      <c r="P141" s="668">
        <v>0</v>
      </c>
      <c r="Q141" s="669">
        <v>815748.33000000007</v>
      </c>
      <c r="R141" s="668">
        <v>0</v>
      </c>
      <c r="S141" s="668">
        <v>0</v>
      </c>
      <c r="T141" s="668">
        <v>1186.17</v>
      </c>
      <c r="U141" s="668">
        <v>238288.78</v>
      </c>
      <c r="V141" s="668">
        <v>123056.62</v>
      </c>
      <c r="W141" s="668">
        <v>164328.85999999999</v>
      </c>
      <c r="X141" s="668">
        <v>0</v>
      </c>
      <c r="Y141" s="668">
        <v>206558.36</v>
      </c>
      <c r="Z141" s="668">
        <v>332797.03000000003</v>
      </c>
      <c r="AA141" s="666">
        <v>1230389.9445454543</v>
      </c>
      <c r="AB141" s="668">
        <v>284150.42545454536</v>
      </c>
      <c r="AC141" s="647">
        <v>5041474.7845454542</v>
      </c>
      <c r="AD141" s="647">
        <v>5339734.2699999996</v>
      </c>
      <c r="AE141" s="647">
        <v>298259.49</v>
      </c>
      <c r="AF141" s="618">
        <f t="shared" si="12"/>
        <v>8.6891404152338071E-3</v>
      </c>
    </row>
    <row r="142" spans="1:32" x14ac:dyDescent="0.25">
      <c r="A142" s="639" t="s">
        <v>642</v>
      </c>
      <c r="B142" s="640" t="s">
        <v>643</v>
      </c>
      <c r="C142" s="635">
        <f t="shared" si="13"/>
        <v>0</v>
      </c>
      <c r="D142" s="635">
        <f t="shared" si="14"/>
        <v>0</v>
      </c>
      <c r="E142" s="635">
        <f t="shared" si="15"/>
        <v>218390.18</v>
      </c>
      <c r="F142" s="635">
        <f t="shared" si="16"/>
        <v>401956.53</v>
      </c>
      <c r="G142" s="635">
        <f t="shared" si="17"/>
        <v>893869.7333333334</v>
      </c>
      <c r="H142" s="648">
        <v>0</v>
      </c>
      <c r="I142" s="648">
        <v>0</v>
      </c>
      <c r="J142" s="648">
        <v>0</v>
      </c>
      <c r="K142" s="648">
        <v>0</v>
      </c>
      <c r="L142" s="648">
        <v>0</v>
      </c>
      <c r="M142" s="648">
        <v>0</v>
      </c>
      <c r="N142" s="648">
        <v>0</v>
      </c>
      <c r="O142" s="648">
        <v>0</v>
      </c>
      <c r="P142" s="648">
        <v>0</v>
      </c>
      <c r="Q142" s="648">
        <v>218390.18</v>
      </c>
      <c r="R142" s="648">
        <v>0</v>
      </c>
      <c r="S142" s="648">
        <v>0</v>
      </c>
      <c r="T142" s="648">
        <v>0</v>
      </c>
      <c r="U142" s="648">
        <v>178155.54</v>
      </c>
      <c r="V142" s="648">
        <v>122608.61</v>
      </c>
      <c r="W142" s="648">
        <v>101192.38</v>
      </c>
      <c r="X142" s="648">
        <v>0</v>
      </c>
      <c r="Y142" s="648">
        <v>206558.36</v>
      </c>
      <c r="Z142" s="657">
        <v>196941.79</v>
      </c>
      <c r="AA142" s="641">
        <v>490369.58333333331</v>
      </c>
      <c r="AB142" s="648">
        <v>-2.3333333316259086E-2</v>
      </c>
      <c r="AC142" s="647">
        <v>1514216.4433333334</v>
      </c>
      <c r="AD142" s="647">
        <v>1527955.75</v>
      </c>
      <c r="AE142" s="647">
        <v>13739.31</v>
      </c>
      <c r="AF142" s="618">
        <f t="shared" si="12"/>
        <v>2.6097996831229878E-3</v>
      </c>
    </row>
    <row r="143" spans="1:32" x14ac:dyDescent="0.25">
      <c r="A143" s="639" t="s">
        <v>644</v>
      </c>
      <c r="B143" s="640" t="s">
        <v>645</v>
      </c>
      <c r="C143" s="635">
        <f t="shared" si="13"/>
        <v>0</v>
      </c>
      <c r="D143" s="635">
        <f t="shared" si="14"/>
        <v>0</v>
      </c>
      <c r="E143" s="635">
        <f t="shared" si="15"/>
        <v>0</v>
      </c>
      <c r="F143" s="635">
        <f t="shared" si="16"/>
        <v>61550.38</v>
      </c>
      <c r="G143" s="635">
        <f t="shared" si="17"/>
        <v>875875.6012121212</v>
      </c>
      <c r="H143" s="648">
        <v>0</v>
      </c>
      <c r="I143" s="648">
        <v>0</v>
      </c>
      <c r="J143" s="648">
        <v>0</v>
      </c>
      <c r="K143" s="648">
        <v>0</v>
      </c>
      <c r="L143" s="648">
        <v>0</v>
      </c>
      <c r="M143" s="648">
        <v>0</v>
      </c>
      <c r="N143" s="648">
        <v>0</v>
      </c>
      <c r="O143" s="648">
        <v>0</v>
      </c>
      <c r="P143" s="648">
        <v>0</v>
      </c>
      <c r="Q143" s="648">
        <v>0</v>
      </c>
      <c r="R143" s="648">
        <v>0</v>
      </c>
      <c r="S143" s="648">
        <v>0</v>
      </c>
      <c r="T143" s="648">
        <v>1186.17</v>
      </c>
      <c r="U143" s="648">
        <v>60133.24</v>
      </c>
      <c r="V143" s="648">
        <v>448.01000000000005</v>
      </c>
      <c r="W143" s="648">
        <v>-217.04</v>
      </c>
      <c r="X143" s="648">
        <v>0</v>
      </c>
      <c r="Y143" s="648">
        <v>0</v>
      </c>
      <c r="Z143" s="657">
        <v>135855.24</v>
      </c>
      <c r="AA143" s="641">
        <v>740020.36121212121</v>
      </c>
      <c r="AB143" s="648">
        <v>104650.3187878788</v>
      </c>
      <c r="AC143" s="647">
        <v>937381.68121212116</v>
      </c>
      <c r="AD143" s="647">
        <v>981439.66999999993</v>
      </c>
      <c r="AE143" s="647">
        <v>44057.99</v>
      </c>
      <c r="AF143" s="618">
        <f t="shared" si="12"/>
        <v>1.6156068211802873E-3</v>
      </c>
    </row>
    <row r="144" spans="1:32" x14ac:dyDescent="0.25">
      <c r="A144" s="689" t="s">
        <v>646</v>
      </c>
      <c r="B144" s="640" t="s">
        <v>647</v>
      </c>
      <c r="C144" s="635">
        <f t="shared" si="13"/>
        <v>0</v>
      </c>
      <c r="D144" s="635">
        <f t="shared" si="14"/>
        <v>63345</v>
      </c>
      <c r="E144" s="635">
        <f t="shared" si="15"/>
        <v>0</v>
      </c>
      <c r="F144" s="635">
        <f t="shared" si="16"/>
        <v>0</v>
      </c>
      <c r="G144" s="635">
        <f t="shared" si="17"/>
        <v>0</v>
      </c>
      <c r="H144" s="648">
        <v>0</v>
      </c>
      <c r="I144" s="648">
        <v>0</v>
      </c>
      <c r="J144" s="648">
        <v>0</v>
      </c>
      <c r="K144" s="648">
        <v>0</v>
      </c>
      <c r="L144" s="648">
        <v>0</v>
      </c>
      <c r="M144" s="648">
        <v>0</v>
      </c>
      <c r="N144" s="648">
        <v>63345</v>
      </c>
      <c r="O144" s="648">
        <v>0</v>
      </c>
      <c r="P144" s="648">
        <v>0</v>
      </c>
      <c r="Q144" s="648">
        <v>0</v>
      </c>
      <c r="R144" s="648">
        <v>0</v>
      </c>
      <c r="S144" s="648">
        <v>0</v>
      </c>
      <c r="T144" s="648">
        <v>0</v>
      </c>
      <c r="U144" s="648">
        <v>0</v>
      </c>
      <c r="V144" s="648">
        <v>0</v>
      </c>
      <c r="W144" s="648">
        <v>0</v>
      </c>
      <c r="X144" s="648">
        <v>0</v>
      </c>
      <c r="Y144" s="648">
        <v>0</v>
      </c>
      <c r="Z144" s="648">
        <v>0</v>
      </c>
      <c r="AA144" s="641">
        <v>0</v>
      </c>
      <c r="AB144" s="648">
        <v>0</v>
      </c>
      <c r="AC144" s="647">
        <v>63345</v>
      </c>
      <c r="AD144" s="647">
        <v>63345</v>
      </c>
      <c r="AE144" s="647">
        <v>0</v>
      </c>
      <c r="AF144" s="618">
        <f t="shared" si="12"/>
        <v>1.0917710057586086E-4</v>
      </c>
    </row>
    <row r="145" spans="1:32" x14ac:dyDescent="0.25">
      <c r="A145" s="639" t="s">
        <v>648</v>
      </c>
      <c r="B145" s="640" t="s">
        <v>649</v>
      </c>
      <c r="C145" s="635">
        <f t="shared" si="13"/>
        <v>0</v>
      </c>
      <c r="D145" s="635">
        <f t="shared" si="14"/>
        <v>1865819.99</v>
      </c>
      <c r="E145" s="635">
        <f t="shared" si="15"/>
        <v>597358.15</v>
      </c>
      <c r="F145" s="635">
        <f t="shared" si="16"/>
        <v>63353.52</v>
      </c>
      <c r="G145" s="635">
        <f t="shared" si="17"/>
        <v>0</v>
      </c>
      <c r="H145" s="648">
        <v>0</v>
      </c>
      <c r="I145" s="648">
        <v>0</v>
      </c>
      <c r="J145" s="648">
        <v>0</v>
      </c>
      <c r="K145" s="648">
        <v>0</v>
      </c>
      <c r="L145" s="648">
        <v>0</v>
      </c>
      <c r="M145" s="648">
        <v>883606.02</v>
      </c>
      <c r="N145" s="648">
        <v>0</v>
      </c>
      <c r="O145" s="648">
        <v>982213.97</v>
      </c>
      <c r="P145" s="648">
        <v>0</v>
      </c>
      <c r="Q145" s="648">
        <v>597358.15</v>
      </c>
      <c r="R145" s="648">
        <v>0</v>
      </c>
      <c r="S145" s="648">
        <v>0</v>
      </c>
      <c r="T145" s="648">
        <v>0</v>
      </c>
      <c r="U145" s="648">
        <v>0</v>
      </c>
      <c r="V145" s="648">
        <v>0</v>
      </c>
      <c r="W145" s="648">
        <v>63353.52</v>
      </c>
      <c r="X145" s="648">
        <v>0</v>
      </c>
      <c r="Y145" s="648">
        <v>0</v>
      </c>
      <c r="Z145" s="648">
        <v>0</v>
      </c>
      <c r="AA145" s="641">
        <v>0</v>
      </c>
      <c r="AB145" s="648">
        <v>179500.12999999989</v>
      </c>
      <c r="AC145" s="647">
        <v>2526531.66</v>
      </c>
      <c r="AD145" s="647">
        <v>2766993.85</v>
      </c>
      <c r="AE145" s="647">
        <v>240462.19</v>
      </c>
      <c r="AF145" s="618">
        <f t="shared" si="12"/>
        <v>4.3545568103546721E-3</v>
      </c>
    </row>
    <row r="146" spans="1:32" x14ac:dyDescent="0.25">
      <c r="A146" s="658" t="s">
        <v>481</v>
      </c>
      <c r="B146" s="659">
        <v>0</v>
      </c>
      <c r="C146" s="635">
        <f t="shared" si="13"/>
        <v>0</v>
      </c>
      <c r="D146" s="635">
        <f t="shared" si="14"/>
        <v>0</v>
      </c>
      <c r="E146" s="635">
        <f t="shared" si="15"/>
        <v>0</v>
      </c>
      <c r="F146" s="635">
        <f t="shared" si="16"/>
        <v>0</v>
      </c>
      <c r="G146" s="635">
        <f t="shared" si="17"/>
        <v>0</v>
      </c>
      <c r="H146" s="660">
        <v>0</v>
      </c>
      <c r="I146" s="660">
        <v>0</v>
      </c>
      <c r="J146" s="660">
        <v>0</v>
      </c>
      <c r="K146" s="660">
        <v>0</v>
      </c>
      <c r="L146" s="660">
        <v>0</v>
      </c>
      <c r="M146" s="660">
        <v>0</v>
      </c>
      <c r="N146" s="660">
        <v>0</v>
      </c>
      <c r="O146" s="660">
        <v>0</v>
      </c>
      <c r="P146" s="660">
        <v>0</v>
      </c>
      <c r="Q146" s="660">
        <v>0</v>
      </c>
      <c r="R146" s="660">
        <v>0</v>
      </c>
      <c r="S146" s="660">
        <v>0</v>
      </c>
      <c r="T146" s="660">
        <v>0</v>
      </c>
      <c r="U146" s="660">
        <v>0</v>
      </c>
      <c r="V146" s="660">
        <v>0</v>
      </c>
      <c r="W146" s="660">
        <v>0</v>
      </c>
      <c r="X146" s="660">
        <v>0</v>
      </c>
      <c r="Y146" s="660">
        <v>0</v>
      </c>
      <c r="Z146" s="660">
        <v>0</v>
      </c>
      <c r="AA146" s="661">
        <v>0</v>
      </c>
      <c r="AB146" s="660"/>
      <c r="AC146" s="647">
        <v>-12000000</v>
      </c>
      <c r="AD146" s="647">
        <v>-12000000</v>
      </c>
      <c r="AE146" s="643">
        <v>0</v>
      </c>
      <c r="AF146" s="618">
        <f t="shared" si="12"/>
        <v>-2.0682377565874658E-2</v>
      </c>
    </row>
    <row r="147" spans="1:32" ht="25.5" x14ac:dyDescent="0.25">
      <c r="A147" s="658" t="s">
        <v>482</v>
      </c>
      <c r="B147" s="659">
        <v>0</v>
      </c>
      <c r="C147" s="635">
        <f t="shared" si="13"/>
        <v>0</v>
      </c>
      <c r="D147" s="635">
        <f t="shared" si="14"/>
        <v>0</v>
      </c>
      <c r="E147" s="635">
        <f t="shared" si="15"/>
        <v>0</v>
      </c>
      <c r="F147" s="635">
        <f t="shared" si="16"/>
        <v>0</v>
      </c>
      <c r="G147" s="635">
        <f t="shared" si="17"/>
        <v>0</v>
      </c>
      <c r="H147" s="660">
        <v>0</v>
      </c>
      <c r="I147" s="660">
        <v>0</v>
      </c>
      <c r="J147" s="660">
        <v>0</v>
      </c>
      <c r="K147" s="660">
        <v>0</v>
      </c>
      <c r="L147" s="660">
        <v>0</v>
      </c>
      <c r="M147" s="660">
        <v>0</v>
      </c>
      <c r="N147" s="660">
        <v>0</v>
      </c>
      <c r="O147" s="660">
        <v>0</v>
      </c>
      <c r="P147" s="660">
        <v>0</v>
      </c>
      <c r="Q147" s="660">
        <v>0</v>
      </c>
      <c r="R147" s="660">
        <v>0</v>
      </c>
      <c r="S147" s="660">
        <v>0</v>
      </c>
      <c r="T147" s="660">
        <v>0</v>
      </c>
      <c r="U147" s="660">
        <v>0</v>
      </c>
      <c r="V147" s="660">
        <v>0</v>
      </c>
      <c r="W147" s="660">
        <v>0</v>
      </c>
      <c r="X147" s="660">
        <v>0</v>
      </c>
      <c r="Y147" s="660">
        <v>0</v>
      </c>
      <c r="Z147" s="660">
        <v>0</v>
      </c>
      <c r="AA147" s="661">
        <v>0</v>
      </c>
      <c r="AB147" s="660">
        <v>165738.84</v>
      </c>
      <c r="AC147" s="647">
        <v>0</v>
      </c>
      <c r="AD147" s="647">
        <v>0</v>
      </c>
      <c r="AE147" s="643">
        <v>0</v>
      </c>
      <c r="AF147" s="618">
        <f t="shared" si="12"/>
        <v>0</v>
      </c>
    </row>
    <row r="148" spans="1:32" x14ac:dyDescent="0.25">
      <c r="A148" s="658" t="s">
        <v>483</v>
      </c>
      <c r="B148" s="659">
        <v>0</v>
      </c>
      <c r="C148" s="635">
        <f t="shared" si="13"/>
        <v>0</v>
      </c>
      <c r="D148" s="635">
        <f t="shared" si="14"/>
        <v>0</v>
      </c>
      <c r="E148" s="635">
        <f t="shared" si="15"/>
        <v>0</v>
      </c>
      <c r="F148" s="635">
        <f t="shared" si="16"/>
        <v>0</v>
      </c>
      <c r="G148" s="635">
        <f t="shared" si="17"/>
        <v>0</v>
      </c>
      <c r="H148" s="660">
        <v>0</v>
      </c>
      <c r="I148" s="660">
        <v>0</v>
      </c>
      <c r="J148" s="660">
        <v>0</v>
      </c>
      <c r="K148" s="660">
        <v>0</v>
      </c>
      <c r="L148" s="660">
        <v>0</v>
      </c>
      <c r="M148" s="660">
        <v>0</v>
      </c>
      <c r="N148" s="660">
        <v>0</v>
      </c>
      <c r="O148" s="660">
        <v>0</v>
      </c>
      <c r="P148" s="660">
        <v>0</v>
      </c>
      <c r="Q148" s="660">
        <v>0</v>
      </c>
      <c r="R148" s="660">
        <v>0</v>
      </c>
      <c r="S148" s="660">
        <v>0</v>
      </c>
      <c r="T148" s="660">
        <v>0</v>
      </c>
      <c r="U148" s="660">
        <v>0</v>
      </c>
      <c r="V148" s="660">
        <v>0</v>
      </c>
      <c r="W148" s="660">
        <v>0</v>
      </c>
      <c r="X148" s="660">
        <v>0</v>
      </c>
      <c r="Y148" s="660">
        <v>0</v>
      </c>
      <c r="Z148" s="660">
        <v>0</v>
      </c>
      <c r="AA148" s="661"/>
      <c r="AB148" s="660"/>
      <c r="AC148" s="647"/>
      <c r="AD148" s="647">
        <v>2693493.03</v>
      </c>
      <c r="AE148" s="643"/>
      <c r="AF148" s="618">
        <f t="shared" si="12"/>
        <v>0</v>
      </c>
    </row>
    <row r="149" spans="1:32" x14ac:dyDescent="0.25">
      <c r="A149" s="634" t="s">
        <v>650</v>
      </c>
      <c r="B149" s="701" t="s">
        <v>651</v>
      </c>
      <c r="C149" s="635">
        <f t="shared" si="13"/>
        <v>277937.29341041902</v>
      </c>
      <c r="D149" s="635">
        <f t="shared" si="14"/>
        <v>833550.31</v>
      </c>
      <c r="E149" s="635">
        <f t="shared" si="15"/>
        <v>1501440.25</v>
      </c>
      <c r="F149" s="635">
        <f t="shared" si="16"/>
        <v>11366728.16</v>
      </c>
      <c r="G149" s="635">
        <f t="shared" si="17"/>
        <v>12578359.780000001</v>
      </c>
      <c r="H149" s="662">
        <v>0</v>
      </c>
      <c r="I149" s="662">
        <v>0</v>
      </c>
      <c r="J149" s="662">
        <v>140934.113410419</v>
      </c>
      <c r="K149" s="662">
        <v>137003.18</v>
      </c>
      <c r="L149" s="662">
        <v>2717</v>
      </c>
      <c r="M149" s="662">
        <v>150790.03</v>
      </c>
      <c r="N149" s="662">
        <v>354360.6</v>
      </c>
      <c r="O149" s="662">
        <v>325682.68</v>
      </c>
      <c r="P149" s="662">
        <v>253675.6</v>
      </c>
      <c r="Q149" s="663">
        <v>356730.21</v>
      </c>
      <c r="R149" s="662">
        <v>4640.7</v>
      </c>
      <c r="S149" s="662">
        <v>886393.74</v>
      </c>
      <c r="T149" s="662">
        <v>1994928.62</v>
      </c>
      <c r="U149" s="662">
        <v>4370057.4800000004</v>
      </c>
      <c r="V149" s="662">
        <v>2968987.7800000003</v>
      </c>
      <c r="W149" s="662">
        <v>2032754.2799999998</v>
      </c>
      <c r="X149" s="662">
        <v>3124824.9499999997</v>
      </c>
      <c r="Y149" s="662">
        <v>4821929.1399999997</v>
      </c>
      <c r="Z149" s="662">
        <v>4631605.6900000004</v>
      </c>
      <c r="AA149" s="636"/>
      <c r="AB149" s="662">
        <v>3833440.0636145519</v>
      </c>
      <c r="AC149" s="638"/>
      <c r="AD149" s="662">
        <v>43961951.07</v>
      </c>
      <c r="AE149" s="638"/>
      <c r="AF149" s="618">
        <f t="shared" si="12"/>
        <v>0</v>
      </c>
    </row>
    <row r="150" spans="1:32" x14ac:dyDescent="0.25">
      <c r="A150" s="664" t="s">
        <v>652</v>
      </c>
      <c r="B150" s="665" t="s">
        <v>653</v>
      </c>
      <c r="C150" s="635">
        <f t="shared" si="13"/>
        <v>277937.29341041902</v>
      </c>
      <c r="D150" s="635">
        <f t="shared" si="14"/>
        <v>833550.31</v>
      </c>
      <c r="E150" s="635">
        <f t="shared" si="15"/>
        <v>1430293.47</v>
      </c>
      <c r="F150" s="635">
        <f t="shared" si="16"/>
        <v>11177582.559999999</v>
      </c>
      <c r="G150" s="635">
        <f t="shared" si="17"/>
        <v>25621807.797293808</v>
      </c>
      <c r="H150" s="668">
        <v>0</v>
      </c>
      <c r="I150" s="668">
        <v>0</v>
      </c>
      <c r="J150" s="668">
        <v>140934.113410419</v>
      </c>
      <c r="K150" s="668">
        <v>137003.18</v>
      </c>
      <c r="L150" s="668">
        <v>2717</v>
      </c>
      <c r="M150" s="668">
        <v>150790.03</v>
      </c>
      <c r="N150" s="668">
        <v>354360.6</v>
      </c>
      <c r="O150" s="668">
        <v>325682.68</v>
      </c>
      <c r="P150" s="668">
        <v>182528.82</v>
      </c>
      <c r="Q150" s="669">
        <v>356730.21</v>
      </c>
      <c r="R150" s="668">
        <v>4640.7</v>
      </c>
      <c r="S150" s="668">
        <v>886393.74</v>
      </c>
      <c r="T150" s="668">
        <v>1994928.62</v>
      </c>
      <c r="U150" s="668">
        <v>4309260.879999999</v>
      </c>
      <c r="V150" s="668">
        <v>2897789.34</v>
      </c>
      <c r="W150" s="668">
        <v>1975603.7199999997</v>
      </c>
      <c r="X150" s="668">
        <v>3107414.5999999996</v>
      </c>
      <c r="Y150" s="668">
        <v>4779833.37</v>
      </c>
      <c r="Z150" s="668">
        <v>4605808.0100000007</v>
      </c>
      <c r="AA150" s="666">
        <v>13128751.817293808</v>
      </c>
      <c r="AB150" s="668">
        <v>713091.82361455192</v>
      </c>
      <c r="AC150" s="643">
        <v>39341171.427293807</v>
      </c>
      <c r="AD150" s="643">
        <v>41435988.050000004</v>
      </c>
      <c r="AE150" s="643">
        <v>2094816.62</v>
      </c>
      <c r="AF150" s="618">
        <f t="shared" si="12"/>
        <v>6.7805746778590886E-2</v>
      </c>
    </row>
    <row r="151" spans="1:32" x14ac:dyDescent="0.25">
      <c r="A151" s="639" t="s">
        <v>592</v>
      </c>
      <c r="B151" s="640" t="s">
        <v>593</v>
      </c>
      <c r="C151" s="635">
        <f t="shared" si="13"/>
        <v>277937.29341041902</v>
      </c>
      <c r="D151" s="635">
        <f t="shared" si="14"/>
        <v>824672.29</v>
      </c>
      <c r="E151" s="635">
        <f t="shared" si="15"/>
        <v>1430293.47</v>
      </c>
      <c r="F151" s="635">
        <f t="shared" si="16"/>
        <v>849741.28</v>
      </c>
      <c r="G151" s="635">
        <f t="shared" si="17"/>
        <v>1265279.5945665343</v>
      </c>
      <c r="H151" s="648">
        <v>0</v>
      </c>
      <c r="I151" s="648">
        <v>0</v>
      </c>
      <c r="J151" s="648">
        <v>140934.113410419</v>
      </c>
      <c r="K151" s="648">
        <v>137003.18</v>
      </c>
      <c r="L151" s="648">
        <v>2717</v>
      </c>
      <c r="M151" s="648">
        <v>150790.03</v>
      </c>
      <c r="N151" s="648">
        <v>354360.6</v>
      </c>
      <c r="O151" s="648">
        <v>316804.65999999997</v>
      </c>
      <c r="P151" s="648">
        <v>182528.82</v>
      </c>
      <c r="Q151" s="648">
        <v>356730.21</v>
      </c>
      <c r="R151" s="648">
        <v>4640.7</v>
      </c>
      <c r="S151" s="648">
        <v>886393.74</v>
      </c>
      <c r="T151" s="648">
        <v>118090.31</v>
      </c>
      <c r="U151" s="648">
        <v>377712.33999999997</v>
      </c>
      <c r="V151" s="648">
        <v>238301.44</v>
      </c>
      <c r="W151" s="648">
        <v>115637.19</v>
      </c>
      <c r="X151" s="648">
        <v>208258.3</v>
      </c>
      <c r="Y151" s="648">
        <v>58171.08</v>
      </c>
      <c r="Z151" s="657">
        <v>216427.88</v>
      </c>
      <c r="AA151" s="641">
        <v>782422.33456653438</v>
      </c>
      <c r="AB151" s="648">
        <v>246151.31452364475</v>
      </c>
      <c r="AC151" s="647">
        <v>4647923.9245665343</v>
      </c>
      <c r="AD151" s="647">
        <v>5424061</v>
      </c>
      <c r="AE151" s="647">
        <v>776137.08</v>
      </c>
      <c r="AF151" s="618">
        <f t="shared" si="12"/>
        <v>8.0108431254455829E-3</v>
      </c>
    </row>
    <row r="152" spans="1:32" x14ac:dyDescent="0.25">
      <c r="A152" s="702" t="s">
        <v>1354</v>
      </c>
      <c r="B152" s="656" t="s">
        <v>594</v>
      </c>
      <c r="C152" s="635">
        <f t="shared" si="13"/>
        <v>0</v>
      </c>
      <c r="D152" s="635">
        <f t="shared" si="14"/>
        <v>8878.0200000000095</v>
      </c>
      <c r="E152" s="635">
        <f t="shared" si="15"/>
        <v>0</v>
      </c>
      <c r="F152" s="635">
        <f t="shared" si="16"/>
        <v>57396.91</v>
      </c>
      <c r="G152" s="635">
        <f t="shared" si="17"/>
        <v>34158.22</v>
      </c>
      <c r="H152" s="648">
        <v>0</v>
      </c>
      <c r="I152" s="648">
        <v>0</v>
      </c>
      <c r="J152" s="648">
        <v>0</v>
      </c>
      <c r="K152" s="648">
        <v>0</v>
      </c>
      <c r="L152" s="648">
        <v>0</v>
      </c>
      <c r="M152" s="648">
        <v>0</v>
      </c>
      <c r="N152" s="648">
        <v>0</v>
      </c>
      <c r="O152" s="648">
        <v>8878.0200000000095</v>
      </c>
      <c r="P152" s="648">
        <v>0</v>
      </c>
      <c r="Q152" s="648">
        <v>0</v>
      </c>
      <c r="R152" s="648">
        <v>0</v>
      </c>
      <c r="S152" s="648">
        <v>0</v>
      </c>
      <c r="T152" s="648">
        <v>26320.93</v>
      </c>
      <c r="U152" s="648">
        <v>0</v>
      </c>
      <c r="V152" s="648">
        <v>31075.98</v>
      </c>
      <c r="W152" s="648">
        <v>0</v>
      </c>
      <c r="X152" s="648">
        <v>7704.14</v>
      </c>
      <c r="Y152" s="648">
        <v>0</v>
      </c>
      <c r="Z152" s="657">
        <v>6744.64</v>
      </c>
      <c r="AA152" s="641">
        <v>19709.440000000002</v>
      </c>
      <c r="AB152" s="648">
        <v>3927.5399999999936</v>
      </c>
      <c r="AC152" s="647">
        <v>100433.15000000001</v>
      </c>
      <c r="AD152" s="647">
        <v>192563.95</v>
      </c>
      <c r="AE152" s="647">
        <v>92130.8</v>
      </c>
      <c r="AF152" s="618">
        <f t="shared" si="12"/>
        <v>1.7309969403584373E-4</v>
      </c>
    </row>
    <row r="153" spans="1:32" x14ac:dyDescent="0.25">
      <c r="A153" s="644" t="s">
        <v>595</v>
      </c>
      <c r="B153" s="640" t="s">
        <v>596</v>
      </c>
      <c r="C153" s="635">
        <f t="shared" si="13"/>
        <v>0</v>
      </c>
      <c r="D153" s="635">
        <f t="shared" si="14"/>
        <v>0</v>
      </c>
      <c r="E153" s="635">
        <f t="shared" si="15"/>
        <v>0</v>
      </c>
      <c r="F153" s="635">
        <f t="shared" si="16"/>
        <v>3799875.29</v>
      </c>
      <c r="G153" s="635">
        <f t="shared" si="17"/>
        <v>1935032.2266666666</v>
      </c>
      <c r="H153" s="648">
        <v>0</v>
      </c>
      <c r="I153" s="648">
        <v>0</v>
      </c>
      <c r="J153" s="648">
        <v>0</v>
      </c>
      <c r="K153" s="648">
        <v>0</v>
      </c>
      <c r="L153" s="648">
        <v>0</v>
      </c>
      <c r="M153" s="648">
        <v>0</v>
      </c>
      <c r="N153" s="648">
        <v>0</v>
      </c>
      <c r="O153" s="648">
        <v>0</v>
      </c>
      <c r="P153" s="648">
        <v>0</v>
      </c>
      <c r="Q153" s="648">
        <v>0</v>
      </c>
      <c r="R153" s="648">
        <v>0</v>
      </c>
      <c r="S153" s="648">
        <v>0</v>
      </c>
      <c r="T153" s="648">
        <v>548781.70000000007</v>
      </c>
      <c r="U153" s="648">
        <v>1893901.7</v>
      </c>
      <c r="V153" s="648">
        <v>722867.56</v>
      </c>
      <c r="W153" s="648">
        <v>634324.32999999996</v>
      </c>
      <c r="X153" s="648">
        <v>906707.68</v>
      </c>
      <c r="Y153" s="648">
        <v>0</v>
      </c>
      <c r="Z153" s="657">
        <v>0</v>
      </c>
      <c r="AA153" s="641">
        <v>1028324.5466666666</v>
      </c>
      <c r="AB153" s="648">
        <v>50920.425151515054</v>
      </c>
      <c r="AC153" s="647">
        <v>5734907.5166666666</v>
      </c>
      <c r="AD153" s="647">
        <v>5761648.7000000002</v>
      </c>
      <c r="AE153" s="647">
        <v>26741.18</v>
      </c>
      <c r="AF153" s="618">
        <f t="shared" si="12"/>
        <v>9.8842935470893848E-3</v>
      </c>
    </row>
    <row r="154" spans="1:32" x14ac:dyDescent="0.25">
      <c r="A154" s="644" t="s">
        <v>597</v>
      </c>
      <c r="B154" s="640" t="s">
        <v>598</v>
      </c>
      <c r="C154" s="635">
        <f t="shared" si="13"/>
        <v>0</v>
      </c>
      <c r="D154" s="635">
        <f t="shared" si="14"/>
        <v>0</v>
      </c>
      <c r="E154" s="635">
        <f t="shared" si="15"/>
        <v>0</v>
      </c>
      <c r="F154" s="635">
        <f t="shared" si="16"/>
        <v>4265812.540000001</v>
      </c>
      <c r="G154" s="635">
        <f t="shared" si="17"/>
        <v>9143527.0915151499</v>
      </c>
      <c r="H154" s="648">
        <v>0</v>
      </c>
      <c r="I154" s="648">
        <v>0</v>
      </c>
      <c r="J154" s="648">
        <v>0</v>
      </c>
      <c r="K154" s="648">
        <v>0</v>
      </c>
      <c r="L154" s="648">
        <v>0</v>
      </c>
      <c r="M154" s="648">
        <v>0</v>
      </c>
      <c r="N154" s="648">
        <v>0</v>
      </c>
      <c r="O154" s="648">
        <v>0</v>
      </c>
      <c r="P154" s="648">
        <v>0</v>
      </c>
      <c r="Q154" s="648">
        <v>0</v>
      </c>
      <c r="R154" s="648">
        <v>0</v>
      </c>
      <c r="S154" s="648">
        <v>0</v>
      </c>
      <c r="T154" s="648">
        <v>1301736.01</v>
      </c>
      <c r="U154" s="648">
        <v>1391331.69</v>
      </c>
      <c r="V154" s="648">
        <v>832307.74</v>
      </c>
      <c r="W154" s="648">
        <v>740437.10000000009</v>
      </c>
      <c r="X154" s="648">
        <v>915602.41</v>
      </c>
      <c r="Y154" s="648">
        <v>2729433.76</v>
      </c>
      <c r="Z154" s="657">
        <v>2305204.9699999997</v>
      </c>
      <c r="AA154" s="641">
        <v>3193285.9515151512</v>
      </c>
      <c r="AB154" s="648">
        <v>201894.99848484807</v>
      </c>
      <c r="AC154" s="647">
        <v>13409339.631515151</v>
      </c>
      <c r="AD154" s="647">
        <v>13772558.93</v>
      </c>
      <c r="AE154" s="647">
        <v>363219.3</v>
      </c>
      <c r="AF154" s="618">
        <f t="shared" si="12"/>
        <v>2.3111418764003577E-2</v>
      </c>
    </row>
    <row r="155" spans="1:32" x14ac:dyDescent="0.25">
      <c r="A155" s="644" t="s">
        <v>599</v>
      </c>
      <c r="B155" s="640" t="s">
        <v>600</v>
      </c>
      <c r="C155" s="635">
        <f t="shared" si="13"/>
        <v>0</v>
      </c>
      <c r="D155" s="635">
        <f t="shared" si="14"/>
        <v>0</v>
      </c>
      <c r="E155" s="635">
        <f t="shared" si="15"/>
        <v>0</v>
      </c>
      <c r="F155" s="635">
        <f t="shared" si="16"/>
        <v>1189213.52</v>
      </c>
      <c r="G155" s="635">
        <f t="shared" si="17"/>
        <v>3697976.9096969697</v>
      </c>
      <c r="H155" s="648">
        <v>0</v>
      </c>
      <c r="I155" s="648">
        <v>0</v>
      </c>
      <c r="J155" s="648">
        <v>0</v>
      </c>
      <c r="K155" s="648">
        <v>0</v>
      </c>
      <c r="L155" s="648">
        <v>0</v>
      </c>
      <c r="M155" s="648">
        <v>0</v>
      </c>
      <c r="N155" s="648">
        <v>0</v>
      </c>
      <c r="O155" s="648">
        <v>0</v>
      </c>
      <c r="P155" s="648">
        <v>0</v>
      </c>
      <c r="Q155" s="648">
        <v>0</v>
      </c>
      <c r="R155" s="648">
        <v>0</v>
      </c>
      <c r="S155" s="648">
        <v>0</v>
      </c>
      <c r="T155" s="648">
        <v>-0.32999999998719431</v>
      </c>
      <c r="U155" s="648">
        <v>646315.15</v>
      </c>
      <c r="V155" s="648">
        <v>374323.95</v>
      </c>
      <c r="W155" s="648">
        <v>168574.75</v>
      </c>
      <c r="X155" s="648">
        <v>317217.32</v>
      </c>
      <c r="Y155" s="648">
        <v>1282551.17</v>
      </c>
      <c r="Z155" s="657">
        <v>781313.01</v>
      </c>
      <c r="AA155" s="641">
        <v>1316895.4096969697</v>
      </c>
      <c r="AB155" s="648">
        <v>150120.51030302979</v>
      </c>
      <c r="AC155" s="647">
        <v>4887190.4296969697</v>
      </c>
      <c r="AD155" s="647">
        <v>6006381.0499999998</v>
      </c>
      <c r="AE155" s="647">
        <v>1119190.6200000001</v>
      </c>
      <c r="AF155" s="618">
        <f t="shared" si="12"/>
        <v>8.423226475276829E-3</v>
      </c>
    </row>
    <row r="156" spans="1:32" x14ac:dyDescent="0.25">
      <c r="A156" s="644" t="s">
        <v>601</v>
      </c>
      <c r="B156" s="640" t="s">
        <v>602</v>
      </c>
      <c r="C156" s="635">
        <f t="shared" si="13"/>
        <v>0</v>
      </c>
      <c r="D156" s="635">
        <f t="shared" si="14"/>
        <v>0</v>
      </c>
      <c r="E156" s="635">
        <f t="shared" si="15"/>
        <v>0</v>
      </c>
      <c r="F156" s="635">
        <f t="shared" si="16"/>
        <v>1015543.0199999999</v>
      </c>
      <c r="G156" s="635">
        <f t="shared" si="17"/>
        <v>6004454.6848484846</v>
      </c>
      <c r="H156" s="648">
        <v>0</v>
      </c>
      <c r="I156" s="648">
        <v>0</v>
      </c>
      <c r="J156" s="648">
        <v>0</v>
      </c>
      <c r="K156" s="648">
        <v>0</v>
      </c>
      <c r="L156" s="648">
        <v>0</v>
      </c>
      <c r="M156" s="648">
        <v>0</v>
      </c>
      <c r="N156" s="648">
        <v>0</v>
      </c>
      <c r="O156" s="648">
        <v>0</v>
      </c>
      <c r="P156" s="648">
        <v>0</v>
      </c>
      <c r="Q156" s="648">
        <v>0</v>
      </c>
      <c r="R156" s="648">
        <v>0</v>
      </c>
      <c r="S156" s="648">
        <v>0</v>
      </c>
      <c r="T156" s="648">
        <v>0</v>
      </c>
      <c r="U156" s="648">
        <v>0</v>
      </c>
      <c r="V156" s="648">
        <v>698912.66999999993</v>
      </c>
      <c r="W156" s="648">
        <v>316630.34999999998</v>
      </c>
      <c r="X156" s="648">
        <v>751924.75</v>
      </c>
      <c r="Y156" s="648">
        <v>352120.31</v>
      </c>
      <c r="Z156" s="657">
        <v>1089676.53</v>
      </c>
      <c r="AA156" s="641">
        <v>3810733.0948484847</v>
      </c>
      <c r="AB156" s="648">
        <v>0.14515151455998421</v>
      </c>
      <c r="AC156" s="647">
        <v>7019997.7048484851</v>
      </c>
      <c r="AD156" s="647">
        <v>7192848.4699999997</v>
      </c>
      <c r="AE156" s="647">
        <v>172850.77</v>
      </c>
      <c r="AF156" s="618">
        <f t="shared" si="12"/>
        <v>1.2099186920270826E-2</v>
      </c>
    </row>
    <row r="157" spans="1:32" x14ac:dyDescent="0.25">
      <c r="A157" s="702" t="s">
        <v>654</v>
      </c>
      <c r="B157" s="640" t="s">
        <v>609</v>
      </c>
      <c r="C157" s="635">
        <f t="shared" si="13"/>
        <v>0</v>
      </c>
      <c r="D157" s="635">
        <f t="shared" si="14"/>
        <v>0</v>
      </c>
      <c r="E157" s="635">
        <f t="shared" si="15"/>
        <v>0</v>
      </c>
      <c r="F157" s="635">
        <f t="shared" si="16"/>
        <v>0</v>
      </c>
      <c r="G157" s="635">
        <f t="shared" si="17"/>
        <v>0</v>
      </c>
      <c r="H157" s="648">
        <v>0</v>
      </c>
      <c r="I157" s="648">
        <v>0</v>
      </c>
      <c r="J157" s="648">
        <v>0</v>
      </c>
      <c r="K157" s="648">
        <v>0</v>
      </c>
      <c r="L157" s="648">
        <v>0</v>
      </c>
      <c r="M157" s="648">
        <v>0</v>
      </c>
      <c r="N157" s="648">
        <v>0</v>
      </c>
      <c r="O157" s="648">
        <v>0</v>
      </c>
      <c r="P157" s="648">
        <v>0</v>
      </c>
      <c r="Q157" s="648">
        <v>0</v>
      </c>
      <c r="R157" s="648">
        <v>0</v>
      </c>
      <c r="S157" s="648">
        <v>0</v>
      </c>
      <c r="T157" s="648">
        <v>0</v>
      </c>
      <c r="U157" s="648">
        <v>0</v>
      </c>
      <c r="V157" s="648">
        <v>0</v>
      </c>
      <c r="W157" s="648">
        <v>0</v>
      </c>
      <c r="X157" s="648">
        <v>0</v>
      </c>
      <c r="Y157" s="648">
        <v>0</v>
      </c>
      <c r="Z157" s="648">
        <v>0</v>
      </c>
      <c r="AA157" s="641">
        <v>0</v>
      </c>
      <c r="AB157" s="648">
        <v>0</v>
      </c>
      <c r="AC157" s="647">
        <v>0</v>
      </c>
      <c r="AD157" s="647">
        <v>0</v>
      </c>
      <c r="AE157" s="647">
        <v>0</v>
      </c>
      <c r="AF157" s="618">
        <f t="shared" si="12"/>
        <v>0</v>
      </c>
    </row>
    <row r="158" spans="1:32" x14ac:dyDescent="0.25">
      <c r="A158" s="644" t="s">
        <v>610</v>
      </c>
      <c r="B158" s="656" t="s">
        <v>611</v>
      </c>
      <c r="C158" s="635">
        <f t="shared" si="13"/>
        <v>0</v>
      </c>
      <c r="D158" s="635">
        <f t="shared" si="14"/>
        <v>0</v>
      </c>
      <c r="E158" s="635">
        <f t="shared" si="15"/>
        <v>0</v>
      </c>
      <c r="F158" s="635">
        <f t="shared" si="16"/>
        <v>0</v>
      </c>
      <c r="G158" s="635">
        <f t="shared" si="17"/>
        <v>432248.22</v>
      </c>
      <c r="H158" s="648">
        <v>0</v>
      </c>
      <c r="I158" s="648">
        <v>0</v>
      </c>
      <c r="J158" s="648">
        <v>0</v>
      </c>
      <c r="K158" s="648">
        <v>0</v>
      </c>
      <c r="L158" s="648">
        <v>0</v>
      </c>
      <c r="M158" s="648">
        <v>0</v>
      </c>
      <c r="N158" s="648">
        <v>0</v>
      </c>
      <c r="O158" s="648">
        <v>0</v>
      </c>
      <c r="P158" s="648">
        <v>0</v>
      </c>
      <c r="Q158" s="648">
        <v>0</v>
      </c>
      <c r="R158" s="648">
        <v>0</v>
      </c>
      <c r="S158" s="648">
        <v>0</v>
      </c>
      <c r="T158" s="648">
        <v>0</v>
      </c>
      <c r="U158" s="648">
        <v>0</v>
      </c>
      <c r="V158" s="648">
        <v>0</v>
      </c>
      <c r="W158" s="648">
        <v>0</v>
      </c>
      <c r="X158" s="648">
        <v>0</v>
      </c>
      <c r="Y158" s="648">
        <v>357557.05</v>
      </c>
      <c r="Z158" s="648">
        <v>42683.88</v>
      </c>
      <c r="AA158" s="641">
        <v>32007.29</v>
      </c>
      <c r="AB158" s="648">
        <v>60078.549999999988</v>
      </c>
      <c r="AC158" s="647">
        <v>432248.22</v>
      </c>
      <c r="AD158" s="647">
        <v>523823.44999999995</v>
      </c>
      <c r="AE158" s="647">
        <v>91575.23</v>
      </c>
      <c r="AF158" s="618">
        <f t="shared" si="12"/>
        <v>7.4499340735143785E-4</v>
      </c>
    </row>
    <row r="159" spans="1:32" x14ac:dyDescent="0.25">
      <c r="A159" s="644" t="s">
        <v>612</v>
      </c>
      <c r="B159" s="656" t="s">
        <v>613</v>
      </c>
      <c r="C159" s="635">
        <f t="shared" si="13"/>
        <v>0</v>
      </c>
      <c r="D159" s="635">
        <f t="shared" si="14"/>
        <v>0</v>
      </c>
      <c r="E159" s="635">
        <f t="shared" si="15"/>
        <v>0</v>
      </c>
      <c r="F159" s="635">
        <f t="shared" si="16"/>
        <v>0</v>
      </c>
      <c r="G159" s="635">
        <f t="shared" si="17"/>
        <v>1940946.7800000003</v>
      </c>
      <c r="H159" s="648">
        <v>0</v>
      </c>
      <c r="I159" s="648">
        <v>0</v>
      </c>
      <c r="J159" s="648">
        <v>0</v>
      </c>
      <c r="K159" s="648">
        <v>0</v>
      </c>
      <c r="L159" s="648">
        <v>0</v>
      </c>
      <c r="M159" s="648">
        <v>0</v>
      </c>
      <c r="N159" s="648">
        <v>0</v>
      </c>
      <c r="O159" s="648">
        <v>0</v>
      </c>
      <c r="P159" s="648">
        <v>0</v>
      </c>
      <c r="Q159" s="648">
        <v>0</v>
      </c>
      <c r="R159" s="648">
        <v>0</v>
      </c>
      <c r="S159" s="648">
        <v>0</v>
      </c>
      <c r="T159" s="648">
        <v>0</v>
      </c>
      <c r="U159" s="648">
        <v>0</v>
      </c>
      <c r="V159" s="648">
        <v>0</v>
      </c>
      <c r="W159" s="648">
        <v>0</v>
      </c>
      <c r="X159" s="648">
        <v>0</v>
      </c>
      <c r="Y159" s="648">
        <v>0</v>
      </c>
      <c r="Z159" s="657">
        <v>163757.1</v>
      </c>
      <c r="AA159" s="641">
        <v>1777189.6800000002</v>
      </c>
      <c r="AB159" s="648">
        <v>-1.1900000004097819</v>
      </c>
      <c r="AC159" s="647">
        <v>1940946.7800000003</v>
      </c>
      <c r="AD159" s="647">
        <v>1856220.5</v>
      </c>
      <c r="AE159" s="647">
        <v>-84726.28</v>
      </c>
      <c r="AF159" s="618">
        <f t="shared" si="12"/>
        <v>3.3452828449357219E-3</v>
      </c>
    </row>
    <row r="160" spans="1:32" x14ac:dyDescent="0.25">
      <c r="A160" s="644" t="s">
        <v>655</v>
      </c>
      <c r="B160" s="656" t="s">
        <v>656</v>
      </c>
      <c r="C160" s="635">
        <f t="shared" si="13"/>
        <v>0</v>
      </c>
      <c r="D160" s="635">
        <f t="shared" si="14"/>
        <v>0</v>
      </c>
      <c r="E160" s="635">
        <f t="shared" si="15"/>
        <v>0</v>
      </c>
      <c r="F160" s="635">
        <f t="shared" si="16"/>
        <v>0</v>
      </c>
      <c r="G160" s="635">
        <f t="shared" si="17"/>
        <v>1050000</v>
      </c>
      <c r="H160" s="648"/>
      <c r="I160" s="648"/>
      <c r="J160" s="648"/>
      <c r="K160" s="648"/>
      <c r="L160" s="648"/>
      <c r="M160" s="648"/>
      <c r="N160" s="648"/>
      <c r="O160" s="648"/>
      <c r="P160" s="648"/>
      <c r="Q160" s="648"/>
      <c r="R160" s="648"/>
      <c r="S160" s="648"/>
      <c r="T160" s="648"/>
      <c r="U160" s="648"/>
      <c r="V160" s="648"/>
      <c r="W160" s="648"/>
      <c r="X160" s="648"/>
      <c r="Y160" s="648">
        <v>0</v>
      </c>
      <c r="Z160" s="657">
        <v>0</v>
      </c>
      <c r="AA160" s="641">
        <v>1050000</v>
      </c>
      <c r="AB160" s="648">
        <v>0</v>
      </c>
      <c r="AC160" s="647">
        <v>1050000</v>
      </c>
      <c r="AD160" s="647">
        <v>588235</v>
      </c>
      <c r="AE160" s="647">
        <v>-461765</v>
      </c>
      <c r="AF160" s="618">
        <f t="shared" si="12"/>
        <v>1.8097080370140326E-3</v>
      </c>
    </row>
    <row r="161" spans="1:32" x14ac:dyDescent="0.25">
      <c r="A161" s="644" t="s">
        <v>614</v>
      </c>
      <c r="B161" s="656" t="s">
        <v>615</v>
      </c>
      <c r="C161" s="635">
        <f t="shared" si="13"/>
        <v>0</v>
      </c>
      <c r="D161" s="635">
        <f t="shared" si="14"/>
        <v>0</v>
      </c>
      <c r="E161" s="635">
        <f t="shared" si="15"/>
        <v>0</v>
      </c>
      <c r="F161" s="635">
        <f t="shared" si="16"/>
        <v>0</v>
      </c>
      <c r="G161" s="635">
        <f t="shared" si="17"/>
        <v>11919.16</v>
      </c>
      <c r="H161" s="648"/>
      <c r="I161" s="648"/>
      <c r="J161" s="648"/>
      <c r="K161" s="648"/>
      <c r="L161" s="648"/>
      <c r="M161" s="648"/>
      <c r="N161" s="648"/>
      <c r="O161" s="648"/>
      <c r="P161" s="648"/>
      <c r="Q161" s="648"/>
      <c r="R161" s="648"/>
      <c r="S161" s="648"/>
      <c r="T161" s="648"/>
      <c r="U161" s="648"/>
      <c r="V161" s="648"/>
      <c r="W161" s="648"/>
      <c r="X161" s="648"/>
      <c r="Y161" s="648">
        <v>0</v>
      </c>
      <c r="Z161" s="657">
        <v>0</v>
      </c>
      <c r="AA161" s="641">
        <v>11919.16</v>
      </c>
      <c r="AB161" s="648">
        <v>-0.46999999999934516</v>
      </c>
      <c r="AC161" s="647">
        <v>11919.16</v>
      </c>
      <c r="AD161" s="647">
        <v>17647</v>
      </c>
      <c r="AE161" s="647">
        <v>5727.84</v>
      </c>
      <c r="AF161" s="618">
        <f t="shared" si="12"/>
        <v>2.0543047282339217E-5</v>
      </c>
    </row>
    <row r="162" spans="1:32" x14ac:dyDescent="0.25">
      <c r="A162" s="644" t="s">
        <v>616</v>
      </c>
      <c r="B162" s="656" t="s">
        <v>617</v>
      </c>
      <c r="C162" s="635">
        <f t="shared" si="13"/>
        <v>0</v>
      </c>
      <c r="D162" s="635">
        <f t="shared" si="14"/>
        <v>0</v>
      </c>
      <c r="E162" s="635">
        <f t="shared" si="15"/>
        <v>0</v>
      </c>
      <c r="F162" s="635">
        <f t="shared" si="16"/>
        <v>0</v>
      </c>
      <c r="G162" s="635">
        <f t="shared" si="17"/>
        <v>106264.91</v>
      </c>
      <c r="H162" s="648"/>
      <c r="I162" s="648"/>
      <c r="J162" s="648"/>
      <c r="K162" s="648"/>
      <c r="L162" s="648"/>
      <c r="M162" s="648"/>
      <c r="N162" s="648"/>
      <c r="O162" s="648"/>
      <c r="P162" s="648"/>
      <c r="Q162" s="648"/>
      <c r="R162" s="648"/>
      <c r="S162" s="648"/>
      <c r="T162" s="648"/>
      <c r="U162" s="648"/>
      <c r="V162" s="648"/>
      <c r="W162" s="648"/>
      <c r="X162" s="648"/>
      <c r="Y162" s="648">
        <v>0</v>
      </c>
      <c r="Z162" s="657">
        <v>0</v>
      </c>
      <c r="AA162" s="641">
        <v>106264.91</v>
      </c>
      <c r="AB162" s="648">
        <v>0</v>
      </c>
      <c r="AC162" s="647">
        <v>106264.91</v>
      </c>
      <c r="AD162" s="647">
        <v>41176.5</v>
      </c>
      <c r="AE162" s="647">
        <v>-65088.41</v>
      </c>
      <c r="AF162" s="618">
        <f t="shared" si="12"/>
        <v>1.8315091588530749E-4</v>
      </c>
    </row>
    <row r="163" spans="1:32" x14ac:dyDescent="0.25">
      <c r="A163" s="644" t="s">
        <v>618</v>
      </c>
      <c r="B163" s="656" t="s">
        <v>619</v>
      </c>
      <c r="C163" s="635">
        <f t="shared" si="13"/>
        <v>0</v>
      </c>
      <c r="D163" s="635">
        <f t="shared" si="14"/>
        <v>0</v>
      </c>
      <c r="E163" s="635">
        <f t="shared" si="15"/>
        <v>0</v>
      </c>
      <c r="F163" s="635">
        <f t="shared" si="16"/>
        <v>0</v>
      </c>
      <c r="G163" s="635">
        <f t="shared" si="17"/>
        <v>0</v>
      </c>
      <c r="H163" s="648"/>
      <c r="I163" s="648"/>
      <c r="J163" s="648"/>
      <c r="K163" s="648"/>
      <c r="L163" s="648"/>
      <c r="M163" s="648"/>
      <c r="N163" s="648"/>
      <c r="O163" s="648"/>
      <c r="P163" s="648"/>
      <c r="Q163" s="648"/>
      <c r="R163" s="648"/>
      <c r="S163" s="648"/>
      <c r="T163" s="648"/>
      <c r="U163" s="648"/>
      <c r="V163" s="648"/>
      <c r="W163" s="648"/>
      <c r="X163" s="648"/>
      <c r="Y163" s="648">
        <v>0</v>
      </c>
      <c r="Z163" s="657">
        <v>0</v>
      </c>
      <c r="AA163" s="641">
        <v>0</v>
      </c>
      <c r="AB163" s="648">
        <v>0</v>
      </c>
      <c r="AC163" s="647">
        <v>0</v>
      </c>
      <c r="AD163" s="647">
        <v>58823.5</v>
      </c>
      <c r="AE163" s="647">
        <v>58823.5</v>
      </c>
      <c r="AF163" s="618">
        <f t="shared" si="12"/>
        <v>0</v>
      </c>
    </row>
    <row r="164" spans="1:32" x14ac:dyDescent="0.25">
      <c r="A164" s="667" t="s">
        <v>657</v>
      </c>
      <c r="B164" s="665" t="s">
        <v>658</v>
      </c>
      <c r="C164" s="635">
        <f t="shared" si="13"/>
        <v>0</v>
      </c>
      <c r="D164" s="635">
        <f t="shared" si="14"/>
        <v>0</v>
      </c>
      <c r="E164" s="635">
        <f t="shared" si="15"/>
        <v>71146.78</v>
      </c>
      <c r="F164" s="635">
        <f t="shared" si="16"/>
        <v>189145.60000000001</v>
      </c>
      <c r="G164" s="635">
        <f t="shared" si="17"/>
        <v>172945.32</v>
      </c>
      <c r="H164" s="668">
        <v>0</v>
      </c>
      <c r="I164" s="668">
        <v>0</v>
      </c>
      <c r="J164" s="668">
        <v>0</v>
      </c>
      <c r="K164" s="668">
        <v>0</v>
      </c>
      <c r="L164" s="668">
        <v>0</v>
      </c>
      <c r="M164" s="668">
        <v>0</v>
      </c>
      <c r="N164" s="668">
        <v>0</v>
      </c>
      <c r="O164" s="668">
        <v>0</v>
      </c>
      <c r="P164" s="668">
        <v>71146.78</v>
      </c>
      <c r="Q164" s="669">
        <v>0</v>
      </c>
      <c r="R164" s="668">
        <v>0</v>
      </c>
      <c r="S164" s="668">
        <v>0</v>
      </c>
      <c r="T164" s="668">
        <v>0</v>
      </c>
      <c r="U164" s="668">
        <v>60796.6</v>
      </c>
      <c r="V164" s="668">
        <v>71198.44</v>
      </c>
      <c r="W164" s="668">
        <v>57150.559999999998</v>
      </c>
      <c r="X164" s="668">
        <v>17410.349999999999</v>
      </c>
      <c r="Y164" s="668">
        <v>42095.770000000004</v>
      </c>
      <c r="Z164" s="668">
        <v>25797.68</v>
      </c>
      <c r="AA164" s="666">
        <v>87641.52</v>
      </c>
      <c r="AB164" s="668">
        <v>-70720.12</v>
      </c>
      <c r="AC164" s="647">
        <v>433237.7</v>
      </c>
      <c r="AD164" s="647">
        <v>362517.01</v>
      </c>
      <c r="AE164" s="647">
        <v>-70720.69</v>
      </c>
      <c r="AF164" s="618">
        <f t="shared" si="12"/>
        <v>7.4669880726426136E-4</v>
      </c>
    </row>
    <row r="165" spans="1:32" x14ac:dyDescent="0.25">
      <c r="A165" s="689" t="s">
        <v>659</v>
      </c>
      <c r="B165" s="640" t="s">
        <v>658</v>
      </c>
      <c r="C165" s="635">
        <f t="shared" si="13"/>
        <v>0</v>
      </c>
      <c r="D165" s="635">
        <f t="shared" si="14"/>
        <v>0</v>
      </c>
      <c r="E165" s="635">
        <f t="shared" si="15"/>
        <v>71146.78</v>
      </c>
      <c r="F165" s="635">
        <f t="shared" si="16"/>
        <v>189145.60000000001</v>
      </c>
      <c r="G165" s="635">
        <f t="shared" si="17"/>
        <v>172945.32</v>
      </c>
      <c r="H165" s="648">
        <v>0</v>
      </c>
      <c r="I165" s="648">
        <v>0</v>
      </c>
      <c r="J165" s="648">
        <v>0</v>
      </c>
      <c r="K165" s="648">
        <v>0</v>
      </c>
      <c r="L165" s="648">
        <v>0</v>
      </c>
      <c r="M165" s="648">
        <v>0</v>
      </c>
      <c r="N165" s="648">
        <v>0</v>
      </c>
      <c r="O165" s="648">
        <v>0</v>
      </c>
      <c r="P165" s="648">
        <v>71146.78</v>
      </c>
      <c r="Q165" s="648">
        <v>0</v>
      </c>
      <c r="R165" s="648">
        <v>0</v>
      </c>
      <c r="S165" s="648">
        <v>0</v>
      </c>
      <c r="T165" s="648">
        <v>0</v>
      </c>
      <c r="U165" s="648">
        <v>60796.6</v>
      </c>
      <c r="V165" s="648">
        <v>71198.44</v>
      </c>
      <c r="W165" s="648">
        <v>57150.559999999998</v>
      </c>
      <c r="X165" s="648">
        <v>17410.349999999999</v>
      </c>
      <c r="Y165" s="648">
        <v>42095.770000000004</v>
      </c>
      <c r="Z165" s="657">
        <v>25797.68</v>
      </c>
      <c r="AA165" s="641">
        <v>87641.52</v>
      </c>
      <c r="AB165" s="648">
        <v>-70720.12</v>
      </c>
      <c r="AC165" s="647">
        <v>433237.7</v>
      </c>
      <c r="AD165" s="647">
        <v>362517.01</v>
      </c>
      <c r="AE165" s="647">
        <v>-70720.69</v>
      </c>
      <c r="AF165" s="618">
        <f t="shared" si="12"/>
        <v>7.4669880726426136E-4</v>
      </c>
    </row>
    <row r="166" spans="1:32" ht="25.5" x14ac:dyDescent="0.25">
      <c r="A166" s="658" t="s">
        <v>482</v>
      </c>
      <c r="B166" s="659">
        <v>0</v>
      </c>
      <c r="C166" s="635">
        <f t="shared" si="13"/>
        <v>0</v>
      </c>
      <c r="D166" s="635">
        <f t="shared" si="14"/>
        <v>0</v>
      </c>
      <c r="E166" s="635">
        <f t="shared" si="15"/>
        <v>0</v>
      </c>
      <c r="F166" s="635">
        <f t="shared" si="16"/>
        <v>0</v>
      </c>
      <c r="G166" s="635">
        <f t="shared" si="17"/>
        <v>0</v>
      </c>
      <c r="H166" s="660">
        <v>0</v>
      </c>
      <c r="I166" s="660">
        <v>0</v>
      </c>
      <c r="J166" s="660">
        <v>0</v>
      </c>
      <c r="K166" s="660">
        <v>0</v>
      </c>
      <c r="L166" s="660">
        <v>0</v>
      </c>
      <c r="M166" s="660">
        <v>0</v>
      </c>
      <c r="N166" s="660">
        <v>0</v>
      </c>
      <c r="O166" s="660">
        <v>0</v>
      </c>
      <c r="P166" s="660">
        <v>0</v>
      </c>
      <c r="Q166" s="660">
        <v>0</v>
      </c>
      <c r="R166" s="660">
        <v>0</v>
      </c>
      <c r="S166" s="660">
        <v>0</v>
      </c>
      <c r="T166" s="660">
        <v>0</v>
      </c>
      <c r="U166" s="660">
        <v>0</v>
      </c>
      <c r="V166" s="660">
        <v>0</v>
      </c>
      <c r="W166" s="660">
        <v>0</v>
      </c>
      <c r="X166" s="660">
        <v>0</v>
      </c>
      <c r="Y166" s="660">
        <v>0</v>
      </c>
      <c r="Z166" s="661">
        <v>0</v>
      </c>
      <c r="AA166" s="661">
        <v>0</v>
      </c>
      <c r="AB166" s="660">
        <v>3191068.36</v>
      </c>
      <c r="AC166" s="647">
        <v>0</v>
      </c>
      <c r="AD166" s="647">
        <v>0</v>
      </c>
      <c r="AE166" s="643">
        <v>0</v>
      </c>
      <c r="AF166" s="618">
        <f t="shared" si="12"/>
        <v>0</v>
      </c>
    </row>
    <row r="167" spans="1:32" x14ac:dyDescent="0.25">
      <c r="A167" s="658" t="s">
        <v>483</v>
      </c>
      <c r="B167" s="659"/>
      <c r="C167" s="635">
        <f t="shared" si="13"/>
        <v>0</v>
      </c>
      <c r="D167" s="635">
        <f t="shared" si="14"/>
        <v>0</v>
      </c>
      <c r="E167" s="635">
        <f t="shared" si="15"/>
        <v>0</v>
      </c>
      <c r="F167" s="635">
        <f t="shared" si="16"/>
        <v>0</v>
      </c>
      <c r="G167" s="635">
        <f t="shared" si="17"/>
        <v>0</v>
      </c>
      <c r="H167" s="660">
        <v>0</v>
      </c>
      <c r="I167" s="660">
        <v>0</v>
      </c>
      <c r="J167" s="660">
        <v>0</v>
      </c>
      <c r="K167" s="660">
        <v>0</v>
      </c>
      <c r="L167" s="660">
        <v>0</v>
      </c>
      <c r="M167" s="660">
        <v>0</v>
      </c>
      <c r="N167" s="660">
        <v>0</v>
      </c>
      <c r="O167" s="660">
        <v>0</v>
      </c>
      <c r="P167" s="660">
        <v>0</v>
      </c>
      <c r="Q167" s="660">
        <v>0</v>
      </c>
      <c r="R167" s="660">
        <v>0</v>
      </c>
      <c r="S167" s="660">
        <v>0</v>
      </c>
      <c r="T167" s="660">
        <v>0</v>
      </c>
      <c r="U167" s="660">
        <v>0</v>
      </c>
      <c r="V167" s="660">
        <v>0</v>
      </c>
      <c r="W167" s="660">
        <v>0</v>
      </c>
      <c r="X167" s="660">
        <v>0</v>
      </c>
      <c r="Y167" s="660">
        <v>0</v>
      </c>
      <c r="Z167" s="660">
        <v>0</v>
      </c>
      <c r="AA167" s="661"/>
      <c r="AB167" s="660"/>
      <c r="AC167" s="647"/>
      <c r="AD167" s="647">
        <v>2163446.0099999998</v>
      </c>
      <c r="AE167" s="643"/>
      <c r="AF167" s="618">
        <f t="shared" si="12"/>
        <v>0</v>
      </c>
    </row>
    <row r="168" spans="1:32" x14ac:dyDescent="0.25">
      <c r="A168" s="708" t="s">
        <v>660</v>
      </c>
      <c r="B168" s="701" t="s">
        <v>661</v>
      </c>
      <c r="C168" s="635">
        <f t="shared" si="13"/>
        <v>0</v>
      </c>
      <c r="D168" s="635">
        <f t="shared" si="14"/>
        <v>264386.71999999997</v>
      </c>
      <c r="E168" s="635">
        <f t="shared" si="15"/>
        <v>460601.64</v>
      </c>
      <c r="F168" s="635">
        <f t="shared" si="16"/>
        <v>461676.80999999994</v>
      </c>
      <c r="G168" s="635">
        <f t="shared" si="17"/>
        <v>2058575.3115151515</v>
      </c>
      <c r="H168" s="636">
        <v>0</v>
      </c>
      <c r="I168" s="636">
        <v>0</v>
      </c>
      <c r="J168" s="636">
        <v>0</v>
      </c>
      <c r="K168" s="636">
        <v>0</v>
      </c>
      <c r="L168" s="636">
        <v>76432.399999999994</v>
      </c>
      <c r="M168" s="636">
        <v>0</v>
      </c>
      <c r="N168" s="636">
        <v>0</v>
      </c>
      <c r="O168" s="636">
        <v>187954.32</v>
      </c>
      <c r="P168" s="636">
        <v>361884.13</v>
      </c>
      <c r="Q168" s="637">
        <v>34171.329999999994</v>
      </c>
      <c r="R168" s="636">
        <v>0</v>
      </c>
      <c r="S168" s="636">
        <v>64546.18</v>
      </c>
      <c r="T168" s="636">
        <v>-1773.42</v>
      </c>
      <c r="U168" s="636">
        <v>231111.65999999997</v>
      </c>
      <c r="V168" s="636">
        <v>143801.43</v>
      </c>
      <c r="W168" s="636">
        <v>88537.14</v>
      </c>
      <c r="X168" s="636">
        <v>296739.12</v>
      </c>
      <c r="Y168" s="636">
        <v>335115.93</v>
      </c>
      <c r="Z168" s="636">
        <v>153056.21000000002</v>
      </c>
      <c r="AA168" s="636">
        <v>1273664.0515151515</v>
      </c>
      <c r="AB168" s="636">
        <v>143345.41848484834</v>
      </c>
      <c r="AC168" s="638">
        <v>3245240.4815151514</v>
      </c>
      <c r="AD168" s="636">
        <v>3388585.9</v>
      </c>
      <c r="AE168" s="638">
        <v>143345.42000000001</v>
      </c>
      <c r="AF168" s="618">
        <f t="shared" si="12"/>
        <v>5.593274077563104E-3</v>
      </c>
    </row>
    <row r="169" spans="1:32" ht="25.5" hidden="1" x14ac:dyDescent="0.25">
      <c r="A169" s="667" t="s">
        <v>662</v>
      </c>
      <c r="B169" s="665" t="s">
        <v>661</v>
      </c>
      <c r="C169" s="635">
        <f t="shared" si="13"/>
        <v>0</v>
      </c>
      <c r="D169" s="635">
        <f t="shared" si="14"/>
        <v>264386.71999999997</v>
      </c>
      <c r="E169" s="635">
        <f t="shared" si="15"/>
        <v>460601.64</v>
      </c>
      <c r="F169" s="635">
        <f t="shared" si="16"/>
        <v>461676.80999999994</v>
      </c>
      <c r="G169" s="635">
        <f t="shared" si="17"/>
        <v>2014639.1915151514</v>
      </c>
      <c r="H169" s="668">
        <v>0</v>
      </c>
      <c r="I169" s="668">
        <v>0</v>
      </c>
      <c r="J169" s="668">
        <v>0</v>
      </c>
      <c r="K169" s="668">
        <v>0</v>
      </c>
      <c r="L169" s="668">
        <v>76432.399999999994</v>
      </c>
      <c r="M169" s="668">
        <v>0</v>
      </c>
      <c r="N169" s="668">
        <v>0</v>
      </c>
      <c r="O169" s="668">
        <v>187954.32</v>
      </c>
      <c r="P169" s="668">
        <v>361884.13</v>
      </c>
      <c r="Q169" s="669">
        <v>34171.329999999994</v>
      </c>
      <c r="R169" s="668">
        <v>0</v>
      </c>
      <c r="S169" s="668">
        <v>64546.18</v>
      </c>
      <c r="T169" s="668">
        <v>-1773.42</v>
      </c>
      <c r="U169" s="668">
        <v>231111.65999999997</v>
      </c>
      <c r="V169" s="668">
        <v>143801.43</v>
      </c>
      <c r="W169" s="668">
        <v>88537.14</v>
      </c>
      <c r="X169" s="668">
        <v>296739.12</v>
      </c>
      <c r="Y169" s="668">
        <v>335115.93</v>
      </c>
      <c r="Z169" s="668">
        <v>153056.21000000002</v>
      </c>
      <c r="AA169" s="666">
        <v>1229727.9315151514</v>
      </c>
      <c r="AB169" s="668">
        <v>119061.51848484833</v>
      </c>
      <c r="AC169" s="643">
        <v>3201304.3615151513</v>
      </c>
      <c r="AD169" s="643">
        <v>3351390.75</v>
      </c>
      <c r="AE169" s="643">
        <v>150086.39000000001</v>
      </c>
      <c r="AF169" s="618">
        <f t="shared" si="12"/>
        <v>5.5175487923448058E-3</v>
      </c>
    </row>
    <row r="170" spans="1:32" hidden="1" x14ac:dyDescent="0.25">
      <c r="A170" s="689" t="s">
        <v>663</v>
      </c>
      <c r="B170" s="640" t="s">
        <v>664</v>
      </c>
      <c r="C170" s="635">
        <f t="shared" si="13"/>
        <v>0</v>
      </c>
      <c r="D170" s="635">
        <f t="shared" si="14"/>
        <v>264386.71999999997</v>
      </c>
      <c r="E170" s="635">
        <f t="shared" si="15"/>
        <v>109669.1</v>
      </c>
      <c r="F170" s="635">
        <f t="shared" si="16"/>
        <v>54447.43</v>
      </c>
      <c r="G170" s="635">
        <f t="shared" si="17"/>
        <v>294647.28000000003</v>
      </c>
      <c r="H170" s="648">
        <v>0</v>
      </c>
      <c r="I170" s="648">
        <v>0</v>
      </c>
      <c r="J170" s="648">
        <v>0</v>
      </c>
      <c r="K170" s="648">
        <v>0</v>
      </c>
      <c r="L170" s="648">
        <v>76432.399999999994</v>
      </c>
      <c r="M170" s="648">
        <v>0</v>
      </c>
      <c r="N170" s="648">
        <v>0</v>
      </c>
      <c r="O170" s="648">
        <v>187954.32</v>
      </c>
      <c r="P170" s="648">
        <v>11834.54</v>
      </c>
      <c r="Q170" s="648">
        <v>33288.379999999997</v>
      </c>
      <c r="R170" s="648">
        <v>0</v>
      </c>
      <c r="S170" s="648">
        <v>64546.18</v>
      </c>
      <c r="T170" s="648">
        <v>-1773.42</v>
      </c>
      <c r="U170" s="648">
        <v>0</v>
      </c>
      <c r="V170" s="648">
        <v>56220.85</v>
      </c>
      <c r="W170" s="648">
        <v>0</v>
      </c>
      <c r="X170" s="648">
        <v>129041.57</v>
      </c>
      <c r="Y170" s="648">
        <v>92048.5</v>
      </c>
      <c r="Z170" s="648">
        <v>73557.210000000006</v>
      </c>
      <c r="AA170" s="641">
        <v>0</v>
      </c>
      <c r="AB170" s="648">
        <v>-0.35999999991327059</v>
      </c>
      <c r="AC170" s="647">
        <v>723150.52999999991</v>
      </c>
      <c r="AD170" s="647">
        <v>716802.15</v>
      </c>
      <c r="AE170" s="647">
        <v>-6348.38</v>
      </c>
      <c r="AF170" s="618">
        <f t="shared" si="12"/>
        <v>1.2463726915351973E-3</v>
      </c>
    </row>
    <row r="171" spans="1:32" hidden="1" x14ac:dyDescent="0.25">
      <c r="A171" s="689" t="s">
        <v>659</v>
      </c>
      <c r="B171" s="640" t="s">
        <v>658</v>
      </c>
      <c r="C171" s="635">
        <f t="shared" si="13"/>
        <v>0</v>
      </c>
      <c r="D171" s="635">
        <f t="shared" si="14"/>
        <v>0</v>
      </c>
      <c r="E171" s="635">
        <f t="shared" si="15"/>
        <v>219248.22</v>
      </c>
      <c r="F171" s="635">
        <f t="shared" si="16"/>
        <v>363470.52</v>
      </c>
      <c r="G171" s="635">
        <f t="shared" si="17"/>
        <v>554031.17999999993</v>
      </c>
      <c r="H171" s="648">
        <v>0</v>
      </c>
      <c r="I171" s="648">
        <v>0</v>
      </c>
      <c r="J171" s="648">
        <v>0</v>
      </c>
      <c r="K171" s="648">
        <v>0</v>
      </c>
      <c r="L171" s="648">
        <v>0</v>
      </c>
      <c r="M171" s="648">
        <v>0</v>
      </c>
      <c r="N171" s="648">
        <v>0</v>
      </c>
      <c r="O171" s="648">
        <v>0</v>
      </c>
      <c r="P171" s="648">
        <v>219248.22</v>
      </c>
      <c r="Q171" s="648">
        <v>0</v>
      </c>
      <c r="R171" s="648">
        <v>0</v>
      </c>
      <c r="S171" s="648">
        <v>0</v>
      </c>
      <c r="T171" s="648">
        <v>0</v>
      </c>
      <c r="U171" s="648">
        <v>187352.8</v>
      </c>
      <c r="V171" s="648">
        <v>87580.58</v>
      </c>
      <c r="W171" s="648">
        <v>88537.14</v>
      </c>
      <c r="X171" s="648">
        <v>53652.32</v>
      </c>
      <c r="Y171" s="648">
        <v>129723.7</v>
      </c>
      <c r="Z171" s="657">
        <v>79499</v>
      </c>
      <c r="AA171" s="641">
        <v>291156.15999999997</v>
      </c>
      <c r="AB171" s="648">
        <v>35726.259999999951</v>
      </c>
      <c r="AC171" s="647">
        <v>1136749.92</v>
      </c>
      <c r="AD171" s="647">
        <v>1172476.18</v>
      </c>
      <c r="AE171" s="647">
        <v>35726.26</v>
      </c>
      <c r="AF171" s="618">
        <f t="shared" si="12"/>
        <v>1.9592242536181511E-3</v>
      </c>
    </row>
    <row r="172" spans="1:32" hidden="1" x14ac:dyDescent="0.25">
      <c r="A172" s="639" t="s">
        <v>665</v>
      </c>
      <c r="B172" s="640" t="s">
        <v>666</v>
      </c>
      <c r="C172" s="635">
        <f t="shared" si="13"/>
        <v>0</v>
      </c>
      <c r="D172" s="635">
        <f t="shared" si="14"/>
        <v>0</v>
      </c>
      <c r="E172" s="635">
        <f t="shared" si="15"/>
        <v>131684.32</v>
      </c>
      <c r="F172" s="635">
        <f t="shared" si="16"/>
        <v>43758.86</v>
      </c>
      <c r="G172" s="635">
        <f t="shared" si="17"/>
        <v>1165960.7315151514</v>
      </c>
      <c r="H172" s="648">
        <v>0</v>
      </c>
      <c r="I172" s="648">
        <v>0</v>
      </c>
      <c r="J172" s="648">
        <v>0</v>
      </c>
      <c r="K172" s="648">
        <v>0</v>
      </c>
      <c r="L172" s="648">
        <v>0</v>
      </c>
      <c r="M172" s="648">
        <v>0</v>
      </c>
      <c r="N172" s="648">
        <v>0</v>
      </c>
      <c r="O172" s="648">
        <v>0</v>
      </c>
      <c r="P172" s="648">
        <v>130801.37</v>
      </c>
      <c r="Q172" s="648">
        <v>882.95</v>
      </c>
      <c r="R172" s="648">
        <v>0</v>
      </c>
      <c r="S172" s="648">
        <v>0</v>
      </c>
      <c r="T172" s="648">
        <v>0</v>
      </c>
      <c r="U172" s="648">
        <v>43758.86</v>
      </c>
      <c r="V172" s="648">
        <v>0</v>
      </c>
      <c r="W172" s="648">
        <v>0</v>
      </c>
      <c r="X172" s="648">
        <v>114045.23</v>
      </c>
      <c r="Y172" s="648">
        <v>113343.73</v>
      </c>
      <c r="Z172" s="648">
        <v>0</v>
      </c>
      <c r="AA172" s="641">
        <v>938571.77151515149</v>
      </c>
      <c r="AB172" s="648">
        <v>83335.618484848295</v>
      </c>
      <c r="AC172" s="647">
        <v>1341403.9115151516</v>
      </c>
      <c r="AD172" s="647">
        <v>1462112.42</v>
      </c>
      <c r="AE172" s="647">
        <v>120708.51</v>
      </c>
      <c r="AF172" s="618">
        <f t="shared" si="12"/>
        <v>2.3119518471914572E-3</v>
      </c>
    </row>
    <row r="173" spans="1:32" hidden="1" x14ac:dyDescent="0.25">
      <c r="A173" s="658" t="s">
        <v>481</v>
      </c>
      <c r="B173" s="659">
        <v>0</v>
      </c>
      <c r="C173" s="635">
        <f t="shared" si="13"/>
        <v>0</v>
      </c>
      <c r="D173" s="635">
        <f t="shared" si="14"/>
        <v>0</v>
      </c>
      <c r="E173" s="635">
        <f t="shared" si="15"/>
        <v>0</v>
      </c>
      <c r="F173" s="635">
        <f t="shared" si="16"/>
        <v>0</v>
      </c>
      <c r="G173" s="635">
        <f t="shared" si="17"/>
        <v>0</v>
      </c>
      <c r="H173" s="660">
        <v>0</v>
      </c>
      <c r="I173" s="660">
        <v>0</v>
      </c>
      <c r="J173" s="660">
        <v>0</v>
      </c>
      <c r="K173" s="660">
        <v>0</v>
      </c>
      <c r="L173" s="660">
        <v>0</v>
      </c>
      <c r="M173" s="660">
        <v>0</v>
      </c>
      <c r="N173" s="660">
        <v>0</v>
      </c>
      <c r="O173" s="660">
        <v>0</v>
      </c>
      <c r="P173" s="660">
        <v>0</v>
      </c>
      <c r="Q173" s="660">
        <v>0</v>
      </c>
      <c r="R173" s="660">
        <v>0</v>
      </c>
      <c r="S173" s="660">
        <v>0</v>
      </c>
      <c r="T173" s="660">
        <v>0</v>
      </c>
      <c r="U173" s="660">
        <v>0</v>
      </c>
      <c r="V173" s="660">
        <v>0</v>
      </c>
      <c r="W173" s="660">
        <v>0</v>
      </c>
      <c r="X173" s="660">
        <v>0</v>
      </c>
      <c r="Y173" s="660">
        <v>0</v>
      </c>
      <c r="Z173" s="660">
        <v>0</v>
      </c>
      <c r="AA173" s="661">
        <v>0</v>
      </c>
      <c r="AB173" s="660">
        <v>0</v>
      </c>
      <c r="AC173" s="647">
        <v>0</v>
      </c>
      <c r="AD173" s="647">
        <v>0</v>
      </c>
      <c r="AE173" s="643">
        <v>0</v>
      </c>
      <c r="AF173" s="618">
        <f t="shared" si="12"/>
        <v>0</v>
      </c>
    </row>
    <row r="174" spans="1:32" ht="25.5" hidden="1" x14ac:dyDescent="0.25">
      <c r="A174" s="658" t="s">
        <v>482</v>
      </c>
      <c r="B174" s="659">
        <v>0</v>
      </c>
      <c r="C174" s="635">
        <f t="shared" si="13"/>
        <v>0</v>
      </c>
      <c r="D174" s="635">
        <f t="shared" si="14"/>
        <v>0</v>
      </c>
      <c r="E174" s="635">
        <f t="shared" si="15"/>
        <v>0</v>
      </c>
      <c r="F174" s="635">
        <f t="shared" si="16"/>
        <v>0</v>
      </c>
      <c r="G174" s="635">
        <f t="shared" si="17"/>
        <v>0</v>
      </c>
      <c r="H174" s="660">
        <v>0</v>
      </c>
      <c r="I174" s="660">
        <v>0</v>
      </c>
      <c r="J174" s="660">
        <v>0</v>
      </c>
      <c r="K174" s="660">
        <v>0</v>
      </c>
      <c r="L174" s="660">
        <v>0</v>
      </c>
      <c r="M174" s="660">
        <v>0</v>
      </c>
      <c r="N174" s="660">
        <v>0</v>
      </c>
      <c r="O174" s="660">
        <v>0</v>
      </c>
      <c r="P174" s="660">
        <v>0</v>
      </c>
      <c r="Q174" s="660">
        <v>0</v>
      </c>
      <c r="R174" s="660">
        <v>0</v>
      </c>
      <c r="S174" s="660">
        <v>0</v>
      </c>
      <c r="T174" s="660">
        <v>0</v>
      </c>
      <c r="U174" s="660">
        <v>0</v>
      </c>
      <c r="V174" s="660">
        <v>0</v>
      </c>
      <c r="W174" s="660">
        <v>0</v>
      </c>
      <c r="X174" s="660">
        <v>0</v>
      </c>
      <c r="Y174" s="660">
        <v>0</v>
      </c>
      <c r="Z174" s="660">
        <v>0</v>
      </c>
      <c r="AA174" s="661">
        <v>0</v>
      </c>
      <c r="AB174" s="660">
        <v>24283.9</v>
      </c>
      <c r="AC174" s="647">
        <v>0</v>
      </c>
      <c r="AD174" s="647">
        <v>0</v>
      </c>
      <c r="AE174" s="643">
        <v>0</v>
      </c>
      <c r="AF174" s="618">
        <f t="shared" si="12"/>
        <v>0</v>
      </c>
    </row>
    <row r="175" spans="1:32" hidden="1" x14ac:dyDescent="0.25">
      <c r="A175" s="658" t="s">
        <v>483</v>
      </c>
      <c r="B175" s="659">
        <v>0</v>
      </c>
      <c r="C175" s="635">
        <f t="shared" si="13"/>
        <v>0</v>
      </c>
      <c r="D175" s="635">
        <f t="shared" si="14"/>
        <v>0</v>
      </c>
      <c r="E175" s="635">
        <f t="shared" si="15"/>
        <v>0</v>
      </c>
      <c r="F175" s="635">
        <f t="shared" si="16"/>
        <v>0</v>
      </c>
      <c r="G175" s="635">
        <f t="shared" si="17"/>
        <v>43936.12</v>
      </c>
      <c r="H175" s="660">
        <v>0</v>
      </c>
      <c r="I175" s="660">
        <v>0</v>
      </c>
      <c r="J175" s="660">
        <v>0</v>
      </c>
      <c r="K175" s="660">
        <v>0</v>
      </c>
      <c r="L175" s="660">
        <v>0</v>
      </c>
      <c r="M175" s="660">
        <v>0</v>
      </c>
      <c r="N175" s="660">
        <v>0</v>
      </c>
      <c r="O175" s="660">
        <v>0</v>
      </c>
      <c r="P175" s="660">
        <v>0</v>
      </c>
      <c r="Q175" s="660">
        <v>0</v>
      </c>
      <c r="R175" s="660">
        <v>0</v>
      </c>
      <c r="S175" s="660">
        <v>0</v>
      </c>
      <c r="T175" s="660">
        <v>0</v>
      </c>
      <c r="U175" s="660">
        <v>0</v>
      </c>
      <c r="V175" s="660">
        <v>0</v>
      </c>
      <c r="W175" s="660">
        <v>0</v>
      </c>
      <c r="X175" s="660">
        <v>0</v>
      </c>
      <c r="Y175" s="660">
        <v>0</v>
      </c>
      <c r="Z175" s="660">
        <v>0</v>
      </c>
      <c r="AA175" s="661">
        <v>43936.12</v>
      </c>
      <c r="AB175" s="660"/>
      <c r="AC175" s="647">
        <v>43936.12</v>
      </c>
      <c r="AD175" s="647">
        <v>37195.15</v>
      </c>
      <c r="AE175" s="643">
        <v>-6740.97</v>
      </c>
      <c r="AF175" s="618">
        <f t="shared" si="12"/>
        <v>7.5725285218298087E-5</v>
      </c>
    </row>
    <row r="176" spans="1:32" x14ac:dyDescent="0.25">
      <c r="A176" s="708" t="s">
        <v>667</v>
      </c>
      <c r="B176" s="701" t="s">
        <v>583</v>
      </c>
      <c r="C176" s="635">
        <f t="shared" si="13"/>
        <v>0</v>
      </c>
      <c r="D176" s="635">
        <f t="shared" si="14"/>
        <v>0</v>
      </c>
      <c r="E176" s="635">
        <f t="shared" si="15"/>
        <v>0</v>
      </c>
      <c r="F176" s="635">
        <f t="shared" si="16"/>
        <v>1035759.2899999989</v>
      </c>
      <c r="G176" s="635">
        <f t="shared" si="17"/>
        <v>2770733.7581464006</v>
      </c>
      <c r="H176" s="636">
        <v>0</v>
      </c>
      <c r="I176" s="636">
        <v>0</v>
      </c>
      <c r="J176" s="636">
        <v>0</v>
      </c>
      <c r="K176" s="636">
        <v>0</v>
      </c>
      <c r="L176" s="636">
        <v>0</v>
      </c>
      <c r="M176" s="636">
        <v>0</v>
      </c>
      <c r="N176" s="636">
        <v>0</v>
      </c>
      <c r="O176" s="636">
        <v>0</v>
      </c>
      <c r="P176" s="636">
        <v>0</v>
      </c>
      <c r="Q176" s="637">
        <v>0</v>
      </c>
      <c r="R176" s="636">
        <v>0</v>
      </c>
      <c r="S176" s="636">
        <v>0</v>
      </c>
      <c r="T176" s="636">
        <v>0</v>
      </c>
      <c r="U176" s="636">
        <v>343351.4599999988</v>
      </c>
      <c r="V176" s="636">
        <v>298605.5500000001</v>
      </c>
      <c r="W176" s="636">
        <v>393802.28</v>
      </c>
      <c r="X176" s="636">
        <v>348489.52</v>
      </c>
      <c r="Y176" s="636">
        <v>980937.56</v>
      </c>
      <c r="Z176" s="636">
        <v>665018.26000000106</v>
      </c>
      <c r="AA176" s="636">
        <v>776288.41814639908</v>
      </c>
      <c r="AB176" s="636">
        <v>226439.61999999877</v>
      </c>
      <c r="AC176" s="638">
        <v>3798499.7881464008</v>
      </c>
      <c r="AD176" s="636">
        <v>4024939.4099999997</v>
      </c>
      <c r="AE176" s="638">
        <v>226439.62</v>
      </c>
      <c r="AF176" s="618">
        <f t="shared" si="12"/>
        <v>6.5468339001948971E-3</v>
      </c>
    </row>
    <row r="177" spans="1:32" x14ac:dyDescent="0.25">
      <c r="A177" s="691" t="s">
        <v>584</v>
      </c>
      <c r="B177" s="692"/>
      <c r="C177" s="635">
        <f t="shared" si="13"/>
        <v>0</v>
      </c>
      <c r="D177" s="635">
        <f t="shared" si="14"/>
        <v>0</v>
      </c>
      <c r="E177" s="635">
        <f t="shared" si="15"/>
        <v>0</v>
      </c>
      <c r="F177" s="635">
        <f t="shared" si="16"/>
        <v>654174.3600000001</v>
      </c>
      <c r="G177" s="635">
        <f t="shared" si="17"/>
        <v>1140694.3026918536</v>
      </c>
      <c r="H177" s="641"/>
      <c r="I177" s="641">
        <v>0</v>
      </c>
      <c r="J177" s="641">
        <v>0</v>
      </c>
      <c r="K177" s="641">
        <v>0</v>
      </c>
      <c r="L177" s="641">
        <v>0</v>
      </c>
      <c r="M177" s="641">
        <v>0</v>
      </c>
      <c r="N177" s="641">
        <v>0</v>
      </c>
      <c r="O177" s="641">
        <v>0</v>
      </c>
      <c r="P177" s="641">
        <v>0</v>
      </c>
      <c r="Q177" s="641">
        <v>0</v>
      </c>
      <c r="R177" s="645">
        <v>0</v>
      </c>
      <c r="S177" s="645">
        <v>0</v>
      </c>
      <c r="T177" s="645">
        <v>0</v>
      </c>
      <c r="U177" s="645">
        <v>213259.19</v>
      </c>
      <c r="V177" s="645">
        <v>220157.44999999998</v>
      </c>
      <c r="W177" s="645">
        <v>220757.72000000003</v>
      </c>
      <c r="X177" s="645">
        <v>242177.31</v>
      </c>
      <c r="Y177" s="645">
        <v>264160.33</v>
      </c>
      <c r="Z177" s="646">
        <v>246172</v>
      </c>
      <c r="AA177" s="641">
        <v>388184.66269185359</v>
      </c>
      <c r="AB177" s="645">
        <v>-7.0000000181607902E-2</v>
      </c>
      <c r="AC177" s="643">
        <v>1794868.6626918535</v>
      </c>
      <c r="AD177" s="643">
        <v>2045777.08</v>
      </c>
      <c r="AE177" s="643">
        <v>250908.42</v>
      </c>
      <c r="AF177" s="618">
        <f t="shared" si="12"/>
        <v>3.0935126135791203E-3</v>
      </c>
    </row>
    <row r="178" spans="1:32" x14ac:dyDescent="0.25">
      <c r="A178" s="691" t="s">
        <v>585</v>
      </c>
      <c r="B178" s="692"/>
      <c r="C178" s="635">
        <f t="shared" si="13"/>
        <v>0</v>
      </c>
      <c r="D178" s="635">
        <f t="shared" si="14"/>
        <v>0</v>
      </c>
      <c r="E178" s="635">
        <f t="shared" si="15"/>
        <v>0</v>
      </c>
      <c r="F178" s="635">
        <f t="shared" si="16"/>
        <v>381584.92999999883</v>
      </c>
      <c r="G178" s="635">
        <f t="shared" si="17"/>
        <v>1615352.2354545465</v>
      </c>
      <c r="H178" s="641"/>
      <c r="I178" s="641">
        <v>0</v>
      </c>
      <c r="J178" s="641">
        <v>0</v>
      </c>
      <c r="K178" s="641">
        <v>0</v>
      </c>
      <c r="L178" s="641">
        <v>0</v>
      </c>
      <c r="M178" s="641">
        <v>0</v>
      </c>
      <c r="N178" s="641">
        <v>0</v>
      </c>
      <c r="O178" s="641">
        <v>0</v>
      </c>
      <c r="P178" s="641">
        <v>0</v>
      </c>
      <c r="Q178" s="641">
        <v>0</v>
      </c>
      <c r="R178" s="645">
        <v>0</v>
      </c>
      <c r="S178" s="645">
        <v>0</v>
      </c>
      <c r="T178" s="645">
        <v>0</v>
      </c>
      <c r="U178" s="645">
        <v>130092.26999999874</v>
      </c>
      <c r="V178" s="645">
        <v>78448.100000000093</v>
      </c>
      <c r="W178" s="645">
        <v>173044.56</v>
      </c>
      <c r="X178" s="645">
        <v>106312.21</v>
      </c>
      <c r="Y178" s="645">
        <v>716777.23</v>
      </c>
      <c r="Z178" s="646">
        <v>418846.26000000106</v>
      </c>
      <c r="AA178" s="641">
        <v>373416.5354545454</v>
      </c>
      <c r="AB178" s="645">
        <v>-7705.1200000010531</v>
      </c>
      <c r="AC178" s="643">
        <v>1988943.9054545464</v>
      </c>
      <c r="AD178" s="643">
        <v>1918084.22</v>
      </c>
      <c r="AE178" s="643">
        <v>-70859.69</v>
      </c>
      <c r="AF178" s="618">
        <f t="shared" si="12"/>
        <v>3.428007400829687E-3</v>
      </c>
    </row>
    <row r="179" spans="1:32" ht="25.5" x14ac:dyDescent="0.25">
      <c r="A179" s="658" t="s">
        <v>482</v>
      </c>
      <c r="B179" s="659"/>
      <c r="C179" s="635">
        <f t="shared" si="13"/>
        <v>0</v>
      </c>
      <c r="D179" s="635">
        <f t="shared" si="14"/>
        <v>0</v>
      </c>
      <c r="E179" s="635">
        <f t="shared" si="15"/>
        <v>0</v>
      </c>
      <c r="F179" s="635">
        <f t="shared" si="16"/>
        <v>0</v>
      </c>
      <c r="G179" s="635">
        <f t="shared" si="17"/>
        <v>0</v>
      </c>
      <c r="H179" s="660">
        <v>0</v>
      </c>
      <c r="I179" s="660">
        <v>0</v>
      </c>
      <c r="J179" s="660">
        <v>0</v>
      </c>
      <c r="K179" s="660">
        <v>0</v>
      </c>
      <c r="L179" s="660">
        <v>0</v>
      </c>
      <c r="M179" s="660">
        <v>0</v>
      </c>
      <c r="N179" s="660">
        <v>0</v>
      </c>
      <c r="O179" s="660">
        <v>0</v>
      </c>
      <c r="P179" s="660">
        <v>0</v>
      </c>
      <c r="Q179" s="660">
        <v>0</v>
      </c>
      <c r="R179" s="660">
        <v>0</v>
      </c>
      <c r="S179" s="660">
        <v>0</v>
      </c>
      <c r="T179" s="660">
        <v>0</v>
      </c>
      <c r="U179" s="660">
        <v>0</v>
      </c>
      <c r="V179" s="660">
        <v>0</v>
      </c>
      <c r="W179" s="660">
        <v>0</v>
      </c>
      <c r="X179" s="660">
        <v>0</v>
      </c>
      <c r="Y179" s="660">
        <v>0</v>
      </c>
      <c r="Z179" s="660">
        <v>0</v>
      </c>
      <c r="AA179" s="661">
        <v>0</v>
      </c>
      <c r="AB179" s="660">
        <v>234144.81</v>
      </c>
      <c r="AC179" s="647">
        <v>0</v>
      </c>
      <c r="AD179" s="647">
        <v>0</v>
      </c>
      <c r="AE179" s="643">
        <v>0</v>
      </c>
      <c r="AF179" s="618">
        <f t="shared" si="12"/>
        <v>0</v>
      </c>
    </row>
    <row r="180" spans="1:32" x14ac:dyDescent="0.25">
      <c r="A180" s="658" t="s">
        <v>483</v>
      </c>
      <c r="B180" s="659"/>
      <c r="C180" s="635">
        <f t="shared" si="13"/>
        <v>0</v>
      </c>
      <c r="D180" s="635">
        <f t="shared" si="14"/>
        <v>0</v>
      </c>
      <c r="E180" s="635">
        <f t="shared" si="15"/>
        <v>0</v>
      </c>
      <c r="F180" s="635">
        <f t="shared" si="16"/>
        <v>0</v>
      </c>
      <c r="G180" s="635">
        <f t="shared" si="17"/>
        <v>14687.219999999998</v>
      </c>
      <c r="H180" s="660"/>
      <c r="I180" s="660"/>
      <c r="J180" s="660"/>
      <c r="K180" s="660"/>
      <c r="L180" s="660"/>
      <c r="M180" s="660"/>
      <c r="N180" s="660"/>
      <c r="O180" s="660">
        <v>0</v>
      </c>
      <c r="P180" s="660">
        <v>0</v>
      </c>
      <c r="Q180" s="660">
        <v>0</v>
      </c>
      <c r="R180" s="660">
        <v>0</v>
      </c>
      <c r="S180" s="660">
        <v>0</v>
      </c>
      <c r="T180" s="660">
        <v>0</v>
      </c>
      <c r="U180" s="660">
        <v>0</v>
      </c>
      <c r="V180" s="660">
        <v>0</v>
      </c>
      <c r="W180" s="660">
        <v>0</v>
      </c>
      <c r="X180" s="660">
        <v>0</v>
      </c>
      <c r="Y180" s="660">
        <v>0</v>
      </c>
      <c r="Z180" s="661">
        <v>0</v>
      </c>
      <c r="AA180" s="661">
        <v>14687.219999999998</v>
      </c>
      <c r="AB180" s="660"/>
      <c r="AC180" s="647">
        <v>14687.219999999998</v>
      </c>
      <c r="AD180" s="647">
        <v>61078.11</v>
      </c>
      <c r="AE180" s="643">
        <v>46390.89</v>
      </c>
      <c r="AF180" s="618">
        <f t="shared" si="12"/>
        <v>2.5313885786088799E-5</v>
      </c>
    </row>
    <row r="181" spans="1:32" x14ac:dyDescent="0.25">
      <c r="A181" s="708" t="s">
        <v>668</v>
      </c>
      <c r="B181" s="701" t="s">
        <v>583</v>
      </c>
      <c r="C181" s="635">
        <f t="shared" si="13"/>
        <v>0</v>
      </c>
      <c r="D181" s="635">
        <f t="shared" si="14"/>
        <v>0</v>
      </c>
      <c r="E181" s="635">
        <f t="shared" si="15"/>
        <v>0</v>
      </c>
      <c r="F181" s="635">
        <f t="shared" si="16"/>
        <v>8731.17</v>
      </c>
      <c r="G181" s="635">
        <f t="shared" si="17"/>
        <v>203029.96132624953</v>
      </c>
      <c r="H181" s="636">
        <v>0</v>
      </c>
      <c r="I181" s="636">
        <v>0</v>
      </c>
      <c r="J181" s="636">
        <v>0</v>
      </c>
      <c r="K181" s="636">
        <v>0</v>
      </c>
      <c r="L181" s="636">
        <v>0</v>
      </c>
      <c r="M181" s="636">
        <v>0</v>
      </c>
      <c r="N181" s="636">
        <v>0</v>
      </c>
      <c r="O181" s="636">
        <v>0</v>
      </c>
      <c r="P181" s="636">
        <v>0</v>
      </c>
      <c r="Q181" s="637">
        <v>0</v>
      </c>
      <c r="R181" s="636">
        <v>0</v>
      </c>
      <c r="S181" s="636">
        <v>0</v>
      </c>
      <c r="T181" s="636">
        <v>0</v>
      </c>
      <c r="U181" s="636">
        <v>0</v>
      </c>
      <c r="V181" s="636">
        <v>3361.43</v>
      </c>
      <c r="W181" s="636">
        <v>5369.7400000000007</v>
      </c>
      <c r="X181" s="636">
        <v>61658.829999999994</v>
      </c>
      <c r="Y181" s="636">
        <v>41687.83</v>
      </c>
      <c r="Z181" s="636">
        <v>44600.51</v>
      </c>
      <c r="AA181" s="636">
        <v>55082.791326249506</v>
      </c>
      <c r="AB181" s="636">
        <v>7113.6499999999978</v>
      </c>
      <c r="AC181" s="638">
        <v>211663.0613262495</v>
      </c>
      <c r="AD181" s="636">
        <v>218776.49</v>
      </c>
      <c r="AE181" s="638">
        <v>7113.43</v>
      </c>
      <c r="AF181" s="618">
        <f t="shared" si="12"/>
        <v>3.6480794592486457E-4</v>
      </c>
    </row>
    <row r="182" spans="1:32" x14ac:dyDescent="0.25">
      <c r="A182" s="691" t="s">
        <v>584</v>
      </c>
      <c r="B182" s="692"/>
      <c r="C182" s="635">
        <f t="shared" si="13"/>
        <v>0</v>
      </c>
      <c r="D182" s="635">
        <f t="shared" si="14"/>
        <v>0</v>
      </c>
      <c r="E182" s="635">
        <f t="shared" si="15"/>
        <v>0</v>
      </c>
      <c r="F182" s="635">
        <f t="shared" si="16"/>
        <v>8731.17</v>
      </c>
      <c r="G182" s="635">
        <f t="shared" si="17"/>
        <v>97295.181326249498</v>
      </c>
      <c r="H182" s="641"/>
      <c r="I182" s="641">
        <v>0</v>
      </c>
      <c r="J182" s="641">
        <v>0</v>
      </c>
      <c r="K182" s="641">
        <v>0</v>
      </c>
      <c r="L182" s="641">
        <v>0</v>
      </c>
      <c r="M182" s="641">
        <v>0</v>
      </c>
      <c r="N182" s="641">
        <v>0</v>
      </c>
      <c r="O182" s="641">
        <v>0</v>
      </c>
      <c r="P182" s="641">
        <v>0</v>
      </c>
      <c r="Q182" s="641">
        <v>0</v>
      </c>
      <c r="R182" s="645">
        <v>0</v>
      </c>
      <c r="S182" s="645">
        <v>0</v>
      </c>
      <c r="T182" s="645">
        <v>0</v>
      </c>
      <c r="U182" s="645">
        <v>0</v>
      </c>
      <c r="V182" s="645">
        <v>3361.43</v>
      </c>
      <c r="W182" s="645">
        <v>5369.7400000000007</v>
      </c>
      <c r="X182" s="645">
        <v>43214.45</v>
      </c>
      <c r="Y182" s="645">
        <v>12876.369999999999</v>
      </c>
      <c r="Z182" s="646">
        <v>16044.779999999999</v>
      </c>
      <c r="AA182" s="641">
        <v>25159.581326249507</v>
      </c>
      <c r="AB182" s="645">
        <v>-0.43999999999505235</v>
      </c>
      <c r="AC182" s="643">
        <v>106026.3513262495</v>
      </c>
      <c r="AD182" s="643">
        <v>103787.08</v>
      </c>
      <c r="AE182" s="643">
        <v>-2239.27</v>
      </c>
      <c r="AF182" s="618">
        <f t="shared" si="12"/>
        <v>1.8273975250513062E-4</v>
      </c>
    </row>
    <row r="183" spans="1:32" x14ac:dyDescent="0.25">
      <c r="A183" s="709" t="s">
        <v>585</v>
      </c>
      <c r="B183" s="640"/>
      <c r="C183" s="635">
        <f t="shared" si="13"/>
        <v>0</v>
      </c>
      <c r="D183" s="635">
        <f t="shared" si="14"/>
        <v>0</v>
      </c>
      <c r="E183" s="635">
        <f t="shared" si="15"/>
        <v>0</v>
      </c>
      <c r="F183" s="635">
        <f t="shared" si="16"/>
        <v>0</v>
      </c>
      <c r="G183" s="635">
        <f t="shared" si="17"/>
        <v>98733.69</v>
      </c>
      <c r="H183" s="641"/>
      <c r="I183" s="641"/>
      <c r="J183" s="641"/>
      <c r="K183" s="641"/>
      <c r="L183" s="641"/>
      <c r="M183" s="641"/>
      <c r="N183" s="641"/>
      <c r="O183" s="641"/>
      <c r="P183" s="641"/>
      <c r="Q183" s="641"/>
      <c r="R183" s="645"/>
      <c r="S183" s="645"/>
      <c r="T183" s="645"/>
      <c r="U183" s="645"/>
      <c r="V183" s="645"/>
      <c r="W183" s="645">
        <v>0</v>
      </c>
      <c r="X183" s="645">
        <v>18444.379999999997</v>
      </c>
      <c r="Y183" s="645">
        <v>28811.460000000003</v>
      </c>
      <c r="Z183" s="646">
        <v>28555.730000000003</v>
      </c>
      <c r="AA183" s="641">
        <v>22922.12</v>
      </c>
      <c r="AB183" s="645">
        <v>-6.9917405198793858E-12</v>
      </c>
      <c r="AC183" s="643">
        <v>98635.62</v>
      </c>
      <c r="AD183" s="643">
        <v>111151.97</v>
      </c>
      <c r="AE183" s="643">
        <v>12516.35</v>
      </c>
      <c r="AF183" s="618">
        <f t="shared" si="12"/>
        <v>1.7000159452367815E-4</v>
      </c>
    </row>
    <row r="184" spans="1:32" ht="25.5" x14ac:dyDescent="0.25">
      <c r="A184" s="658" t="s">
        <v>482</v>
      </c>
      <c r="B184" s="659"/>
      <c r="C184" s="635">
        <f t="shared" si="13"/>
        <v>0</v>
      </c>
      <c r="D184" s="635">
        <f t="shared" si="14"/>
        <v>0</v>
      </c>
      <c r="E184" s="635">
        <f t="shared" si="15"/>
        <v>0</v>
      </c>
      <c r="F184" s="635">
        <f t="shared" si="16"/>
        <v>0</v>
      </c>
      <c r="G184" s="635">
        <f t="shared" si="17"/>
        <v>0</v>
      </c>
      <c r="H184" s="660">
        <v>0</v>
      </c>
      <c r="I184" s="660">
        <v>0</v>
      </c>
      <c r="J184" s="660">
        <v>0</v>
      </c>
      <c r="K184" s="660">
        <v>0</v>
      </c>
      <c r="L184" s="660">
        <v>0</v>
      </c>
      <c r="M184" s="660">
        <v>0</v>
      </c>
      <c r="N184" s="660">
        <v>0</v>
      </c>
      <c r="O184" s="660">
        <v>0</v>
      </c>
      <c r="P184" s="660">
        <v>0</v>
      </c>
      <c r="Q184" s="660">
        <v>0</v>
      </c>
      <c r="R184" s="660">
        <v>0</v>
      </c>
      <c r="S184" s="660">
        <v>0</v>
      </c>
      <c r="T184" s="660">
        <v>0</v>
      </c>
      <c r="U184" s="660">
        <v>0</v>
      </c>
      <c r="V184" s="660">
        <v>0</v>
      </c>
      <c r="W184" s="660">
        <v>0</v>
      </c>
      <c r="X184" s="660">
        <v>0</v>
      </c>
      <c r="Y184" s="660">
        <v>0</v>
      </c>
      <c r="Z184" s="660">
        <v>0</v>
      </c>
      <c r="AA184" s="661">
        <v>0</v>
      </c>
      <c r="AB184" s="660">
        <v>7114.09</v>
      </c>
      <c r="AC184" s="647">
        <v>0</v>
      </c>
      <c r="AD184" s="647">
        <v>0</v>
      </c>
      <c r="AE184" s="643">
        <v>0</v>
      </c>
      <c r="AF184" s="618">
        <f t="shared" si="12"/>
        <v>0</v>
      </c>
    </row>
    <row r="185" spans="1:32" x14ac:dyDescent="0.25">
      <c r="A185" s="658" t="s">
        <v>483</v>
      </c>
      <c r="B185" s="659"/>
      <c r="C185" s="635">
        <f t="shared" si="13"/>
        <v>0</v>
      </c>
      <c r="D185" s="635">
        <f t="shared" si="14"/>
        <v>0</v>
      </c>
      <c r="E185" s="635">
        <f t="shared" si="15"/>
        <v>0</v>
      </c>
      <c r="F185" s="635">
        <f t="shared" si="16"/>
        <v>0</v>
      </c>
      <c r="G185" s="635">
        <f t="shared" si="17"/>
        <v>7001.09</v>
      </c>
      <c r="H185" s="660"/>
      <c r="I185" s="660">
        <v>0</v>
      </c>
      <c r="J185" s="660">
        <v>0</v>
      </c>
      <c r="K185" s="660">
        <v>0</v>
      </c>
      <c r="L185" s="660">
        <v>0</v>
      </c>
      <c r="M185" s="660">
        <v>0</v>
      </c>
      <c r="N185" s="660">
        <v>0</v>
      </c>
      <c r="O185" s="660">
        <v>0</v>
      </c>
      <c r="P185" s="660">
        <v>0</v>
      </c>
      <c r="Q185" s="660">
        <v>0</v>
      </c>
      <c r="R185" s="660">
        <v>0</v>
      </c>
      <c r="S185" s="660">
        <v>0</v>
      </c>
      <c r="T185" s="660">
        <v>0</v>
      </c>
      <c r="U185" s="660">
        <v>0</v>
      </c>
      <c r="V185" s="660">
        <v>0</v>
      </c>
      <c r="W185" s="660">
        <v>0</v>
      </c>
      <c r="X185" s="660">
        <v>0</v>
      </c>
      <c r="Y185" s="660">
        <v>0</v>
      </c>
      <c r="Z185" s="661">
        <v>0</v>
      </c>
      <c r="AA185" s="661">
        <v>7001.09</v>
      </c>
      <c r="AB185" s="660"/>
      <c r="AC185" s="647">
        <v>7001.09</v>
      </c>
      <c r="AD185" s="647">
        <v>3837.44</v>
      </c>
      <c r="AE185" s="643">
        <v>-3163.65</v>
      </c>
      <c r="AF185" s="618">
        <f t="shared" si="12"/>
        <v>1.2066598896055786E-5</v>
      </c>
    </row>
    <row r="186" spans="1:32" x14ac:dyDescent="0.25">
      <c r="A186" s="710" t="s">
        <v>669</v>
      </c>
      <c r="B186" s="694">
        <v>0</v>
      </c>
      <c r="C186" s="635">
        <f t="shared" si="13"/>
        <v>1068087.6899999995</v>
      </c>
      <c r="D186" s="635">
        <f t="shared" si="14"/>
        <v>4452182.83</v>
      </c>
      <c r="E186" s="635">
        <f t="shared" si="15"/>
        <v>9946771.4100000001</v>
      </c>
      <c r="F186" s="635">
        <f t="shared" si="16"/>
        <v>27370116.990000002</v>
      </c>
      <c r="G186" s="635">
        <f t="shared" si="17"/>
        <v>42896506.890000001</v>
      </c>
      <c r="H186" s="697">
        <v>0</v>
      </c>
      <c r="I186" s="697">
        <v>0</v>
      </c>
      <c r="J186" s="697">
        <v>541205.99999999942</v>
      </c>
      <c r="K186" s="697">
        <v>526881.68999999994</v>
      </c>
      <c r="L186" s="697">
        <v>86882.4</v>
      </c>
      <c r="M186" s="697">
        <v>1374663.2</v>
      </c>
      <c r="N186" s="697">
        <v>1355240.95</v>
      </c>
      <c r="O186" s="697">
        <v>1635396.2799999998</v>
      </c>
      <c r="P186" s="697">
        <v>1155008.01</v>
      </c>
      <c r="Q186" s="711">
        <v>2797874.3600000003</v>
      </c>
      <c r="R186" s="697">
        <v>1030497.05</v>
      </c>
      <c r="S186" s="697">
        <v>4963391.99</v>
      </c>
      <c r="T186" s="697">
        <v>2571829.2199999997</v>
      </c>
      <c r="U186" s="697">
        <v>8928801.4299999978</v>
      </c>
      <c r="V186" s="697">
        <v>8738108.1699999999</v>
      </c>
      <c r="W186" s="697">
        <v>7131378.1699999999</v>
      </c>
      <c r="X186" s="697">
        <v>11401296.99</v>
      </c>
      <c r="Y186" s="697">
        <v>15533728.17</v>
      </c>
      <c r="Z186" s="697">
        <v>15961481.73</v>
      </c>
      <c r="AA186" s="697"/>
      <c r="AB186" s="697">
        <v>8395691.6751515139</v>
      </c>
      <c r="AC186" s="697"/>
      <c r="AD186" s="697">
        <v>122488660.34999998</v>
      </c>
      <c r="AE186" s="695"/>
      <c r="AF186" s="618">
        <f t="shared" si="12"/>
        <v>0</v>
      </c>
    </row>
    <row r="187" spans="1:32" hidden="1" x14ac:dyDescent="0.25">
      <c r="A187" s="699" t="s">
        <v>670</v>
      </c>
      <c r="B187" s="712"/>
      <c r="C187" s="635">
        <f t="shared" si="13"/>
        <v>0</v>
      </c>
      <c r="D187" s="635">
        <f t="shared" si="14"/>
        <v>0</v>
      </c>
      <c r="E187" s="635">
        <f t="shared" si="15"/>
        <v>0</v>
      </c>
      <c r="F187" s="635">
        <f t="shared" si="16"/>
        <v>0</v>
      </c>
      <c r="G187" s="635">
        <f t="shared" si="17"/>
        <v>0</v>
      </c>
      <c r="H187" s="713"/>
      <c r="I187" s="713"/>
      <c r="J187" s="713"/>
      <c r="K187" s="713"/>
      <c r="L187" s="713"/>
      <c r="M187" s="713"/>
      <c r="N187" s="713"/>
      <c r="O187" s="713"/>
      <c r="P187" s="713">
        <v>0</v>
      </c>
      <c r="Q187" s="714">
        <v>0</v>
      </c>
      <c r="R187" s="713">
        <v>0</v>
      </c>
      <c r="S187" s="713">
        <v>0</v>
      </c>
      <c r="T187" s="713">
        <v>0</v>
      </c>
      <c r="U187" s="713">
        <v>0</v>
      </c>
      <c r="V187" s="713">
        <v>0</v>
      </c>
      <c r="W187" s="713">
        <v>0</v>
      </c>
      <c r="X187" s="713">
        <v>0</v>
      </c>
      <c r="Y187" s="713">
        <v>0</v>
      </c>
      <c r="Z187" s="713">
        <v>0</v>
      </c>
      <c r="AA187" s="713">
        <v>0</v>
      </c>
      <c r="AB187" s="713"/>
      <c r="AC187" s="713"/>
      <c r="AD187" s="713">
        <v>0</v>
      </c>
      <c r="AE187" s="713"/>
      <c r="AF187" s="618">
        <f t="shared" si="12"/>
        <v>0</v>
      </c>
    </row>
    <row r="188" spans="1:32" hidden="1" x14ac:dyDescent="0.25">
      <c r="A188" s="634" t="s">
        <v>671</v>
      </c>
      <c r="B188" s="701" t="s">
        <v>672</v>
      </c>
      <c r="C188" s="635">
        <f t="shared" si="13"/>
        <v>0</v>
      </c>
      <c r="D188" s="635">
        <f t="shared" si="14"/>
        <v>502701.94999999995</v>
      </c>
      <c r="E188" s="635">
        <f t="shared" si="15"/>
        <v>5701784.6799999997</v>
      </c>
      <c r="F188" s="635">
        <f t="shared" si="16"/>
        <v>13179793.449999999</v>
      </c>
      <c r="G188" s="635">
        <f t="shared" si="17"/>
        <v>12330992.07</v>
      </c>
      <c r="H188" s="662">
        <v>0</v>
      </c>
      <c r="I188" s="662">
        <v>0</v>
      </c>
      <c r="J188" s="662">
        <v>0</v>
      </c>
      <c r="K188" s="662">
        <v>0</v>
      </c>
      <c r="L188" s="662">
        <v>2501.9700000000003</v>
      </c>
      <c r="M188" s="662">
        <v>35352.520000000004</v>
      </c>
      <c r="N188" s="662">
        <v>365840.37</v>
      </c>
      <c r="O188" s="662">
        <v>99007.09</v>
      </c>
      <c r="P188" s="662">
        <v>1019218.4299999999</v>
      </c>
      <c r="Q188" s="663">
        <v>930921.15999999992</v>
      </c>
      <c r="R188" s="662">
        <v>1488348.01</v>
      </c>
      <c r="S188" s="662">
        <v>2263297.08</v>
      </c>
      <c r="T188" s="662">
        <v>2807584.26</v>
      </c>
      <c r="U188" s="662">
        <v>2976049.5300000003</v>
      </c>
      <c r="V188" s="662">
        <v>3855550.41</v>
      </c>
      <c r="W188" s="662">
        <v>3540609.25</v>
      </c>
      <c r="X188" s="662">
        <v>1852102.2799999998</v>
      </c>
      <c r="Y188" s="662">
        <v>3625311.8200000003</v>
      </c>
      <c r="Z188" s="662">
        <v>3465479.25</v>
      </c>
      <c r="AA188" s="636">
        <v>3388098.7199999997</v>
      </c>
      <c r="AB188" s="662">
        <v>887209.21698849532</v>
      </c>
      <c r="AC188" s="638">
        <v>31714267.07</v>
      </c>
      <c r="AD188" s="662">
        <v>32744884.720000003</v>
      </c>
      <c r="AE188" s="638">
        <v>1030617.65</v>
      </c>
      <c r="AF188" s="618">
        <f t="shared" si="12"/>
        <v>5.4660537147227121E-2</v>
      </c>
    </row>
    <row r="189" spans="1:32" hidden="1" x14ac:dyDescent="0.25">
      <c r="A189" s="715" t="s">
        <v>673</v>
      </c>
      <c r="B189" s="716" t="s">
        <v>674</v>
      </c>
      <c r="C189" s="635">
        <f t="shared" si="13"/>
        <v>0</v>
      </c>
      <c r="D189" s="635">
        <f t="shared" si="14"/>
        <v>0</v>
      </c>
      <c r="E189" s="635">
        <f t="shared" si="15"/>
        <v>3590151.1999999993</v>
      </c>
      <c r="F189" s="635">
        <f t="shared" si="16"/>
        <v>9687900.1799999997</v>
      </c>
      <c r="G189" s="635">
        <f t="shared" si="17"/>
        <v>6648184.9199999999</v>
      </c>
      <c r="H189" s="668">
        <v>0</v>
      </c>
      <c r="I189" s="668">
        <v>0</v>
      </c>
      <c r="J189" s="668">
        <v>0</v>
      </c>
      <c r="K189" s="668">
        <v>0</v>
      </c>
      <c r="L189" s="668">
        <v>0</v>
      </c>
      <c r="M189" s="668">
        <v>0</v>
      </c>
      <c r="N189" s="668">
        <v>0</v>
      </c>
      <c r="O189" s="668">
        <v>0</v>
      </c>
      <c r="P189" s="668">
        <v>562709.92999999993</v>
      </c>
      <c r="Q189" s="669">
        <v>646677.98</v>
      </c>
      <c r="R189" s="668">
        <v>1089040.19</v>
      </c>
      <c r="S189" s="668">
        <v>1291723.0999999999</v>
      </c>
      <c r="T189" s="668">
        <v>2310429.75</v>
      </c>
      <c r="U189" s="668">
        <v>2331347.31</v>
      </c>
      <c r="V189" s="668">
        <v>2556883.79</v>
      </c>
      <c r="W189" s="668">
        <v>2489239.33</v>
      </c>
      <c r="X189" s="668">
        <v>1264307.67</v>
      </c>
      <c r="Y189" s="668">
        <v>1528393.9700000002</v>
      </c>
      <c r="Z189" s="668">
        <v>1769586.69</v>
      </c>
      <c r="AA189" s="666">
        <v>2085896.5899999999</v>
      </c>
      <c r="AB189" s="668">
        <v>229172.14000000129</v>
      </c>
      <c r="AC189" s="643">
        <v>19926236.300000001</v>
      </c>
      <c r="AD189" s="717">
        <v>20076881.440000001</v>
      </c>
      <c r="AE189" s="718">
        <v>150645.14000000001</v>
      </c>
      <c r="AF189" s="618">
        <f t="shared" si="12"/>
        <v>3.4343495218619777E-2</v>
      </c>
    </row>
    <row r="190" spans="1:32" hidden="1" x14ac:dyDescent="0.25">
      <c r="A190" s="719" t="s">
        <v>675</v>
      </c>
      <c r="B190" s="720" t="s">
        <v>674</v>
      </c>
      <c r="C190" s="635">
        <f t="shared" si="13"/>
        <v>0</v>
      </c>
      <c r="D190" s="635">
        <f t="shared" si="14"/>
        <v>0</v>
      </c>
      <c r="E190" s="635">
        <f t="shared" si="15"/>
        <v>2026484.43</v>
      </c>
      <c r="F190" s="635">
        <f t="shared" si="16"/>
        <v>1677293.28</v>
      </c>
      <c r="G190" s="635">
        <f t="shared" si="17"/>
        <v>2174604.3499999996</v>
      </c>
      <c r="H190" s="645">
        <v>0</v>
      </c>
      <c r="I190" s="645">
        <v>0</v>
      </c>
      <c r="J190" s="645">
        <v>0</v>
      </c>
      <c r="K190" s="645">
        <v>0</v>
      </c>
      <c r="L190" s="645">
        <v>0</v>
      </c>
      <c r="M190" s="645">
        <v>0</v>
      </c>
      <c r="N190" s="645">
        <v>0</v>
      </c>
      <c r="O190" s="645">
        <v>0</v>
      </c>
      <c r="P190" s="645">
        <v>513440.98</v>
      </c>
      <c r="Q190" s="645">
        <v>509304</v>
      </c>
      <c r="R190" s="645">
        <v>630229.97</v>
      </c>
      <c r="S190" s="645">
        <v>373509.48</v>
      </c>
      <c r="T190" s="645">
        <v>372433.09</v>
      </c>
      <c r="U190" s="645">
        <v>434932.91</v>
      </c>
      <c r="V190" s="645">
        <v>434933.09</v>
      </c>
      <c r="W190" s="645">
        <v>434994.19</v>
      </c>
      <c r="X190" s="645">
        <v>434871.99</v>
      </c>
      <c r="Y190" s="645">
        <v>450948.97000000003</v>
      </c>
      <c r="Z190" s="645">
        <v>418917.21</v>
      </c>
      <c r="AA190" s="641">
        <v>869866.17999999993</v>
      </c>
      <c r="AB190" s="645">
        <v>-0.76999999978579581</v>
      </c>
      <c r="AC190" s="643">
        <v>5878382.0599999996</v>
      </c>
      <c r="AD190" s="717">
        <v>5878381.29</v>
      </c>
      <c r="AE190" s="718">
        <v>-0.77</v>
      </c>
      <c r="AF190" s="618">
        <f t="shared" si="12"/>
        <v>1.0131576436782004E-2</v>
      </c>
    </row>
    <row r="191" spans="1:32" hidden="1" x14ac:dyDescent="0.25">
      <c r="A191" s="719" t="s">
        <v>676</v>
      </c>
      <c r="B191" s="720" t="s">
        <v>674</v>
      </c>
      <c r="C191" s="635">
        <f t="shared" si="13"/>
        <v>0</v>
      </c>
      <c r="D191" s="635">
        <f t="shared" si="14"/>
        <v>0</v>
      </c>
      <c r="E191" s="635">
        <f t="shared" si="15"/>
        <v>1563666.7699999998</v>
      </c>
      <c r="F191" s="635">
        <f t="shared" si="16"/>
        <v>8010606.9000000004</v>
      </c>
      <c r="G191" s="635">
        <f t="shared" si="17"/>
        <v>4473580.57</v>
      </c>
      <c r="H191" s="645">
        <v>0</v>
      </c>
      <c r="I191" s="645">
        <v>0</v>
      </c>
      <c r="J191" s="645">
        <v>0</v>
      </c>
      <c r="K191" s="645">
        <v>0</v>
      </c>
      <c r="L191" s="645">
        <v>0</v>
      </c>
      <c r="M191" s="645">
        <v>0</v>
      </c>
      <c r="N191" s="645">
        <v>0</v>
      </c>
      <c r="O191" s="645">
        <v>0</v>
      </c>
      <c r="P191" s="645">
        <v>49268.95</v>
      </c>
      <c r="Q191" s="645">
        <v>137373.98000000001</v>
      </c>
      <c r="R191" s="645">
        <v>458810.22</v>
      </c>
      <c r="S191" s="645">
        <v>918213.61999999988</v>
      </c>
      <c r="T191" s="645">
        <v>1937996.66</v>
      </c>
      <c r="U191" s="645">
        <v>1896414.4000000001</v>
      </c>
      <c r="V191" s="645">
        <v>2121950.7000000002</v>
      </c>
      <c r="W191" s="645">
        <v>2054245.1400000001</v>
      </c>
      <c r="X191" s="645">
        <v>829435.67999999993</v>
      </c>
      <c r="Y191" s="645">
        <v>1077445</v>
      </c>
      <c r="Z191" s="646">
        <v>1350669.48</v>
      </c>
      <c r="AA191" s="641">
        <v>1216030.4100000001</v>
      </c>
      <c r="AB191" s="645">
        <v>229172.91000000108</v>
      </c>
      <c r="AC191" s="643">
        <v>14047854.24</v>
      </c>
      <c r="AD191" s="717">
        <v>14198500.15</v>
      </c>
      <c r="AE191" s="718">
        <v>150645.91</v>
      </c>
      <c r="AF191" s="618">
        <f t="shared" si="12"/>
        <v>2.4211918781837767E-2</v>
      </c>
    </row>
    <row r="192" spans="1:32" hidden="1" x14ac:dyDescent="0.25">
      <c r="A192" s="715" t="s">
        <v>677</v>
      </c>
      <c r="B192" s="716" t="s">
        <v>678</v>
      </c>
      <c r="C192" s="635">
        <f t="shared" si="13"/>
        <v>0</v>
      </c>
      <c r="D192" s="635">
        <f t="shared" si="14"/>
        <v>412106.14</v>
      </c>
      <c r="E192" s="635">
        <f t="shared" si="15"/>
        <v>937653.53</v>
      </c>
      <c r="F192" s="635">
        <f t="shared" si="16"/>
        <v>625784.65999999992</v>
      </c>
      <c r="G192" s="635">
        <f t="shared" si="17"/>
        <v>662245.82999999996</v>
      </c>
      <c r="H192" s="668">
        <v>0</v>
      </c>
      <c r="I192" s="668">
        <v>0</v>
      </c>
      <c r="J192" s="668">
        <v>0</v>
      </c>
      <c r="K192" s="668">
        <v>0</v>
      </c>
      <c r="L192" s="668">
        <v>2501.9700000000003</v>
      </c>
      <c r="M192" s="668">
        <v>5782</v>
      </c>
      <c r="N192" s="668">
        <v>333802.50999999995</v>
      </c>
      <c r="O192" s="668">
        <v>70019.66</v>
      </c>
      <c r="P192" s="668">
        <v>270010.21000000002</v>
      </c>
      <c r="Q192" s="669">
        <v>241841.86</v>
      </c>
      <c r="R192" s="668">
        <v>83512</v>
      </c>
      <c r="S192" s="668">
        <v>342289.46</v>
      </c>
      <c r="T192" s="668">
        <v>308898.65999999997</v>
      </c>
      <c r="U192" s="668">
        <v>2320</v>
      </c>
      <c r="V192" s="668">
        <v>40416.649999999994</v>
      </c>
      <c r="W192" s="668">
        <v>274149.34999999998</v>
      </c>
      <c r="X192" s="668">
        <v>16178.42</v>
      </c>
      <c r="Y192" s="668">
        <v>340776.89999999997</v>
      </c>
      <c r="Z192" s="668">
        <v>200000</v>
      </c>
      <c r="AA192" s="666">
        <v>105290.51</v>
      </c>
      <c r="AB192" s="668">
        <v>0.48000000009997734</v>
      </c>
      <c r="AC192" s="643">
        <v>2637645.5099999998</v>
      </c>
      <c r="AD192" s="717">
        <v>2638159.3399999994</v>
      </c>
      <c r="AE192" s="718">
        <v>513.83000000000004</v>
      </c>
      <c r="AF192" s="618">
        <f t="shared" si="12"/>
        <v>4.5460650268961686E-3</v>
      </c>
    </row>
    <row r="193" spans="1:32" hidden="1" x14ac:dyDescent="0.25">
      <c r="A193" s="719" t="s">
        <v>679</v>
      </c>
      <c r="B193" s="720" t="s">
        <v>680</v>
      </c>
      <c r="C193" s="635">
        <f t="shared" si="13"/>
        <v>0</v>
      </c>
      <c r="D193" s="635">
        <f t="shared" si="14"/>
        <v>210000</v>
      </c>
      <c r="E193" s="635">
        <f t="shared" si="15"/>
        <v>240000</v>
      </c>
      <c r="F193" s="635">
        <f t="shared" si="16"/>
        <v>400000</v>
      </c>
      <c r="G193" s="635">
        <f t="shared" si="17"/>
        <v>580290.51</v>
      </c>
      <c r="H193" s="645">
        <v>0</v>
      </c>
      <c r="I193" s="645">
        <v>0</v>
      </c>
      <c r="J193" s="645">
        <v>0</v>
      </c>
      <c r="K193" s="645">
        <v>0</v>
      </c>
      <c r="L193" s="645">
        <v>0</v>
      </c>
      <c r="M193" s="645">
        <v>0</v>
      </c>
      <c r="N193" s="645">
        <v>210000</v>
      </c>
      <c r="O193" s="645">
        <v>0</v>
      </c>
      <c r="P193" s="645">
        <v>90000</v>
      </c>
      <c r="Q193" s="645">
        <v>150000</v>
      </c>
      <c r="R193" s="645">
        <v>0</v>
      </c>
      <c r="S193" s="645">
        <v>0</v>
      </c>
      <c r="T193" s="645">
        <v>150000</v>
      </c>
      <c r="U193" s="645">
        <v>0</v>
      </c>
      <c r="V193" s="645">
        <v>0</v>
      </c>
      <c r="W193" s="645">
        <v>250000</v>
      </c>
      <c r="X193" s="645">
        <v>0</v>
      </c>
      <c r="Y193" s="645">
        <v>275000</v>
      </c>
      <c r="Z193" s="645">
        <v>200000</v>
      </c>
      <c r="AA193" s="641">
        <v>105290.51</v>
      </c>
      <c r="AB193" s="645">
        <v>0</v>
      </c>
      <c r="AC193" s="643">
        <v>1430290.51</v>
      </c>
      <c r="AD193" s="717">
        <v>1430290.51</v>
      </c>
      <c r="AE193" s="718">
        <v>0</v>
      </c>
      <c r="AF193" s="618">
        <f t="shared" si="12"/>
        <v>2.4651506963922856E-3</v>
      </c>
    </row>
    <row r="194" spans="1:32" hidden="1" x14ac:dyDescent="0.25">
      <c r="A194" s="719" t="s">
        <v>681</v>
      </c>
      <c r="B194" s="720" t="s">
        <v>682</v>
      </c>
      <c r="C194" s="635">
        <f t="shared" si="13"/>
        <v>0</v>
      </c>
      <c r="D194" s="635">
        <f t="shared" si="14"/>
        <v>0</v>
      </c>
      <c r="E194" s="635">
        <f t="shared" si="15"/>
        <v>276534.65000000002</v>
      </c>
      <c r="F194" s="635">
        <f t="shared" si="16"/>
        <v>29420.720000000001</v>
      </c>
      <c r="G194" s="635">
        <f t="shared" si="17"/>
        <v>0</v>
      </c>
      <c r="H194" s="645">
        <v>0</v>
      </c>
      <c r="I194" s="645">
        <v>0</v>
      </c>
      <c r="J194" s="645">
        <v>0</v>
      </c>
      <c r="K194" s="645">
        <v>0</v>
      </c>
      <c r="L194" s="645">
        <v>0</v>
      </c>
      <c r="M194" s="645">
        <v>0</v>
      </c>
      <c r="N194" s="645">
        <v>0</v>
      </c>
      <c r="O194" s="645">
        <v>0</v>
      </c>
      <c r="P194" s="645">
        <v>0</v>
      </c>
      <c r="Q194" s="645">
        <v>0</v>
      </c>
      <c r="R194" s="645">
        <v>0</v>
      </c>
      <c r="S194" s="645">
        <v>276534.65000000002</v>
      </c>
      <c r="T194" s="645">
        <v>0</v>
      </c>
      <c r="U194" s="645">
        <v>0</v>
      </c>
      <c r="V194" s="645">
        <v>29420.720000000001</v>
      </c>
      <c r="W194" s="645">
        <v>0</v>
      </c>
      <c r="X194" s="645">
        <v>0</v>
      </c>
      <c r="Y194" s="645">
        <v>0</v>
      </c>
      <c r="Z194" s="645">
        <v>0</v>
      </c>
      <c r="AA194" s="641">
        <v>0</v>
      </c>
      <c r="AB194" s="645">
        <v>0</v>
      </c>
      <c r="AC194" s="643">
        <v>305955.37</v>
      </c>
      <c r="AD194" s="717">
        <v>305955.37</v>
      </c>
      <c r="AE194" s="718">
        <v>0</v>
      </c>
      <c r="AF194" s="618">
        <f t="shared" si="12"/>
        <v>5.2732370672057334E-4</v>
      </c>
    </row>
    <row r="195" spans="1:32" hidden="1" x14ac:dyDescent="0.25">
      <c r="A195" s="719" t="s">
        <v>683</v>
      </c>
      <c r="B195" s="720" t="s">
        <v>684</v>
      </c>
      <c r="C195" s="635">
        <f t="shared" si="13"/>
        <v>0</v>
      </c>
      <c r="D195" s="635">
        <f t="shared" si="14"/>
        <v>0</v>
      </c>
      <c r="E195" s="635">
        <f t="shared" si="15"/>
        <v>105448.18</v>
      </c>
      <c r="F195" s="635">
        <f t="shared" si="16"/>
        <v>107030</v>
      </c>
      <c r="G195" s="635">
        <f t="shared" si="17"/>
        <v>0</v>
      </c>
      <c r="H195" s="645">
        <v>0</v>
      </c>
      <c r="I195" s="645">
        <v>0</v>
      </c>
      <c r="J195" s="645">
        <v>0</v>
      </c>
      <c r="K195" s="645">
        <v>0</v>
      </c>
      <c r="L195" s="645">
        <v>0</v>
      </c>
      <c r="M195" s="645">
        <v>0</v>
      </c>
      <c r="N195" s="645">
        <v>0</v>
      </c>
      <c r="O195" s="645">
        <v>0</v>
      </c>
      <c r="P195" s="645">
        <v>22000</v>
      </c>
      <c r="Q195" s="645">
        <v>-63.82</v>
      </c>
      <c r="R195" s="645">
        <v>83512</v>
      </c>
      <c r="S195" s="645">
        <v>0</v>
      </c>
      <c r="T195" s="645">
        <v>107030</v>
      </c>
      <c r="U195" s="645">
        <v>0</v>
      </c>
      <c r="V195" s="645">
        <v>0</v>
      </c>
      <c r="W195" s="645">
        <v>0</v>
      </c>
      <c r="X195" s="645">
        <v>0</v>
      </c>
      <c r="Y195" s="645">
        <v>0</v>
      </c>
      <c r="Z195" s="645">
        <v>0</v>
      </c>
      <c r="AA195" s="641">
        <v>0</v>
      </c>
      <c r="AB195" s="645">
        <v>0</v>
      </c>
      <c r="AC195" s="643">
        <v>212478.18</v>
      </c>
      <c r="AD195" s="717">
        <v>212478.18</v>
      </c>
      <c r="AE195" s="718">
        <v>0</v>
      </c>
      <c r="AF195" s="618">
        <f t="shared" si="12"/>
        <v>3.6621282860582315E-4</v>
      </c>
    </row>
    <row r="196" spans="1:32" hidden="1" x14ac:dyDescent="0.25">
      <c r="A196" s="719" t="s">
        <v>685</v>
      </c>
      <c r="B196" s="720" t="s">
        <v>686</v>
      </c>
      <c r="C196" s="635">
        <f t="shared" si="13"/>
        <v>0</v>
      </c>
      <c r="D196" s="635">
        <f t="shared" si="14"/>
        <v>8283.9700000000012</v>
      </c>
      <c r="E196" s="635">
        <f t="shared" si="15"/>
        <v>13843.68</v>
      </c>
      <c r="F196" s="635">
        <f t="shared" si="16"/>
        <v>0</v>
      </c>
      <c r="G196" s="635">
        <f t="shared" si="17"/>
        <v>0</v>
      </c>
      <c r="H196" s="645">
        <v>0</v>
      </c>
      <c r="I196" s="645">
        <v>0</v>
      </c>
      <c r="J196" s="645">
        <v>0</v>
      </c>
      <c r="K196" s="645">
        <v>0</v>
      </c>
      <c r="L196" s="645">
        <v>2501.9700000000003</v>
      </c>
      <c r="M196" s="645">
        <v>5782</v>
      </c>
      <c r="N196" s="645">
        <v>0</v>
      </c>
      <c r="O196" s="645">
        <v>0</v>
      </c>
      <c r="P196" s="645">
        <v>13843.68</v>
      </c>
      <c r="Q196" s="645">
        <v>0</v>
      </c>
      <c r="R196" s="645">
        <v>0</v>
      </c>
      <c r="S196" s="645">
        <v>0</v>
      </c>
      <c r="T196" s="645">
        <v>0</v>
      </c>
      <c r="U196" s="645">
        <v>0</v>
      </c>
      <c r="V196" s="645">
        <v>0</v>
      </c>
      <c r="W196" s="645">
        <v>0</v>
      </c>
      <c r="X196" s="645">
        <v>0</v>
      </c>
      <c r="Y196" s="645">
        <v>0</v>
      </c>
      <c r="Z196" s="645">
        <v>0</v>
      </c>
      <c r="AA196" s="641">
        <v>0</v>
      </c>
      <c r="AB196" s="645">
        <v>1.6058265828178264E-12</v>
      </c>
      <c r="AC196" s="643">
        <v>22033.890000000003</v>
      </c>
      <c r="AD196" s="717">
        <v>22033.890000000003</v>
      </c>
      <c r="AE196" s="718">
        <v>0</v>
      </c>
      <c r="AF196" s="618">
        <f t="shared" si="12"/>
        <v>3.7976102685412504E-5</v>
      </c>
    </row>
    <row r="197" spans="1:32" hidden="1" x14ac:dyDescent="0.25">
      <c r="A197" s="719" t="s">
        <v>687</v>
      </c>
      <c r="B197" s="720" t="s">
        <v>688</v>
      </c>
      <c r="C197" s="635">
        <f t="shared" si="13"/>
        <v>0</v>
      </c>
      <c r="D197" s="635">
        <f t="shared" si="14"/>
        <v>29608.47</v>
      </c>
      <c r="E197" s="635">
        <f t="shared" si="15"/>
        <v>0</v>
      </c>
      <c r="F197" s="635">
        <f t="shared" si="16"/>
        <v>0</v>
      </c>
      <c r="G197" s="635">
        <f t="shared" si="17"/>
        <v>0</v>
      </c>
      <c r="H197" s="645">
        <v>0</v>
      </c>
      <c r="I197" s="645">
        <v>0</v>
      </c>
      <c r="J197" s="645">
        <v>0</v>
      </c>
      <c r="K197" s="645">
        <v>0</v>
      </c>
      <c r="L197" s="645">
        <v>0</v>
      </c>
      <c r="M197" s="645">
        <v>0</v>
      </c>
      <c r="N197" s="645">
        <v>0</v>
      </c>
      <c r="O197" s="645">
        <v>29608.47</v>
      </c>
      <c r="P197" s="645">
        <v>0</v>
      </c>
      <c r="Q197" s="645">
        <v>0</v>
      </c>
      <c r="R197" s="645">
        <v>0</v>
      </c>
      <c r="S197" s="645">
        <v>0</v>
      </c>
      <c r="T197" s="645">
        <v>0</v>
      </c>
      <c r="U197" s="645">
        <v>0</v>
      </c>
      <c r="V197" s="645">
        <v>0</v>
      </c>
      <c r="W197" s="645">
        <v>0</v>
      </c>
      <c r="X197" s="645">
        <v>0</v>
      </c>
      <c r="Y197" s="645">
        <v>0</v>
      </c>
      <c r="Z197" s="645">
        <v>0</v>
      </c>
      <c r="AA197" s="641">
        <v>0</v>
      </c>
      <c r="AB197" s="645">
        <v>0</v>
      </c>
      <c r="AC197" s="643">
        <v>29608.47</v>
      </c>
      <c r="AD197" s="717">
        <v>29608.47</v>
      </c>
      <c r="AE197" s="718">
        <v>0</v>
      </c>
      <c r="AF197" s="618">
        <f t="shared" ref="AF197:AF260" si="18">AC197/$AC$556</f>
        <v>5.1031129640656073E-5</v>
      </c>
    </row>
    <row r="198" spans="1:32" hidden="1" x14ac:dyDescent="0.25">
      <c r="A198" s="719" t="s">
        <v>689</v>
      </c>
      <c r="B198" s="720" t="s">
        <v>690</v>
      </c>
      <c r="C198" s="635">
        <f t="shared" ref="C198:C261" si="19">SUM(H198:K198)</f>
        <v>0</v>
      </c>
      <c r="D198" s="635">
        <f t="shared" ref="D198:D261" si="20">SUM(L198:O198)</f>
        <v>89145.44</v>
      </c>
      <c r="E198" s="635">
        <f t="shared" ref="E198:E261" si="21">SUM(P198:S198)</f>
        <v>301827.02</v>
      </c>
      <c r="F198" s="635">
        <f t="shared" ref="F198:F261" si="22">SUM(T198:W198)</f>
        <v>89754.41</v>
      </c>
      <c r="G198" s="635">
        <f t="shared" ref="G198:G261" si="23">SUM(X198:AA198)</f>
        <v>81955.320000000007</v>
      </c>
      <c r="H198" s="645">
        <v>0</v>
      </c>
      <c r="I198" s="645">
        <v>0</v>
      </c>
      <c r="J198" s="645">
        <v>0</v>
      </c>
      <c r="K198" s="645">
        <v>0</v>
      </c>
      <c r="L198" s="645">
        <v>0</v>
      </c>
      <c r="M198" s="645">
        <v>0</v>
      </c>
      <c r="N198" s="645">
        <v>89087.92</v>
      </c>
      <c r="O198" s="645">
        <v>57.519999999999982</v>
      </c>
      <c r="P198" s="645">
        <v>144166.53</v>
      </c>
      <c r="Q198" s="645">
        <v>91905.68</v>
      </c>
      <c r="R198" s="645">
        <v>0</v>
      </c>
      <c r="S198" s="645">
        <v>65754.81</v>
      </c>
      <c r="T198" s="645">
        <v>52289.13</v>
      </c>
      <c r="U198" s="645">
        <v>2320</v>
      </c>
      <c r="V198" s="645">
        <v>10995.93</v>
      </c>
      <c r="W198" s="645">
        <v>24149.35</v>
      </c>
      <c r="X198" s="645">
        <v>16178.42</v>
      </c>
      <c r="Y198" s="645">
        <v>65776.900000000009</v>
      </c>
      <c r="Z198" s="645">
        <v>0</v>
      </c>
      <c r="AA198" s="641">
        <v>0</v>
      </c>
      <c r="AB198" s="645">
        <v>0.48000000009778887</v>
      </c>
      <c r="AC198" s="643">
        <v>562682.18999999994</v>
      </c>
      <c r="AD198" s="717">
        <v>563196.02</v>
      </c>
      <c r="AE198" s="718">
        <v>513.83000000000004</v>
      </c>
      <c r="AF198" s="618">
        <f t="shared" si="18"/>
        <v>9.6980045859776842E-4</v>
      </c>
    </row>
    <row r="199" spans="1:32" hidden="1" x14ac:dyDescent="0.25">
      <c r="A199" s="719" t="s">
        <v>691</v>
      </c>
      <c r="B199" s="720" t="s">
        <v>692</v>
      </c>
      <c r="C199" s="635">
        <f t="shared" si="19"/>
        <v>0</v>
      </c>
      <c r="D199" s="635">
        <f t="shared" si="20"/>
        <v>48160.22</v>
      </c>
      <c r="E199" s="635">
        <f t="shared" si="21"/>
        <v>0</v>
      </c>
      <c r="F199" s="635">
        <f t="shared" si="22"/>
        <v>-420.47</v>
      </c>
      <c r="G199" s="635">
        <f t="shared" si="23"/>
        <v>0</v>
      </c>
      <c r="H199" s="645">
        <v>0</v>
      </c>
      <c r="I199" s="645">
        <v>0</v>
      </c>
      <c r="J199" s="645">
        <v>0</v>
      </c>
      <c r="K199" s="645">
        <v>0</v>
      </c>
      <c r="L199" s="645">
        <v>0</v>
      </c>
      <c r="M199" s="645">
        <v>0</v>
      </c>
      <c r="N199" s="645">
        <v>34714.589999999997</v>
      </c>
      <c r="O199" s="645">
        <v>13445.630000000001</v>
      </c>
      <c r="P199" s="645">
        <v>0</v>
      </c>
      <c r="Q199" s="645">
        <v>0</v>
      </c>
      <c r="R199" s="645">
        <v>0</v>
      </c>
      <c r="S199" s="645">
        <v>0</v>
      </c>
      <c r="T199" s="645">
        <v>-420.47</v>
      </c>
      <c r="U199" s="645">
        <v>0</v>
      </c>
      <c r="V199" s="645">
        <v>0</v>
      </c>
      <c r="W199" s="645">
        <v>0</v>
      </c>
      <c r="X199" s="645">
        <v>0</v>
      </c>
      <c r="Y199" s="645">
        <v>0</v>
      </c>
      <c r="Z199" s="645">
        <v>0</v>
      </c>
      <c r="AA199" s="641">
        <v>0</v>
      </c>
      <c r="AB199" s="645">
        <v>5.8264504332328215E-13</v>
      </c>
      <c r="AC199" s="643">
        <v>47688.86</v>
      </c>
      <c r="AD199" s="717">
        <v>47688.86</v>
      </c>
      <c r="AE199" s="718">
        <v>0</v>
      </c>
      <c r="AF199" s="618">
        <f t="shared" si="18"/>
        <v>8.219325068384478E-5</v>
      </c>
    </row>
    <row r="200" spans="1:32" hidden="1" x14ac:dyDescent="0.25">
      <c r="A200" s="719" t="s">
        <v>693</v>
      </c>
      <c r="B200" s="720" t="s">
        <v>694</v>
      </c>
      <c r="C200" s="635">
        <f t="shared" si="19"/>
        <v>0</v>
      </c>
      <c r="D200" s="635">
        <f t="shared" si="20"/>
        <v>26908.04</v>
      </c>
      <c r="E200" s="635">
        <f t="shared" si="21"/>
        <v>0</v>
      </c>
      <c r="F200" s="635">
        <f t="shared" si="22"/>
        <v>0</v>
      </c>
      <c r="G200" s="635">
        <f t="shared" si="23"/>
        <v>0</v>
      </c>
      <c r="H200" s="645"/>
      <c r="I200" s="645"/>
      <c r="J200" s="645"/>
      <c r="K200" s="645"/>
      <c r="L200" s="645"/>
      <c r="M200" s="645"/>
      <c r="N200" s="645"/>
      <c r="O200" s="645">
        <v>26908.04</v>
      </c>
      <c r="P200" s="645">
        <v>0</v>
      </c>
      <c r="Q200" s="645">
        <v>0</v>
      </c>
      <c r="R200" s="645">
        <v>0</v>
      </c>
      <c r="S200" s="645">
        <v>0</v>
      </c>
      <c r="T200" s="645">
        <v>0</v>
      </c>
      <c r="U200" s="645">
        <v>0</v>
      </c>
      <c r="V200" s="645">
        <v>0</v>
      </c>
      <c r="W200" s="645">
        <v>0</v>
      </c>
      <c r="X200" s="645">
        <v>0</v>
      </c>
      <c r="Y200" s="645">
        <v>0</v>
      </c>
      <c r="Z200" s="645">
        <v>0</v>
      </c>
      <c r="AA200" s="641">
        <v>0</v>
      </c>
      <c r="AB200" s="645">
        <v>0</v>
      </c>
      <c r="AC200" s="643">
        <v>26908.04</v>
      </c>
      <c r="AD200" s="717">
        <v>26908.04</v>
      </c>
      <c r="AE200" s="718">
        <v>0</v>
      </c>
      <c r="AF200" s="618">
        <f t="shared" si="18"/>
        <v>4.6376853569804835E-5</v>
      </c>
    </row>
    <row r="201" spans="1:32" hidden="1" x14ac:dyDescent="0.25">
      <c r="A201" s="715" t="s">
        <v>695</v>
      </c>
      <c r="B201" s="716" t="s">
        <v>696</v>
      </c>
      <c r="C201" s="635">
        <f t="shared" si="19"/>
        <v>0</v>
      </c>
      <c r="D201" s="635">
        <f t="shared" si="20"/>
        <v>0</v>
      </c>
      <c r="E201" s="635">
        <f t="shared" si="21"/>
        <v>1048219.44</v>
      </c>
      <c r="F201" s="635">
        <f t="shared" si="22"/>
        <v>1389870.91</v>
      </c>
      <c r="G201" s="635">
        <f t="shared" si="23"/>
        <v>3785786.1</v>
      </c>
      <c r="H201" s="668">
        <v>0</v>
      </c>
      <c r="I201" s="668">
        <v>0</v>
      </c>
      <c r="J201" s="668">
        <v>0</v>
      </c>
      <c r="K201" s="668">
        <v>0</v>
      </c>
      <c r="L201" s="668">
        <v>0</v>
      </c>
      <c r="M201" s="668">
        <v>0</v>
      </c>
      <c r="N201" s="668">
        <v>0</v>
      </c>
      <c r="O201" s="668">
        <v>0</v>
      </c>
      <c r="P201" s="668">
        <v>151157.60999999999</v>
      </c>
      <c r="Q201" s="669">
        <v>19637.240000000002</v>
      </c>
      <c r="R201" s="668">
        <v>284746.19</v>
      </c>
      <c r="S201" s="668">
        <v>592678.40000000002</v>
      </c>
      <c r="T201" s="668">
        <v>150330.81</v>
      </c>
      <c r="U201" s="668">
        <v>275836</v>
      </c>
      <c r="V201" s="668">
        <v>731131.4</v>
      </c>
      <c r="W201" s="668">
        <v>232572.7</v>
      </c>
      <c r="X201" s="668">
        <v>323082.45999999996</v>
      </c>
      <c r="Y201" s="668">
        <v>1321997.33</v>
      </c>
      <c r="Z201" s="668">
        <v>1175254.83</v>
      </c>
      <c r="AA201" s="666">
        <v>965451.48</v>
      </c>
      <c r="AB201" s="668">
        <v>41285.229999999647</v>
      </c>
      <c r="AC201" s="643">
        <v>6223876.4500000011</v>
      </c>
      <c r="AD201" s="717">
        <v>6650600.6799999997</v>
      </c>
      <c r="AE201" s="718">
        <v>426724.23</v>
      </c>
      <c r="AF201" s="618">
        <f t="shared" si="18"/>
        <v>1.0727046888521304E-2</v>
      </c>
    </row>
    <row r="202" spans="1:32" hidden="1" x14ac:dyDescent="0.25">
      <c r="A202" s="719" t="s">
        <v>679</v>
      </c>
      <c r="B202" s="720" t="s">
        <v>697</v>
      </c>
      <c r="C202" s="635">
        <f t="shared" si="19"/>
        <v>0</v>
      </c>
      <c r="D202" s="635">
        <f t="shared" si="20"/>
        <v>0</v>
      </c>
      <c r="E202" s="635">
        <f t="shared" si="21"/>
        <v>492728.32000000001</v>
      </c>
      <c r="F202" s="635">
        <f t="shared" si="22"/>
        <v>441410.16000000003</v>
      </c>
      <c r="G202" s="635">
        <f t="shared" si="23"/>
        <v>0</v>
      </c>
      <c r="H202" s="645">
        <v>0</v>
      </c>
      <c r="I202" s="645">
        <v>0</v>
      </c>
      <c r="J202" s="645">
        <v>0</v>
      </c>
      <c r="K202" s="645">
        <v>0</v>
      </c>
      <c r="L202" s="645">
        <v>0</v>
      </c>
      <c r="M202" s="645">
        <v>0</v>
      </c>
      <c r="N202" s="645">
        <v>0</v>
      </c>
      <c r="O202" s="645">
        <v>0</v>
      </c>
      <c r="P202" s="645">
        <v>0</v>
      </c>
      <c r="Q202" s="645">
        <v>0</v>
      </c>
      <c r="R202" s="645">
        <v>0</v>
      </c>
      <c r="S202" s="645">
        <v>492728.32000000001</v>
      </c>
      <c r="T202" s="645">
        <v>0</v>
      </c>
      <c r="U202" s="645">
        <v>275836</v>
      </c>
      <c r="V202" s="645">
        <v>165574.16</v>
      </c>
      <c r="W202" s="645">
        <v>0</v>
      </c>
      <c r="X202" s="645">
        <v>0</v>
      </c>
      <c r="Y202" s="645">
        <v>0</v>
      </c>
      <c r="Z202" s="645">
        <v>0</v>
      </c>
      <c r="AA202" s="641">
        <v>0</v>
      </c>
      <c r="AB202" s="645">
        <v>0</v>
      </c>
      <c r="AC202" s="643">
        <v>934138.48</v>
      </c>
      <c r="AD202" s="717">
        <v>934138.48</v>
      </c>
      <c r="AE202" s="718">
        <v>0</v>
      </c>
      <c r="AF202" s="618">
        <f t="shared" si="18"/>
        <v>1.6100170618476878E-3</v>
      </c>
    </row>
    <row r="203" spans="1:32" hidden="1" x14ac:dyDescent="0.25">
      <c r="A203" s="719" t="s">
        <v>698</v>
      </c>
      <c r="B203" s="720" t="s">
        <v>699</v>
      </c>
      <c r="C203" s="635">
        <f t="shared" si="19"/>
        <v>0</v>
      </c>
      <c r="D203" s="635">
        <f t="shared" si="20"/>
        <v>0</v>
      </c>
      <c r="E203" s="635">
        <f t="shared" si="21"/>
        <v>0</v>
      </c>
      <c r="F203" s="635">
        <f t="shared" si="22"/>
        <v>749948.07000000007</v>
      </c>
      <c r="G203" s="635">
        <f t="shared" si="23"/>
        <v>3599963.04</v>
      </c>
      <c r="H203" s="645">
        <v>0</v>
      </c>
      <c r="I203" s="645">
        <v>0</v>
      </c>
      <c r="J203" s="645">
        <v>0</v>
      </c>
      <c r="K203" s="645">
        <v>0</v>
      </c>
      <c r="L203" s="645">
        <v>0</v>
      </c>
      <c r="M203" s="645">
        <v>0</v>
      </c>
      <c r="N203" s="645">
        <v>0</v>
      </c>
      <c r="O203" s="645">
        <v>0</v>
      </c>
      <c r="P203" s="645">
        <v>0</v>
      </c>
      <c r="Q203" s="645">
        <v>0</v>
      </c>
      <c r="R203" s="645">
        <v>0</v>
      </c>
      <c r="S203" s="645">
        <v>0</v>
      </c>
      <c r="T203" s="645">
        <v>150330.81</v>
      </c>
      <c r="U203" s="645">
        <v>0</v>
      </c>
      <c r="V203" s="645">
        <v>367044.56</v>
      </c>
      <c r="W203" s="645">
        <v>232572.7</v>
      </c>
      <c r="X203" s="645">
        <v>323082.45999999996</v>
      </c>
      <c r="Y203" s="645">
        <v>1223554.1000000001</v>
      </c>
      <c r="Z203" s="646">
        <v>1152867.25</v>
      </c>
      <c r="AA203" s="641">
        <v>900459.23</v>
      </c>
      <c r="AB203" s="645">
        <v>41284.869999999646</v>
      </c>
      <c r="AC203" s="643">
        <v>4349911.1099999994</v>
      </c>
      <c r="AD203" s="717">
        <v>4748739.17</v>
      </c>
      <c r="AE203" s="718">
        <v>398828.06</v>
      </c>
      <c r="AF203" s="618">
        <f t="shared" si="18"/>
        <v>7.4972086629177441E-3</v>
      </c>
    </row>
    <row r="204" spans="1:32" hidden="1" x14ac:dyDescent="0.25">
      <c r="A204" s="719" t="s">
        <v>700</v>
      </c>
      <c r="B204" s="720" t="s">
        <v>701</v>
      </c>
      <c r="C204" s="635">
        <f t="shared" si="19"/>
        <v>0</v>
      </c>
      <c r="D204" s="635">
        <f t="shared" si="20"/>
        <v>0</v>
      </c>
      <c r="E204" s="635">
        <f t="shared" si="21"/>
        <v>145056.08000000002</v>
      </c>
      <c r="F204" s="635">
        <f t="shared" si="22"/>
        <v>198512.68</v>
      </c>
      <c r="G204" s="635">
        <f t="shared" si="23"/>
        <v>98443.23</v>
      </c>
      <c r="H204" s="645">
        <v>0</v>
      </c>
      <c r="I204" s="645">
        <v>0</v>
      </c>
      <c r="J204" s="645">
        <v>0</v>
      </c>
      <c r="K204" s="645">
        <v>0</v>
      </c>
      <c r="L204" s="645">
        <v>0</v>
      </c>
      <c r="M204" s="645">
        <v>0</v>
      </c>
      <c r="N204" s="645">
        <v>0</v>
      </c>
      <c r="O204" s="645">
        <v>0</v>
      </c>
      <c r="P204" s="645">
        <v>45106</v>
      </c>
      <c r="Q204" s="645">
        <v>0</v>
      </c>
      <c r="R204" s="645">
        <v>0</v>
      </c>
      <c r="S204" s="645">
        <v>99950.080000000002</v>
      </c>
      <c r="T204" s="645">
        <v>0</v>
      </c>
      <c r="U204" s="645">
        <v>0</v>
      </c>
      <c r="V204" s="645">
        <v>198512.68</v>
      </c>
      <c r="W204" s="645">
        <v>0</v>
      </c>
      <c r="X204" s="645">
        <v>0</v>
      </c>
      <c r="Y204" s="645">
        <v>98443.23</v>
      </c>
      <c r="Z204" s="645">
        <v>0</v>
      </c>
      <c r="AA204" s="641">
        <v>0</v>
      </c>
      <c r="AB204" s="645">
        <v>0</v>
      </c>
      <c r="AC204" s="643">
        <v>442011.99</v>
      </c>
      <c r="AD204" s="717">
        <v>443250.20999999996</v>
      </c>
      <c r="AE204" s="718">
        <v>1238.22</v>
      </c>
      <c r="AF204" s="618">
        <f t="shared" si="18"/>
        <v>7.6182157215196782E-4</v>
      </c>
    </row>
    <row r="205" spans="1:32" hidden="1" x14ac:dyDescent="0.25">
      <c r="A205" s="719" t="s">
        <v>683</v>
      </c>
      <c r="B205" s="720" t="s">
        <v>702</v>
      </c>
      <c r="C205" s="635">
        <f t="shared" si="19"/>
        <v>0</v>
      </c>
      <c r="D205" s="635">
        <f t="shared" si="20"/>
        <v>0</v>
      </c>
      <c r="E205" s="635">
        <f t="shared" si="21"/>
        <v>334647.06</v>
      </c>
      <c r="F205" s="635">
        <f t="shared" si="22"/>
        <v>0</v>
      </c>
      <c r="G205" s="635">
        <f t="shared" si="23"/>
        <v>0</v>
      </c>
      <c r="H205" s="645">
        <v>0</v>
      </c>
      <c r="I205" s="645">
        <v>0</v>
      </c>
      <c r="J205" s="645">
        <v>0</v>
      </c>
      <c r="K205" s="645">
        <v>0</v>
      </c>
      <c r="L205" s="645">
        <v>0</v>
      </c>
      <c r="M205" s="645">
        <v>0</v>
      </c>
      <c r="N205" s="645">
        <v>0</v>
      </c>
      <c r="O205" s="645">
        <v>0</v>
      </c>
      <c r="P205" s="645">
        <v>77413</v>
      </c>
      <c r="Q205" s="645">
        <v>0</v>
      </c>
      <c r="R205" s="645">
        <v>257234.06</v>
      </c>
      <c r="S205" s="645">
        <v>0</v>
      </c>
      <c r="T205" s="645">
        <v>0</v>
      </c>
      <c r="U205" s="645">
        <v>0</v>
      </c>
      <c r="V205" s="645">
        <v>0</v>
      </c>
      <c r="W205" s="645">
        <v>0</v>
      </c>
      <c r="X205" s="645">
        <v>0</v>
      </c>
      <c r="Y205" s="645">
        <v>0</v>
      </c>
      <c r="Z205" s="645">
        <v>0</v>
      </c>
      <c r="AA205" s="641">
        <v>0</v>
      </c>
      <c r="AB205" s="645">
        <v>0</v>
      </c>
      <c r="AC205" s="643">
        <v>334647.06</v>
      </c>
      <c r="AD205" s="717">
        <v>334647.06</v>
      </c>
      <c r="AE205" s="718">
        <v>0</v>
      </c>
      <c r="AF205" s="618">
        <f t="shared" si="18"/>
        <v>5.767747371858259E-4</v>
      </c>
    </row>
    <row r="206" spans="1:32" hidden="1" x14ac:dyDescent="0.25">
      <c r="A206" s="719" t="s">
        <v>703</v>
      </c>
      <c r="B206" s="720" t="s">
        <v>704</v>
      </c>
      <c r="C206" s="635">
        <f t="shared" si="19"/>
        <v>0</v>
      </c>
      <c r="D206" s="635">
        <f t="shared" si="20"/>
        <v>0</v>
      </c>
      <c r="E206" s="635">
        <f t="shared" si="21"/>
        <v>48275.850000000006</v>
      </c>
      <c r="F206" s="635">
        <f t="shared" si="22"/>
        <v>0</v>
      </c>
      <c r="G206" s="635">
        <f t="shared" si="23"/>
        <v>0</v>
      </c>
      <c r="H206" s="645">
        <v>0</v>
      </c>
      <c r="I206" s="645">
        <v>0</v>
      </c>
      <c r="J206" s="645">
        <v>0</v>
      </c>
      <c r="K206" s="645">
        <v>0</v>
      </c>
      <c r="L206" s="645">
        <v>0</v>
      </c>
      <c r="M206" s="645">
        <v>0</v>
      </c>
      <c r="N206" s="645">
        <v>0</v>
      </c>
      <c r="O206" s="645">
        <v>0</v>
      </c>
      <c r="P206" s="645">
        <v>28638.61</v>
      </c>
      <c r="Q206" s="645">
        <v>19637.240000000002</v>
      </c>
      <c r="R206" s="645">
        <v>0</v>
      </c>
      <c r="S206" s="645">
        <v>0</v>
      </c>
      <c r="T206" s="645">
        <v>0</v>
      </c>
      <c r="U206" s="645">
        <v>0</v>
      </c>
      <c r="V206" s="645">
        <v>0</v>
      </c>
      <c r="W206" s="645">
        <v>0</v>
      </c>
      <c r="X206" s="645">
        <v>0</v>
      </c>
      <c r="Y206" s="645">
        <v>0</v>
      </c>
      <c r="Z206" s="645">
        <v>0</v>
      </c>
      <c r="AA206" s="641">
        <v>0</v>
      </c>
      <c r="AB206" s="645">
        <v>0</v>
      </c>
      <c r="AC206" s="643">
        <v>48275.85</v>
      </c>
      <c r="AD206" s="717">
        <v>48275.85</v>
      </c>
      <c r="AE206" s="718">
        <v>0</v>
      </c>
      <c r="AF206" s="618">
        <f t="shared" si="18"/>
        <v>8.3204946417794176E-5</v>
      </c>
    </row>
    <row r="207" spans="1:32" hidden="1" x14ac:dyDescent="0.25">
      <c r="A207" s="719" t="s">
        <v>705</v>
      </c>
      <c r="B207" s="720" t="s">
        <v>706</v>
      </c>
      <c r="C207" s="635">
        <f t="shared" si="19"/>
        <v>0</v>
      </c>
      <c r="D207" s="635">
        <f t="shared" si="20"/>
        <v>0</v>
      </c>
      <c r="E207" s="635">
        <f t="shared" si="21"/>
        <v>27512.13</v>
      </c>
      <c r="F207" s="635">
        <f t="shared" si="22"/>
        <v>0</v>
      </c>
      <c r="G207" s="635">
        <f t="shared" si="23"/>
        <v>0</v>
      </c>
      <c r="H207" s="645">
        <v>0</v>
      </c>
      <c r="I207" s="645">
        <v>0</v>
      </c>
      <c r="J207" s="645">
        <v>0</v>
      </c>
      <c r="K207" s="645">
        <v>0</v>
      </c>
      <c r="L207" s="645">
        <v>0</v>
      </c>
      <c r="M207" s="645">
        <v>0</v>
      </c>
      <c r="N207" s="645">
        <v>0</v>
      </c>
      <c r="O207" s="645">
        <v>0</v>
      </c>
      <c r="P207" s="645">
        <v>0</v>
      </c>
      <c r="Q207" s="645">
        <v>0</v>
      </c>
      <c r="R207" s="645">
        <v>27512.13</v>
      </c>
      <c r="S207" s="645">
        <v>0</v>
      </c>
      <c r="T207" s="645">
        <v>0</v>
      </c>
      <c r="U207" s="645">
        <v>0</v>
      </c>
      <c r="V207" s="645">
        <v>0</v>
      </c>
      <c r="W207" s="645">
        <v>0</v>
      </c>
      <c r="X207" s="645">
        <v>0</v>
      </c>
      <c r="Y207" s="645">
        <v>0</v>
      </c>
      <c r="Z207" s="645">
        <v>0</v>
      </c>
      <c r="AA207" s="641">
        <v>0</v>
      </c>
      <c r="AB207" s="645">
        <v>0</v>
      </c>
      <c r="AC207" s="643">
        <v>27512.13</v>
      </c>
      <c r="AD207" s="717">
        <v>27512.13</v>
      </c>
      <c r="AE207" s="718">
        <v>0</v>
      </c>
      <c r="AF207" s="618">
        <f t="shared" si="18"/>
        <v>4.7418021691785601E-5</v>
      </c>
    </row>
    <row r="208" spans="1:32" hidden="1" x14ac:dyDescent="0.25">
      <c r="A208" s="719" t="s">
        <v>707</v>
      </c>
      <c r="B208" s="720" t="s">
        <v>708</v>
      </c>
      <c r="C208" s="635">
        <f t="shared" si="19"/>
        <v>0</v>
      </c>
      <c r="D208" s="635">
        <f t="shared" si="20"/>
        <v>0</v>
      </c>
      <c r="E208" s="635">
        <f t="shared" si="21"/>
        <v>0</v>
      </c>
      <c r="F208" s="635">
        <f t="shared" si="22"/>
        <v>0</v>
      </c>
      <c r="G208" s="635">
        <f t="shared" si="23"/>
        <v>84898.03</v>
      </c>
      <c r="H208" s="645">
        <v>0</v>
      </c>
      <c r="I208" s="645">
        <v>0</v>
      </c>
      <c r="J208" s="645">
        <v>0</v>
      </c>
      <c r="K208" s="645">
        <v>0</v>
      </c>
      <c r="L208" s="645">
        <v>0</v>
      </c>
      <c r="M208" s="645">
        <v>0</v>
      </c>
      <c r="N208" s="645">
        <v>0</v>
      </c>
      <c r="O208" s="645">
        <v>0</v>
      </c>
      <c r="P208" s="645">
        <v>0</v>
      </c>
      <c r="Q208" s="645">
        <v>0</v>
      </c>
      <c r="R208" s="645">
        <v>0</v>
      </c>
      <c r="S208" s="645">
        <v>0</v>
      </c>
      <c r="T208" s="645">
        <v>0</v>
      </c>
      <c r="U208" s="645">
        <v>0</v>
      </c>
      <c r="V208" s="645">
        <v>0</v>
      </c>
      <c r="W208" s="645">
        <v>0</v>
      </c>
      <c r="X208" s="645">
        <v>0</v>
      </c>
      <c r="Y208" s="645">
        <v>0</v>
      </c>
      <c r="Z208" s="646">
        <v>22387.58</v>
      </c>
      <c r="AA208" s="641">
        <v>62510.45</v>
      </c>
      <c r="AB208" s="645">
        <v>0.36000000000058208</v>
      </c>
      <c r="AC208" s="643">
        <v>84898.03</v>
      </c>
      <c r="AD208" s="717">
        <v>84037.78</v>
      </c>
      <c r="AE208" s="718">
        <v>-860.25</v>
      </c>
      <c r="AF208" s="618">
        <f t="shared" si="18"/>
        <v>1.4632442592157948E-4</v>
      </c>
    </row>
    <row r="209" spans="1:32" hidden="1" x14ac:dyDescent="0.25">
      <c r="A209" s="721" t="s">
        <v>709</v>
      </c>
      <c r="B209" s="656" t="s">
        <v>710</v>
      </c>
      <c r="C209" s="635">
        <f t="shared" si="19"/>
        <v>0</v>
      </c>
      <c r="D209" s="635">
        <f t="shared" si="20"/>
        <v>0</v>
      </c>
      <c r="E209" s="635">
        <f t="shared" si="21"/>
        <v>0</v>
      </c>
      <c r="F209" s="635">
        <f t="shared" si="22"/>
        <v>0</v>
      </c>
      <c r="G209" s="635">
        <f t="shared" si="23"/>
        <v>2481.8000000000002</v>
      </c>
      <c r="H209" s="722">
        <v>0</v>
      </c>
      <c r="I209" s="722">
        <v>0</v>
      </c>
      <c r="J209" s="722">
        <v>0</v>
      </c>
      <c r="K209" s="722">
        <v>0</v>
      </c>
      <c r="L209" s="722">
        <v>0</v>
      </c>
      <c r="M209" s="722">
        <v>0</v>
      </c>
      <c r="N209" s="722">
        <v>0</v>
      </c>
      <c r="O209" s="722">
        <v>0</v>
      </c>
      <c r="P209" s="722">
        <v>0</v>
      </c>
      <c r="Q209" s="722">
        <v>0</v>
      </c>
      <c r="R209" s="722">
        <v>0</v>
      </c>
      <c r="S209" s="722">
        <v>0</v>
      </c>
      <c r="T209" s="722">
        <v>0</v>
      </c>
      <c r="U209" s="722">
        <v>0</v>
      </c>
      <c r="V209" s="722">
        <v>0</v>
      </c>
      <c r="W209" s="722">
        <v>0</v>
      </c>
      <c r="X209" s="722">
        <v>0</v>
      </c>
      <c r="Y209" s="722">
        <v>0</v>
      </c>
      <c r="Z209" s="690">
        <v>0</v>
      </c>
      <c r="AA209" s="641">
        <v>2481.8000000000002</v>
      </c>
      <c r="AB209" s="722">
        <v>0</v>
      </c>
      <c r="AC209" s="647">
        <v>2481.8000000000002</v>
      </c>
      <c r="AD209" s="723">
        <v>30000</v>
      </c>
      <c r="AE209" s="643">
        <v>27518.2</v>
      </c>
      <c r="AF209" s="618">
        <f t="shared" si="18"/>
        <v>4.2774603869156445E-6</v>
      </c>
    </row>
    <row r="210" spans="1:32" hidden="1" x14ac:dyDescent="0.25">
      <c r="A210" s="715" t="s">
        <v>711</v>
      </c>
      <c r="B210" s="716" t="s">
        <v>712</v>
      </c>
      <c r="C210" s="635">
        <f t="shared" si="19"/>
        <v>0</v>
      </c>
      <c r="D210" s="635">
        <f t="shared" si="20"/>
        <v>0</v>
      </c>
      <c r="E210" s="635">
        <f t="shared" si="21"/>
        <v>0</v>
      </c>
      <c r="F210" s="635">
        <f t="shared" si="22"/>
        <v>1361279.74</v>
      </c>
      <c r="G210" s="635">
        <f t="shared" si="23"/>
        <v>1143400.9499999997</v>
      </c>
      <c r="H210" s="668">
        <v>0</v>
      </c>
      <c r="I210" s="668">
        <v>0</v>
      </c>
      <c r="J210" s="668">
        <v>0</v>
      </c>
      <c r="K210" s="668">
        <v>0</v>
      </c>
      <c r="L210" s="668">
        <v>0</v>
      </c>
      <c r="M210" s="668">
        <v>0</v>
      </c>
      <c r="N210" s="668">
        <v>0</v>
      </c>
      <c r="O210" s="668">
        <v>0</v>
      </c>
      <c r="P210" s="668">
        <v>0</v>
      </c>
      <c r="Q210" s="669">
        <v>0</v>
      </c>
      <c r="R210" s="668">
        <v>0</v>
      </c>
      <c r="S210" s="668">
        <v>0</v>
      </c>
      <c r="T210" s="668">
        <v>0</v>
      </c>
      <c r="U210" s="668">
        <v>340037.12</v>
      </c>
      <c r="V210" s="668">
        <v>498373.04000000004</v>
      </c>
      <c r="W210" s="668">
        <v>522869.57999999996</v>
      </c>
      <c r="X210" s="668">
        <v>221103.58</v>
      </c>
      <c r="Y210" s="668">
        <v>414629.93999999994</v>
      </c>
      <c r="Z210" s="668">
        <v>298504.52999999997</v>
      </c>
      <c r="AA210" s="666">
        <v>209162.9</v>
      </c>
      <c r="AB210" s="668">
        <v>192771.99000000008</v>
      </c>
      <c r="AC210" s="643">
        <v>2504680.69</v>
      </c>
      <c r="AD210" s="717">
        <v>2816927.37</v>
      </c>
      <c r="AE210" s="718">
        <v>312246.68</v>
      </c>
      <c r="AF210" s="618">
        <f t="shared" si="18"/>
        <v>4.3168959760446221E-3</v>
      </c>
    </row>
    <row r="211" spans="1:32" hidden="1" x14ac:dyDescent="0.25">
      <c r="A211" s="719" t="s">
        <v>713</v>
      </c>
      <c r="B211" s="720" t="s">
        <v>714</v>
      </c>
      <c r="C211" s="635">
        <f t="shared" si="19"/>
        <v>0</v>
      </c>
      <c r="D211" s="635">
        <f t="shared" si="20"/>
        <v>0</v>
      </c>
      <c r="E211" s="635">
        <f t="shared" si="21"/>
        <v>0</v>
      </c>
      <c r="F211" s="635">
        <f t="shared" si="22"/>
        <v>832910.01</v>
      </c>
      <c r="G211" s="635">
        <f t="shared" si="23"/>
        <v>665192.34</v>
      </c>
      <c r="H211" s="645">
        <v>0</v>
      </c>
      <c r="I211" s="645">
        <v>0</v>
      </c>
      <c r="J211" s="645">
        <v>0</v>
      </c>
      <c r="K211" s="645">
        <v>0</v>
      </c>
      <c r="L211" s="645">
        <v>0</v>
      </c>
      <c r="M211" s="645">
        <v>0</v>
      </c>
      <c r="N211" s="645">
        <v>0</v>
      </c>
      <c r="O211" s="645">
        <v>0</v>
      </c>
      <c r="P211" s="645">
        <v>0</v>
      </c>
      <c r="Q211" s="645">
        <v>0</v>
      </c>
      <c r="R211" s="645">
        <v>0</v>
      </c>
      <c r="S211" s="645">
        <v>0</v>
      </c>
      <c r="T211" s="645">
        <v>0</v>
      </c>
      <c r="U211" s="645">
        <v>221738.82</v>
      </c>
      <c r="V211" s="645">
        <v>304206.16000000003</v>
      </c>
      <c r="W211" s="645">
        <v>306965.03000000003</v>
      </c>
      <c r="X211" s="645">
        <v>136186.73000000001</v>
      </c>
      <c r="Y211" s="645">
        <v>223340.9</v>
      </c>
      <c r="Z211" s="646">
        <v>214596.81</v>
      </c>
      <c r="AA211" s="641">
        <v>91067.9</v>
      </c>
      <c r="AB211" s="645">
        <v>77460.120000000112</v>
      </c>
      <c r="AC211" s="643">
        <v>1498102.3499999999</v>
      </c>
      <c r="AD211" s="717">
        <v>1619360</v>
      </c>
      <c r="AE211" s="718">
        <v>121257.65</v>
      </c>
      <c r="AF211" s="618">
        <f t="shared" si="18"/>
        <v>2.5820265362520088E-3</v>
      </c>
    </row>
    <row r="212" spans="1:32" hidden="1" x14ac:dyDescent="0.25">
      <c r="A212" s="719" t="s">
        <v>715</v>
      </c>
      <c r="B212" s="720" t="s">
        <v>716</v>
      </c>
      <c r="C212" s="635">
        <f t="shared" si="19"/>
        <v>0</v>
      </c>
      <c r="D212" s="635">
        <f t="shared" si="20"/>
        <v>0</v>
      </c>
      <c r="E212" s="635">
        <f t="shared" si="21"/>
        <v>0</v>
      </c>
      <c r="F212" s="635">
        <f t="shared" si="22"/>
        <v>528369.73</v>
      </c>
      <c r="G212" s="635">
        <f t="shared" si="23"/>
        <v>478208.61</v>
      </c>
      <c r="H212" s="645"/>
      <c r="I212" s="645"/>
      <c r="J212" s="645"/>
      <c r="K212" s="645"/>
      <c r="L212" s="645"/>
      <c r="M212" s="645"/>
      <c r="N212" s="645"/>
      <c r="O212" s="645"/>
      <c r="P212" s="645"/>
      <c r="Q212" s="645">
        <v>0</v>
      </c>
      <c r="R212" s="645">
        <v>0</v>
      </c>
      <c r="S212" s="645">
        <v>0</v>
      </c>
      <c r="T212" s="645">
        <v>0</v>
      </c>
      <c r="U212" s="645">
        <v>118298.29999999999</v>
      </c>
      <c r="V212" s="645">
        <v>194166.88</v>
      </c>
      <c r="W212" s="645">
        <v>215904.55</v>
      </c>
      <c r="X212" s="645">
        <v>84916.85</v>
      </c>
      <c r="Y212" s="645">
        <v>191289.03999999998</v>
      </c>
      <c r="Z212" s="646">
        <v>83907.72</v>
      </c>
      <c r="AA212" s="641">
        <v>118095</v>
      </c>
      <c r="AB212" s="645">
        <v>115311.86999999997</v>
      </c>
      <c r="AC212" s="643">
        <v>1006578.34</v>
      </c>
      <c r="AD212" s="717">
        <v>1197567.3700000001</v>
      </c>
      <c r="AE212" s="718">
        <v>190989.03</v>
      </c>
      <c r="AF212" s="618">
        <f t="shared" si="18"/>
        <v>1.7348694397926129E-3</v>
      </c>
    </row>
    <row r="213" spans="1:32" hidden="1" x14ac:dyDescent="0.25">
      <c r="A213" s="715" t="s">
        <v>717</v>
      </c>
      <c r="B213" s="716" t="s">
        <v>718</v>
      </c>
      <c r="C213" s="635">
        <f t="shared" si="19"/>
        <v>0</v>
      </c>
      <c r="D213" s="635">
        <f t="shared" si="20"/>
        <v>90595.81</v>
      </c>
      <c r="E213" s="635">
        <f t="shared" si="21"/>
        <v>125760.51</v>
      </c>
      <c r="F213" s="635">
        <f t="shared" si="22"/>
        <v>114957.95999999999</v>
      </c>
      <c r="G213" s="635">
        <f t="shared" si="23"/>
        <v>90106.77</v>
      </c>
      <c r="H213" s="668">
        <v>0</v>
      </c>
      <c r="I213" s="668">
        <v>0</v>
      </c>
      <c r="J213" s="668">
        <v>0</v>
      </c>
      <c r="K213" s="668">
        <v>0</v>
      </c>
      <c r="L213" s="668">
        <v>0</v>
      </c>
      <c r="M213" s="668">
        <v>29570.52</v>
      </c>
      <c r="N213" s="668">
        <v>32037.859999999997</v>
      </c>
      <c r="O213" s="668">
        <v>28987.43</v>
      </c>
      <c r="P213" s="668">
        <v>35340.68</v>
      </c>
      <c r="Q213" s="669">
        <v>22764.080000000002</v>
      </c>
      <c r="R213" s="668">
        <v>31049.629999999997</v>
      </c>
      <c r="S213" s="668">
        <v>36606.119999999995</v>
      </c>
      <c r="T213" s="668">
        <v>37925.040000000001</v>
      </c>
      <c r="U213" s="668">
        <v>26509.1</v>
      </c>
      <c r="V213" s="668">
        <v>28745.53</v>
      </c>
      <c r="W213" s="668">
        <v>21778.29</v>
      </c>
      <c r="X213" s="668">
        <v>27430.15</v>
      </c>
      <c r="Y213" s="668">
        <v>19513.68</v>
      </c>
      <c r="Z213" s="668">
        <v>22133.200000000001</v>
      </c>
      <c r="AA213" s="666">
        <v>21029.74</v>
      </c>
      <c r="AB213" s="668">
        <v>0.32000000004143203</v>
      </c>
      <c r="AC213" s="643">
        <v>420560.62</v>
      </c>
      <c r="AD213" s="717">
        <v>440555.76</v>
      </c>
      <c r="AE213" s="718">
        <v>19995.14</v>
      </c>
      <c r="AF213" s="618">
        <f t="shared" si="18"/>
        <v>7.2484946101486144E-4</v>
      </c>
    </row>
    <row r="214" spans="1:32" hidden="1" x14ac:dyDescent="0.25">
      <c r="A214" s="719" t="s">
        <v>584</v>
      </c>
      <c r="B214" s="720" t="s">
        <v>719</v>
      </c>
      <c r="C214" s="635">
        <f t="shared" si="19"/>
        <v>0</v>
      </c>
      <c r="D214" s="635">
        <f t="shared" si="20"/>
        <v>74238.450000000012</v>
      </c>
      <c r="E214" s="635">
        <f t="shared" si="21"/>
        <v>110151.15000000001</v>
      </c>
      <c r="F214" s="635">
        <f t="shared" si="22"/>
        <v>83765.97</v>
      </c>
      <c r="G214" s="635">
        <f t="shared" si="23"/>
        <v>70360.420000000013</v>
      </c>
      <c r="H214" s="645">
        <v>0</v>
      </c>
      <c r="I214" s="645">
        <v>0</v>
      </c>
      <c r="J214" s="645">
        <v>0</v>
      </c>
      <c r="K214" s="645">
        <v>0</v>
      </c>
      <c r="L214" s="645">
        <v>0</v>
      </c>
      <c r="M214" s="645">
        <v>27246.52</v>
      </c>
      <c r="N214" s="645">
        <v>22593.97</v>
      </c>
      <c r="O214" s="645">
        <v>24397.96</v>
      </c>
      <c r="P214" s="645">
        <v>32284.32</v>
      </c>
      <c r="Q214" s="645">
        <v>16896.419999999998</v>
      </c>
      <c r="R214" s="645">
        <v>26263.42</v>
      </c>
      <c r="S214" s="645">
        <v>34706.990000000005</v>
      </c>
      <c r="T214" s="645">
        <v>24829.54</v>
      </c>
      <c r="U214" s="645">
        <v>16842.87</v>
      </c>
      <c r="V214" s="645">
        <v>25205.919999999998</v>
      </c>
      <c r="W214" s="645">
        <v>16887.64</v>
      </c>
      <c r="X214" s="645">
        <v>21606.82</v>
      </c>
      <c r="Y214" s="645">
        <v>13707.26</v>
      </c>
      <c r="Z214" s="645">
        <v>17311.27</v>
      </c>
      <c r="AA214" s="641">
        <v>17735.07</v>
      </c>
      <c r="AB214" s="645">
        <v>0.32000000002881279</v>
      </c>
      <c r="AC214" s="643">
        <v>338515.99000000005</v>
      </c>
      <c r="AD214" s="717">
        <v>345501.15</v>
      </c>
      <c r="AE214" s="718">
        <v>6985.16</v>
      </c>
      <c r="AF214" s="618">
        <f t="shared" si="18"/>
        <v>5.8344295977215432E-4</v>
      </c>
    </row>
    <row r="215" spans="1:32" hidden="1" x14ac:dyDescent="0.25">
      <c r="A215" s="719" t="s">
        <v>720</v>
      </c>
      <c r="B215" s="720" t="s">
        <v>721</v>
      </c>
      <c r="C215" s="635">
        <f t="shared" si="19"/>
        <v>0</v>
      </c>
      <c r="D215" s="635">
        <f t="shared" si="20"/>
        <v>16357.36</v>
      </c>
      <c r="E215" s="635">
        <f t="shared" si="21"/>
        <v>15609.36</v>
      </c>
      <c r="F215" s="635">
        <f t="shared" si="22"/>
        <v>31191.989999999998</v>
      </c>
      <c r="G215" s="635">
        <f t="shared" si="23"/>
        <v>19746.349999999999</v>
      </c>
      <c r="H215" s="645">
        <v>0</v>
      </c>
      <c r="I215" s="645">
        <v>0</v>
      </c>
      <c r="J215" s="645">
        <v>0</v>
      </c>
      <c r="K215" s="645">
        <v>0</v>
      </c>
      <c r="L215" s="645">
        <v>0</v>
      </c>
      <c r="M215" s="645">
        <v>2324</v>
      </c>
      <c r="N215" s="645">
        <v>9443.89</v>
      </c>
      <c r="O215" s="645">
        <v>4589.47</v>
      </c>
      <c r="P215" s="645">
        <v>3056.3599999999997</v>
      </c>
      <c r="Q215" s="645">
        <v>5867.66</v>
      </c>
      <c r="R215" s="645">
        <v>4786.21</v>
      </c>
      <c r="S215" s="645">
        <v>1899.13</v>
      </c>
      <c r="T215" s="645">
        <v>13095.5</v>
      </c>
      <c r="U215" s="645">
        <v>9666.23</v>
      </c>
      <c r="V215" s="645">
        <v>3539.61</v>
      </c>
      <c r="W215" s="645">
        <v>4890.6499999999996</v>
      </c>
      <c r="X215" s="645">
        <v>5823.33</v>
      </c>
      <c r="Y215" s="645">
        <v>5806.42</v>
      </c>
      <c r="Z215" s="645">
        <v>4821.93</v>
      </c>
      <c r="AA215" s="641">
        <v>3294.67</v>
      </c>
      <c r="AB215" s="645">
        <v>1.2619238987099379E-11</v>
      </c>
      <c r="AC215" s="643">
        <v>82044.630000000019</v>
      </c>
      <c r="AD215" s="717">
        <v>95054.609999999986</v>
      </c>
      <c r="AE215" s="718">
        <v>13009.98</v>
      </c>
      <c r="AF215" s="618">
        <f t="shared" si="18"/>
        <v>1.4140650124270729E-4</v>
      </c>
    </row>
    <row r="216" spans="1:32" hidden="1" x14ac:dyDescent="0.25">
      <c r="A216" s="658" t="s">
        <v>481</v>
      </c>
      <c r="B216" s="659"/>
      <c r="C216" s="635">
        <f t="shared" si="19"/>
        <v>0</v>
      </c>
      <c r="D216" s="635">
        <f t="shared" si="20"/>
        <v>0</v>
      </c>
      <c r="E216" s="635">
        <f t="shared" si="21"/>
        <v>0</v>
      </c>
      <c r="F216" s="635">
        <f t="shared" si="22"/>
        <v>0</v>
      </c>
      <c r="G216" s="635">
        <f t="shared" si="23"/>
        <v>0</v>
      </c>
      <c r="H216" s="660">
        <v>0</v>
      </c>
      <c r="I216" s="660">
        <v>0</v>
      </c>
      <c r="J216" s="660">
        <v>0</v>
      </c>
      <c r="K216" s="660">
        <v>0</v>
      </c>
      <c r="L216" s="660">
        <v>0</v>
      </c>
      <c r="M216" s="660">
        <v>0</v>
      </c>
      <c r="N216" s="660">
        <v>0</v>
      </c>
      <c r="O216" s="660">
        <v>0</v>
      </c>
      <c r="P216" s="660">
        <v>0</v>
      </c>
      <c r="Q216" s="660">
        <v>0</v>
      </c>
      <c r="R216" s="660">
        <v>0</v>
      </c>
      <c r="S216" s="660">
        <v>0</v>
      </c>
      <c r="T216" s="660">
        <v>0</v>
      </c>
      <c r="U216" s="660">
        <v>0</v>
      </c>
      <c r="V216" s="660">
        <v>0</v>
      </c>
      <c r="W216" s="660">
        <v>0</v>
      </c>
      <c r="X216" s="660">
        <v>0</v>
      </c>
      <c r="Y216" s="660">
        <v>0</v>
      </c>
      <c r="Z216" s="660">
        <v>0</v>
      </c>
      <c r="AA216" s="661">
        <v>0</v>
      </c>
      <c r="AB216" s="660"/>
      <c r="AC216" s="647">
        <v>0</v>
      </c>
      <c r="AD216" s="723">
        <v>0</v>
      </c>
      <c r="AE216" s="643">
        <v>0</v>
      </c>
      <c r="AF216" s="618">
        <f t="shared" si="18"/>
        <v>0</v>
      </c>
    </row>
    <row r="217" spans="1:32" ht="25.5" hidden="1" x14ac:dyDescent="0.25">
      <c r="A217" s="658" t="s">
        <v>482</v>
      </c>
      <c r="B217" s="659"/>
      <c r="C217" s="635">
        <f t="shared" si="19"/>
        <v>0</v>
      </c>
      <c r="D217" s="635">
        <f t="shared" si="20"/>
        <v>0</v>
      </c>
      <c r="E217" s="635">
        <f t="shared" si="21"/>
        <v>0</v>
      </c>
      <c r="F217" s="635">
        <f t="shared" si="22"/>
        <v>0</v>
      </c>
      <c r="G217" s="635">
        <f t="shared" si="23"/>
        <v>0</v>
      </c>
      <c r="H217" s="660">
        <v>0</v>
      </c>
      <c r="I217" s="660">
        <v>0</v>
      </c>
      <c r="J217" s="660">
        <v>0</v>
      </c>
      <c r="K217" s="660">
        <v>0</v>
      </c>
      <c r="L217" s="660">
        <v>0</v>
      </c>
      <c r="M217" s="660">
        <v>0</v>
      </c>
      <c r="N217" s="660">
        <v>0</v>
      </c>
      <c r="O217" s="660">
        <v>0</v>
      </c>
      <c r="P217" s="660">
        <v>0</v>
      </c>
      <c r="Q217" s="660">
        <v>0</v>
      </c>
      <c r="R217" s="660">
        <v>0</v>
      </c>
      <c r="S217" s="660">
        <v>0</v>
      </c>
      <c r="T217" s="660">
        <v>0</v>
      </c>
      <c r="U217" s="660">
        <v>0</v>
      </c>
      <c r="V217" s="660">
        <v>0</v>
      </c>
      <c r="W217" s="660">
        <v>0</v>
      </c>
      <c r="X217" s="660">
        <v>0</v>
      </c>
      <c r="Y217" s="660">
        <v>0</v>
      </c>
      <c r="Z217" s="660">
        <v>0</v>
      </c>
      <c r="AA217" s="661">
        <v>0</v>
      </c>
      <c r="AB217" s="660">
        <v>423979.05698849412</v>
      </c>
      <c r="AC217" s="647">
        <v>0</v>
      </c>
      <c r="AD217" s="723">
        <v>0</v>
      </c>
      <c r="AE217" s="643">
        <v>0</v>
      </c>
      <c r="AF217" s="618">
        <f t="shared" si="18"/>
        <v>0</v>
      </c>
    </row>
    <row r="218" spans="1:32" hidden="1" x14ac:dyDescent="0.25">
      <c r="A218" s="658" t="s">
        <v>483</v>
      </c>
      <c r="B218" s="659"/>
      <c r="C218" s="635">
        <f t="shared" si="19"/>
        <v>0</v>
      </c>
      <c r="D218" s="635">
        <f t="shared" si="20"/>
        <v>0</v>
      </c>
      <c r="E218" s="635">
        <f t="shared" si="21"/>
        <v>0</v>
      </c>
      <c r="F218" s="635">
        <f t="shared" si="22"/>
        <v>0</v>
      </c>
      <c r="G218" s="635">
        <f t="shared" si="23"/>
        <v>1267.5</v>
      </c>
      <c r="H218" s="660">
        <v>0</v>
      </c>
      <c r="I218" s="660">
        <v>0</v>
      </c>
      <c r="J218" s="660">
        <v>0</v>
      </c>
      <c r="K218" s="660">
        <v>0</v>
      </c>
      <c r="L218" s="660">
        <v>0</v>
      </c>
      <c r="M218" s="660">
        <v>0</v>
      </c>
      <c r="N218" s="660">
        <v>0</v>
      </c>
      <c r="O218" s="660">
        <v>0</v>
      </c>
      <c r="P218" s="660">
        <v>0</v>
      </c>
      <c r="Q218" s="660">
        <v>0</v>
      </c>
      <c r="R218" s="660">
        <v>0</v>
      </c>
      <c r="S218" s="660">
        <v>0</v>
      </c>
      <c r="T218" s="660">
        <v>0</v>
      </c>
      <c r="U218" s="660">
        <v>0</v>
      </c>
      <c r="V218" s="660">
        <v>0</v>
      </c>
      <c r="W218" s="660">
        <v>0</v>
      </c>
      <c r="X218" s="660">
        <v>0</v>
      </c>
      <c r="Y218" s="660">
        <v>0</v>
      </c>
      <c r="Z218" s="660">
        <v>0</v>
      </c>
      <c r="AA218" s="661">
        <v>1267.5</v>
      </c>
      <c r="AB218" s="660"/>
      <c r="AC218" s="647">
        <v>1267.5</v>
      </c>
      <c r="AD218" s="723">
        <v>121760.13</v>
      </c>
      <c r="AE218" s="643">
        <v>120492.63</v>
      </c>
      <c r="AF218" s="618">
        <f t="shared" si="18"/>
        <v>2.1845761303955108E-6</v>
      </c>
    </row>
    <row r="219" spans="1:32" hidden="1" x14ac:dyDescent="0.25">
      <c r="A219" s="634" t="s">
        <v>722</v>
      </c>
      <c r="B219" s="724" t="s">
        <v>723</v>
      </c>
      <c r="C219" s="635">
        <f t="shared" si="19"/>
        <v>135496</v>
      </c>
      <c r="D219" s="635">
        <f t="shared" si="20"/>
        <v>197356.37</v>
      </c>
      <c r="E219" s="635">
        <f t="shared" si="21"/>
        <v>1403615.0300000003</v>
      </c>
      <c r="F219" s="635">
        <f t="shared" si="22"/>
        <v>632907.62</v>
      </c>
      <c r="G219" s="635">
        <f t="shared" si="23"/>
        <v>823396.91818181821</v>
      </c>
      <c r="H219" s="662">
        <v>0</v>
      </c>
      <c r="I219" s="662">
        <v>0</v>
      </c>
      <c r="J219" s="662">
        <v>0</v>
      </c>
      <c r="K219" s="662">
        <v>135496</v>
      </c>
      <c r="L219" s="662">
        <v>8356.3700000000008</v>
      </c>
      <c r="M219" s="662">
        <v>0</v>
      </c>
      <c r="N219" s="662">
        <v>0</v>
      </c>
      <c r="O219" s="662">
        <v>189000</v>
      </c>
      <c r="P219" s="662">
        <v>84997.42</v>
      </c>
      <c r="Q219" s="663">
        <v>457356.76</v>
      </c>
      <c r="R219" s="662">
        <v>665196</v>
      </c>
      <c r="S219" s="662">
        <v>196064.85</v>
      </c>
      <c r="T219" s="662">
        <v>50400</v>
      </c>
      <c r="U219" s="662">
        <v>21840</v>
      </c>
      <c r="V219" s="662">
        <v>161420.34999999998</v>
      </c>
      <c r="W219" s="662">
        <v>399247.27</v>
      </c>
      <c r="X219" s="662">
        <v>60412.5</v>
      </c>
      <c r="Y219" s="662">
        <v>16386.34</v>
      </c>
      <c r="Z219" s="662">
        <v>10533.6</v>
      </c>
      <c r="AA219" s="636">
        <v>736064.47818181827</v>
      </c>
      <c r="AB219" s="662">
        <v>826238.93559170293</v>
      </c>
      <c r="AC219" s="638">
        <v>3192771.9381818185</v>
      </c>
      <c r="AD219" s="662">
        <v>4312215.9700000007</v>
      </c>
      <c r="AE219" s="662">
        <v>1119444.03</v>
      </c>
      <c r="AF219" s="618">
        <f t="shared" si="18"/>
        <v>5.5028428922671499E-3</v>
      </c>
    </row>
    <row r="220" spans="1:32" hidden="1" x14ac:dyDescent="0.25">
      <c r="A220" s="702" t="s">
        <v>724</v>
      </c>
      <c r="B220" s="656" t="s">
        <v>725</v>
      </c>
      <c r="C220" s="635">
        <f t="shared" si="19"/>
        <v>135496</v>
      </c>
      <c r="D220" s="635">
        <f t="shared" si="20"/>
        <v>8356.3700000000008</v>
      </c>
      <c r="E220" s="635">
        <f t="shared" si="21"/>
        <v>0</v>
      </c>
      <c r="F220" s="635">
        <f t="shared" si="22"/>
        <v>0</v>
      </c>
      <c r="G220" s="635">
        <f t="shared" si="23"/>
        <v>0</v>
      </c>
      <c r="H220" s="645">
        <v>0</v>
      </c>
      <c r="I220" s="645">
        <v>0</v>
      </c>
      <c r="J220" s="645">
        <v>0</v>
      </c>
      <c r="K220" s="645">
        <v>135496</v>
      </c>
      <c r="L220" s="645">
        <v>8356.3700000000008</v>
      </c>
      <c r="M220" s="645">
        <v>0</v>
      </c>
      <c r="N220" s="645">
        <v>0</v>
      </c>
      <c r="O220" s="645">
        <v>0</v>
      </c>
      <c r="P220" s="645">
        <v>0</v>
      </c>
      <c r="Q220" s="645">
        <v>0</v>
      </c>
      <c r="R220" s="645">
        <v>0</v>
      </c>
      <c r="S220" s="645">
        <v>0</v>
      </c>
      <c r="T220" s="645">
        <v>0</v>
      </c>
      <c r="U220" s="645">
        <v>0</v>
      </c>
      <c r="V220" s="645">
        <v>0</v>
      </c>
      <c r="W220" s="645">
        <v>0</v>
      </c>
      <c r="X220" s="645">
        <v>0</v>
      </c>
      <c r="Y220" s="645">
        <v>0</v>
      </c>
      <c r="Z220" s="645">
        <v>0</v>
      </c>
      <c r="AA220" s="641">
        <v>0</v>
      </c>
      <c r="AB220" s="645">
        <v>0</v>
      </c>
      <c r="AC220" s="647">
        <v>143852.37</v>
      </c>
      <c r="AD220" s="723">
        <v>143852.37</v>
      </c>
      <c r="AE220" s="718">
        <v>0</v>
      </c>
      <c r="AF220" s="618">
        <f t="shared" si="18"/>
        <v>2.4793408584049173E-4</v>
      </c>
    </row>
    <row r="221" spans="1:32" ht="25.5" hidden="1" x14ac:dyDescent="0.25">
      <c r="A221" s="702" t="s">
        <v>726</v>
      </c>
      <c r="B221" s="656" t="s">
        <v>727</v>
      </c>
      <c r="C221" s="635">
        <f t="shared" si="19"/>
        <v>0</v>
      </c>
      <c r="D221" s="635">
        <f t="shared" si="20"/>
        <v>0</v>
      </c>
      <c r="E221" s="635">
        <f t="shared" si="21"/>
        <v>19265.849999999999</v>
      </c>
      <c r="F221" s="635">
        <f t="shared" si="22"/>
        <v>0</v>
      </c>
      <c r="G221" s="635">
        <f t="shared" si="23"/>
        <v>0</v>
      </c>
      <c r="H221" s="645">
        <v>0</v>
      </c>
      <c r="I221" s="645">
        <v>0</v>
      </c>
      <c r="J221" s="645">
        <v>0</v>
      </c>
      <c r="K221" s="645">
        <v>0</v>
      </c>
      <c r="L221" s="645">
        <v>0</v>
      </c>
      <c r="M221" s="645">
        <v>0</v>
      </c>
      <c r="N221" s="645">
        <v>0</v>
      </c>
      <c r="O221" s="645">
        <v>0</v>
      </c>
      <c r="P221" s="645">
        <v>0</v>
      </c>
      <c r="Q221" s="645">
        <v>0</v>
      </c>
      <c r="R221" s="645">
        <v>0</v>
      </c>
      <c r="S221" s="645">
        <v>19265.849999999999</v>
      </c>
      <c r="T221" s="645">
        <v>0</v>
      </c>
      <c r="U221" s="645">
        <v>0</v>
      </c>
      <c r="V221" s="645">
        <v>0</v>
      </c>
      <c r="W221" s="645">
        <v>0</v>
      </c>
      <c r="X221" s="645">
        <v>0</v>
      </c>
      <c r="Y221" s="645">
        <v>0</v>
      </c>
      <c r="Z221" s="645">
        <v>0</v>
      </c>
      <c r="AA221" s="641">
        <v>0</v>
      </c>
      <c r="AB221" s="645">
        <v>-9.9999999998544808E-2</v>
      </c>
      <c r="AC221" s="647">
        <v>19265.849999999999</v>
      </c>
      <c r="AD221" s="723">
        <v>19265.75</v>
      </c>
      <c r="AE221" s="718">
        <v>-0.1</v>
      </c>
      <c r="AF221" s="618">
        <f t="shared" si="18"/>
        <v>3.3205298652292192E-5</v>
      </c>
    </row>
    <row r="222" spans="1:32" hidden="1" x14ac:dyDescent="0.25">
      <c r="A222" s="702" t="s">
        <v>728</v>
      </c>
      <c r="B222" s="656" t="s">
        <v>729</v>
      </c>
      <c r="C222" s="635">
        <f t="shared" si="19"/>
        <v>0</v>
      </c>
      <c r="D222" s="635">
        <f t="shared" si="20"/>
        <v>0</v>
      </c>
      <c r="E222" s="635">
        <f t="shared" si="21"/>
        <v>0</v>
      </c>
      <c r="F222" s="635">
        <f t="shared" si="22"/>
        <v>0</v>
      </c>
      <c r="G222" s="635">
        <f t="shared" si="23"/>
        <v>388759.62818181817</v>
      </c>
      <c r="H222" s="645">
        <v>0</v>
      </c>
      <c r="I222" s="645">
        <v>0</v>
      </c>
      <c r="J222" s="645">
        <v>0</v>
      </c>
      <c r="K222" s="645">
        <v>0</v>
      </c>
      <c r="L222" s="645">
        <v>0</v>
      </c>
      <c r="M222" s="645">
        <v>0</v>
      </c>
      <c r="N222" s="645">
        <v>0</v>
      </c>
      <c r="O222" s="645">
        <v>0</v>
      </c>
      <c r="P222" s="645">
        <v>0</v>
      </c>
      <c r="Q222" s="645">
        <v>0</v>
      </c>
      <c r="R222" s="645">
        <v>0</v>
      </c>
      <c r="S222" s="645">
        <v>0</v>
      </c>
      <c r="T222" s="645">
        <v>0</v>
      </c>
      <c r="U222" s="645">
        <v>0</v>
      </c>
      <c r="V222" s="645">
        <v>0</v>
      </c>
      <c r="W222" s="645">
        <v>0</v>
      </c>
      <c r="X222" s="645">
        <v>0</v>
      </c>
      <c r="Y222" s="645">
        <v>0</v>
      </c>
      <c r="Z222" s="646">
        <v>0</v>
      </c>
      <c r="AA222" s="641">
        <v>388759.62818181817</v>
      </c>
      <c r="AB222" s="645">
        <v>-0.59818181814625859</v>
      </c>
      <c r="AC222" s="647">
        <v>388759.62818181817</v>
      </c>
      <c r="AD222" s="723">
        <v>1324092.23</v>
      </c>
      <c r="AE222" s="718">
        <v>935332.6</v>
      </c>
      <c r="AF222" s="618">
        <f t="shared" si="18"/>
        <v>6.7003945103545084E-4</v>
      </c>
    </row>
    <row r="223" spans="1:32" hidden="1" x14ac:dyDescent="0.25">
      <c r="A223" s="702" t="s">
        <v>730</v>
      </c>
      <c r="B223" s="656" t="s">
        <v>731</v>
      </c>
      <c r="C223" s="635">
        <f t="shared" si="19"/>
        <v>0</v>
      </c>
      <c r="D223" s="635">
        <f t="shared" si="20"/>
        <v>189000</v>
      </c>
      <c r="E223" s="635">
        <f t="shared" si="21"/>
        <v>1384349.1800000002</v>
      </c>
      <c r="F223" s="635">
        <f t="shared" si="22"/>
        <v>450240</v>
      </c>
      <c r="G223" s="635">
        <f t="shared" si="23"/>
        <v>144148.03</v>
      </c>
      <c r="H223" s="645">
        <v>0</v>
      </c>
      <c r="I223" s="645">
        <v>0</v>
      </c>
      <c r="J223" s="645">
        <v>0</v>
      </c>
      <c r="K223" s="645">
        <v>0</v>
      </c>
      <c r="L223" s="645">
        <v>0</v>
      </c>
      <c r="M223" s="645">
        <v>0</v>
      </c>
      <c r="N223" s="645">
        <v>0</v>
      </c>
      <c r="O223" s="645">
        <v>189000</v>
      </c>
      <c r="P223" s="645">
        <v>84997.42</v>
      </c>
      <c r="Q223" s="677">
        <v>457356.76</v>
      </c>
      <c r="R223" s="645">
        <v>665196</v>
      </c>
      <c r="S223" s="645">
        <v>176799</v>
      </c>
      <c r="T223" s="645">
        <v>50400</v>
      </c>
      <c r="U223" s="645">
        <v>21840</v>
      </c>
      <c r="V223" s="645">
        <v>25200</v>
      </c>
      <c r="W223" s="645">
        <v>352800</v>
      </c>
      <c r="X223" s="645">
        <v>60412.5</v>
      </c>
      <c r="Y223" s="645">
        <v>9201.93</v>
      </c>
      <c r="Z223" s="645">
        <v>10533.6</v>
      </c>
      <c r="AA223" s="641">
        <v>64000</v>
      </c>
      <c r="AB223" s="645">
        <v>-3.7834979593753815E-10</v>
      </c>
      <c r="AC223" s="647">
        <v>2167737.21</v>
      </c>
      <c r="AD223" s="723">
        <v>2288352.63</v>
      </c>
      <c r="AE223" s="718">
        <v>120615.42</v>
      </c>
      <c r="AF223" s="618">
        <f t="shared" si="18"/>
        <v>3.7361632867346437E-3</v>
      </c>
    </row>
    <row r="224" spans="1:32" hidden="1" x14ac:dyDescent="0.25">
      <c r="A224" s="725" t="s">
        <v>732</v>
      </c>
      <c r="B224" s="654" t="s">
        <v>733</v>
      </c>
      <c r="C224" s="635">
        <f t="shared" si="19"/>
        <v>0</v>
      </c>
      <c r="D224" s="635">
        <f t="shared" si="20"/>
        <v>0</v>
      </c>
      <c r="E224" s="635">
        <f t="shared" si="21"/>
        <v>120960</v>
      </c>
      <c r="F224" s="635">
        <f t="shared" si="22"/>
        <v>47040</v>
      </c>
      <c r="G224" s="635">
        <f t="shared" si="23"/>
        <v>0</v>
      </c>
      <c r="H224" s="677">
        <v>0</v>
      </c>
      <c r="I224" s="677">
        <v>0</v>
      </c>
      <c r="J224" s="677">
        <v>0</v>
      </c>
      <c r="K224" s="677">
        <v>0</v>
      </c>
      <c r="L224" s="677">
        <v>0</v>
      </c>
      <c r="M224" s="677">
        <v>0</v>
      </c>
      <c r="N224" s="677">
        <v>0</v>
      </c>
      <c r="O224" s="677">
        <v>0</v>
      </c>
      <c r="P224" s="677">
        <v>0</v>
      </c>
      <c r="Q224" s="677">
        <v>100800</v>
      </c>
      <c r="R224" s="677">
        <v>0</v>
      </c>
      <c r="S224" s="677">
        <v>20160</v>
      </c>
      <c r="T224" s="677">
        <v>0</v>
      </c>
      <c r="U224" s="677">
        <v>21840</v>
      </c>
      <c r="V224" s="677">
        <v>25200</v>
      </c>
      <c r="W224" s="677">
        <v>0</v>
      </c>
      <c r="X224" s="677">
        <v>0</v>
      </c>
      <c r="Y224" s="677">
        <v>0</v>
      </c>
      <c r="Z224" s="677">
        <v>0</v>
      </c>
      <c r="AA224" s="641">
        <v>0</v>
      </c>
      <c r="AB224" s="677">
        <v>0</v>
      </c>
      <c r="AC224" s="672">
        <v>168000</v>
      </c>
      <c r="AD224" s="726">
        <v>168000</v>
      </c>
      <c r="AE224" s="727">
        <v>0</v>
      </c>
      <c r="AF224" s="618">
        <f t="shared" si="18"/>
        <v>2.8955328592224526E-4</v>
      </c>
    </row>
    <row r="225" spans="1:32" hidden="1" x14ac:dyDescent="0.25">
      <c r="A225" s="725" t="s">
        <v>734</v>
      </c>
      <c r="B225" s="654" t="s">
        <v>735</v>
      </c>
      <c r="C225" s="635">
        <f t="shared" si="19"/>
        <v>0</v>
      </c>
      <c r="D225" s="635">
        <f t="shared" si="20"/>
        <v>189000</v>
      </c>
      <c r="E225" s="635">
        <f t="shared" si="21"/>
        <v>1263389.18</v>
      </c>
      <c r="F225" s="635">
        <f t="shared" si="22"/>
        <v>403200</v>
      </c>
      <c r="G225" s="635">
        <f t="shared" si="23"/>
        <v>105023.03</v>
      </c>
      <c r="H225" s="677">
        <v>0</v>
      </c>
      <c r="I225" s="677">
        <v>0</v>
      </c>
      <c r="J225" s="677">
        <v>0</v>
      </c>
      <c r="K225" s="677">
        <v>0</v>
      </c>
      <c r="L225" s="677">
        <v>0</v>
      </c>
      <c r="M225" s="677">
        <v>0</v>
      </c>
      <c r="N225" s="677">
        <v>0</v>
      </c>
      <c r="O225" s="677">
        <v>189000</v>
      </c>
      <c r="P225" s="677">
        <v>84997.42</v>
      </c>
      <c r="Q225" s="677">
        <v>356556.76</v>
      </c>
      <c r="R225" s="677">
        <v>665196</v>
      </c>
      <c r="S225" s="677">
        <v>156639</v>
      </c>
      <c r="T225" s="677">
        <v>50400</v>
      </c>
      <c r="U225" s="677">
        <v>0</v>
      </c>
      <c r="V225" s="677">
        <v>0</v>
      </c>
      <c r="W225" s="677">
        <v>352800</v>
      </c>
      <c r="X225" s="677">
        <v>25200</v>
      </c>
      <c r="Y225" s="677">
        <v>5289.43</v>
      </c>
      <c r="Z225" s="684">
        <v>10533.6</v>
      </c>
      <c r="AA225" s="641">
        <v>64000</v>
      </c>
      <c r="AB225" s="677">
        <v>-3.7834979593753815E-10</v>
      </c>
      <c r="AC225" s="672">
        <v>1960612.2100000002</v>
      </c>
      <c r="AD225" s="726">
        <v>2081227.63</v>
      </c>
      <c r="AE225" s="727">
        <v>120615.42</v>
      </c>
      <c r="AF225" s="618">
        <f t="shared" si="18"/>
        <v>3.3791768322903285E-3</v>
      </c>
    </row>
    <row r="226" spans="1:32" ht="25.5" hidden="1" x14ac:dyDescent="0.25">
      <c r="A226" s="725" t="s">
        <v>1285</v>
      </c>
      <c r="B226" s="654" t="s">
        <v>736</v>
      </c>
      <c r="C226" s="635">
        <f t="shared" si="19"/>
        <v>0</v>
      </c>
      <c r="D226" s="635">
        <f t="shared" si="20"/>
        <v>0</v>
      </c>
      <c r="E226" s="635">
        <f t="shared" si="21"/>
        <v>0</v>
      </c>
      <c r="F226" s="635">
        <f t="shared" si="22"/>
        <v>0</v>
      </c>
      <c r="G226" s="635">
        <f t="shared" si="23"/>
        <v>39125</v>
      </c>
      <c r="H226" s="677">
        <v>0</v>
      </c>
      <c r="I226" s="677">
        <v>0</v>
      </c>
      <c r="J226" s="677">
        <v>0</v>
      </c>
      <c r="K226" s="677">
        <v>0</v>
      </c>
      <c r="L226" s="677">
        <v>0</v>
      </c>
      <c r="M226" s="677">
        <v>0</v>
      </c>
      <c r="N226" s="677">
        <v>0</v>
      </c>
      <c r="O226" s="677">
        <v>0</v>
      </c>
      <c r="P226" s="677">
        <v>0</v>
      </c>
      <c r="Q226" s="677">
        <v>0</v>
      </c>
      <c r="R226" s="677">
        <v>0</v>
      </c>
      <c r="S226" s="677">
        <v>0</v>
      </c>
      <c r="T226" s="677">
        <v>0</v>
      </c>
      <c r="U226" s="677">
        <v>0</v>
      </c>
      <c r="V226" s="677">
        <v>0</v>
      </c>
      <c r="W226" s="677">
        <v>0</v>
      </c>
      <c r="X226" s="677">
        <v>35212.5</v>
      </c>
      <c r="Y226" s="677">
        <v>3912.5</v>
      </c>
      <c r="Z226" s="677">
        <v>0</v>
      </c>
      <c r="AA226" s="641">
        <v>0</v>
      </c>
      <c r="AB226" s="677">
        <v>0</v>
      </c>
      <c r="AC226" s="672">
        <v>39125</v>
      </c>
      <c r="AD226" s="726">
        <v>39125</v>
      </c>
      <c r="AE226" s="727">
        <v>0</v>
      </c>
      <c r="AF226" s="618">
        <f t="shared" si="18"/>
        <v>6.7433168522070501E-5</v>
      </c>
    </row>
    <row r="227" spans="1:32" hidden="1" x14ac:dyDescent="0.25">
      <c r="A227" s="725" t="s">
        <v>737</v>
      </c>
      <c r="B227" s="654" t="s">
        <v>738</v>
      </c>
      <c r="C227" s="635">
        <f t="shared" si="19"/>
        <v>0</v>
      </c>
      <c r="D227" s="635">
        <f t="shared" si="20"/>
        <v>0</v>
      </c>
      <c r="E227" s="635">
        <f t="shared" si="21"/>
        <v>0</v>
      </c>
      <c r="F227" s="635">
        <f t="shared" si="22"/>
        <v>182667.62</v>
      </c>
      <c r="G227" s="635">
        <f t="shared" si="23"/>
        <v>7184.41</v>
      </c>
      <c r="H227" s="645">
        <v>0</v>
      </c>
      <c r="I227" s="645">
        <v>0</v>
      </c>
      <c r="J227" s="645">
        <v>0</v>
      </c>
      <c r="K227" s="645">
        <v>0</v>
      </c>
      <c r="L227" s="645">
        <v>0</v>
      </c>
      <c r="M227" s="645">
        <v>0</v>
      </c>
      <c r="N227" s="645">
        <v>0</v>
      </c>
      <c r="O227" s="645">
        <v>0</v>
      </c>
      <c r="P227" s="645">
        <v>0</v>
      </c>
      <c r="Q227" s="645">
        <v>0</v>
      </c>
      <c r="R227" s="645">
        <v>0</v>
      </c>
      <c r="S227" s="645">
        <v>0</v>
      </c>
      <c r="T227" s="645">
        <v>0</v>
      </c>
      <c r="U227" s="645">
        <v>0</v>
      </c>
      <c r="V227" s="645">
        <v>136220.35</v>
      </c>
      <c r="W227" s="645">
        <v>46447.27</v>
      </c>
      <c r="X227" s="645">
        <v>0</v>
      </c>
      <c r="Y227" s="645">
        <v>7184.41</v>
      </c>
      <c r="Z227" s="645">
        <v>0</v>
      </c>
      <c r="AA227" s="641">
        <v>0</v>
      </c>
      <c r="AB227" s="645">
        <v>0</v>
      </c>
      <c r="AC227" s="672">
        <v>189852.03</v>
      </c>
      <c r="AD227" s="726">
        <v>193210.87</v>
      </c>
      <c r="AE227" s="727">
        <v>3358.84</v>
      </c>
      <c r="AF227" s="618">
        <f t="shared" si="18"/>
        <v>3.2721594717564689E-4</v>
      </c>
    </row>
    <row r="228" spans="1:32" ht="25.5" hidden="1" x14ac:dyDescent="0.25">
      <c r="A228" s="702" t="s">
        <v>739</v>
      </c>
      <c r="B228" s="654" t="s">
        <v>740</v>
      </c>
      <c r="C228" s="635">
        <f t="shared" si="19"/>
        <v>0</v>
      </c>
      <c r="D228" s="635">
        <f t="shared" si="20"/>
        <v>0</v>
      </c>
      <c r="E228" s="635">
        <f t="shared" si="21"/>
        <v>0</v>
      </c>
      <c r="F228" s="635">
        <f t="shared" si="22"/>
        <v>0</v>
      </c>
      <c r="G228" s="635">
        <f t="shared" si="23"/>
        <v>138519.32999999999</v>
      </c>
      <c r="H228" s="645">
        <v>0</v>
      </c>
      <c r="I228" s="645">
        <v>0</v>
      </c>
      <c r="J228" s="645">
        <v>0</v>
      </c>
      <c r="K228" s="645">
        <v>0</v>
      </c>
      <c r="L228" s="645">
        <v>0</v>
      </c>
      <c r="M228" s="645">
        <v>0</v>
      </c>
      <c r="N228" s="645">
        <v>0</v>
      </c>
      <c r="O228" s="645">
        <v>0</v>
      </c>
      <c r="P228" s="645">
        <v>0</v>
      </c>
      <c r="Q228" s="645">
        <v>0</v>
      </c>
      <c r="R228" s="645">
        <v>0</v>
      </c>
      <c r="S228" s="645">
        <v>0</v>
      </c>
      <c r="T228" s="645">
        <v>0</v>
      </c>
      <c r="U228" s="645">
        <v>0</v>
      </c>
      <c r="V228" s="645">
        <v>0</v>
      </c>
      <c r="W228" s="645">
        <v>0</v>
      </c>
      <c r="X228" s="645">
        <v>0</v>
      </c>
      <c r="Y228" s="645">
        <v>0</v>
      </c>
      <c r="Z228" s="646">
        <v>0</v>
      </c>
      <c r="AA228" s="641">
        <v>138519.32999999999</v>
      </c>
      <c r="AB228" s="645">
        <v>0</v>
      </c>
      <c r="AC228" s="672">
        <v>138519.32999999999</v>
      </c>
      <c r="AD228" s="726">
        <v>138519.32999999999</v>
      </c>
      <c r="AE228" s="727">
        <v>0</v>
      </c>
      <c r="AF228" s="618">
        <f t="shared" si="18"/>
        <v>2.3874242360266571E-4</v>
      </c>
    </row>
    <row r="229" spans="1:32" ht="25.5" hidden="1" x14ac:dyDescent="0.25">
      <c r="A229" s="702" t="s">
        <v>739</v>
      </c>
      <c r="B229" s="654" t="s">
        <v>741</v>
      </c>
      <c r="C229" s="635">
        <f t="shared" si="19"/>
        <v>0</v>
      </c>
      <c r="D229" s="635">
        <f t="shared" si="20"/>
        <v>0</v>
      </c>
      <c r="E229" s="635">
        <f t="shared" si="21"/>
        <v>0</v>
      </c>
      <c r="F229" s="635">
        <f t="shared" si="22"/>
        <v>0</v>
      </c>
      <c r="G229" s="635">
        <f t="shared" si="23"/>
        <v>32375.78</v>
      </c>
      <c r="H229" s="645"/>
      <c r="I229" s="645"/>
      <c r="J229" s="645"/>
      <c r="K229" s="645"/>
      <c r="L229" s="645"/>
      <c r="M229" s="645"/>
      <c r="N229" s="645"/>
      <c r="O229" s="645"/>
      <c r="P229" s="645"/>
      <c r="Q229" s="645"/>
      <c r="R229" s="645"/>
      <c r="S229" s="645"/>
      <c r="T229" s="645"/>
      <c r="U229" s="645"/>
      <c r="V229" s="645"/>
      <c r="W229" s="645">
        <v>0</v>
      </c>
      <c r="X229" s="645">
        <v>0</v>
      </c>
      <c r="Y229" s="645">
        <v>0</v>
      </c>
      <c r="Z229" s="646">
        <v>0</v>
      </c>
      <c r="AA229" s="641">
        <v>32375.78</v>
      </c>
      <c r="AB229" s="645">
        <v>-0.15999999999985448</v>
      </c>
      <c r="AC229" s="672">
        <v>32375.78</v>
      </c>
      <c r="AD229" s="726">
        <v>31880.62</v>
      </c>
      <c r="AE229" s="727">
        <v>-495.16</v>
      </c>
      <c r="AF229" s="618">
        <f t="shared" si="18"/>
        <v>5.5800675495807789E-5</v>
      </c>
    </row>
    <row r="230" spans="1:32" ht="25.5" hidden="1" x14ac:dyDescent="0.25">
      <c r="A230" s="702" t="s">
        <v>739</v>
      </c>
      <c r="B230" s="654" t="s">
        <v>742</v>
      </c>
      <c r="C230" s="635">
        <f t="shared" si="19"/>
        <v>0</v>
      </c>
      <c r="D230" s="635">
        <f t="shared" si="20"/>
        <v>0</v>
      </c>
      <c r="E230" s="635">
        <f t="shared" si="21"/>
        <v>0</v>
      </c>
      <c r="F230" s="635">
        <f t="shared" si="22"/>
        <v>0</v>
      </c>
      <c r="G230" s="635">
        <f t="shared" si="23"/>
        <v>27789.06</v>
      </c>
      <c r="H230" s="645"/>
      <c r="I230" s="645"/>
      <c r="J230" s="645"/>
      <c r="K230" s="645"/>
      <c r="L230" s="645"/>
      <c r="M230" s="645"/>
      <c r="N230" s="645"/>
      <c r="O230" s="645"/>
      <c r="P230" s="645"/>
      <c r="Q230" s="645"/>
      <c r="R230" s="645"/>
      <c r="S230" s="645"/>
      <c r="T230" s="645"/>
      <c r="U230" s="645"/>
      <c r="V230" s="645"/>
      <c r="W230" s="645">
        <v>0</v>
      </c>
      <c r="X230" s="645">
        <v>0</v>
      </c>
      <c r="Y230" s="645">
        <v>0</v>
      </c>
      <c r="Z230" s="646">
        <v>0</v>
      </c>
      <c r="AA230" s="641">
        <v>27789.06</v>
      </c>
      <c r="AB230" s="645">
        <v>0.43999999999869033</v>
      </c>
      <c r="AC230" s="672">
        <v>27789.06</v>
      </c>
      <c r="AD230" s="726">
        <v>23123.14</v>
      </c>
      <c r="AE230" s="727">
        <v>-4665.92</v>
      </c>
      <c r="AF230" s="618">
        <f t="shared" si="18"/>
        <v>4.7895319260062073E-5</v>
      </c>
    </row>
    <row r="231" spans="1:32" hidden="1" x14ac:dyDescent="0.25">
      <c r="A231" s="702" t="s">
        <v>743</v>
      </c>
      <c r="B231" s="654" t="s">
        <v>744</v>
      </c>
      <c r="C231" s="635">
        <f t="shared" si="19"/>
        <v>0</v>
      </c>
      <c r="D231" s="635">
        <f t="shared" si="20"/>
        <v>0</v>
      </c>
      <c r="E231" s="635">
        <f t="shared" si="21"/>
        <v>0</v>
      </c>
      <c r="F231" s="635">
        <f t="shared" si="22"/>
        <v>0</v>
      </c>
      <c r="G231" s="635">
        <f t="shared" si="23"/>
        <v>67492.45</v>
      </c>
      <c r="H231" s="645">
        <v>0</v>
      </c>
      <c r="I231" s="645">
        <v>0</v>
      </c>
      <c r="J231" s="645">
        <v>0</v>
      </c>
      <c r="K231" s="645">
        <v>0</v>
      </c>
      <c r="L231" s="645">
        <v>0</v>
      </c>
      <c r="M231" s="645">
        <v>0</v>
      </c>
      <c r="N231" s="645">
        <v>0</v>
      </c>
      <c r="O231" s="645">
        <v>0</v>
      </c>
      <c r="P231" s="645">
        <v>0</v>
      </c>
      <c r="Q231" s="645">
        <v>0</v>
      </c>
      <c r="R231" s="645">
        <v>0</v>
      </c>
      <c r="S231" s="645">
        <v>0</v>
      </c>
      <c r="T231" s="645">
        <v>0</v>
      </c>
      <c r="U231" s="645">
        <v>0</v>
      </c>
      <c r="V231" s="645">
        <v>0</v>
      </c>
      <c r="W231" s="645">
        <v>0</v>
      </c>
      <c r="X231" s="645">
        <v>0</v>
      </c>
      <c r="Y231" s="645">
        <v>0</v>
      </c>
      <c r="Z231" s="646">
        <v>0</v>
      </c>
      <c r="AA231" s="641">
        <v>67492.45</v>
      </c>
      <c r="AB231" s="645">
        <v>36582.130000000005</v>
      </c>
      <c r="AC231" s="672">
        <v>67492.45</v>
      </c>
      <c r="AD231" s="726">
        <v>104074.58</v>
      </c>
      <c r="AE231" s="727">
        <v>36582.129999999997</v>
      </c>
      <c r="AF231" s="618">
        <f t="shared" si="18"/>
        <v>1.1632536114549309E-4</v>
      </c>
    </row>
    <row r="232" spans="1:32" hidden="1" x14ac:dyDescent="0.25">
      <c r="A232" s="658" t="s">
        <v>481</v>
      </c>
      <c r="B232" s="728"/>
      <c r="C232" s="635">
        <f t="shared" si="19"/>
        <v>0</v>
      </c>
      <c r="D232" s="635">
        <f t="shared" si="20"/>
        <v>0</v>
      </c>
      <c r="E232" s="635">
        <f t="shared" si="21"/>
        <v>0</v>
      </c>
      <c r="F232" s="635">
        <f t="shared" si="22"/>
        <v>0</v>
      </c>
      <c r="G232" s="635">
        <f t="shared" si="23"/>
        <v>0</v>
      </c>
      <c r="H232" s="660">
        <v>0</v>
      </c>
      <c r="I232" s="660">
        <v>0</v>
      </c>
      <c r="J232" s="660">
        <v>0</v>
      </c>
      <c r="K232" s="660">
        <v>0</v>
      </c>
      <c r="L232" s="660">
        <v>0</v>
      </c>
      <c r="M232" s="660">
        <v>0</v>
      </c>
      <c r="N232" s="660">
        <v>0</v>
      </c>
      <c r="O232" s="660">
        <v>0</v>
      </c>
      <c r="P232" s="660">
        <v>0</v>
      </c>
      <c r="Q232" s="660">
        <v>0</v>
      </c>
      <c r="R232" s="660">
        <v>0</v>
      </c>
      <c r="S232" s="660">
        <v>0</v>
      </c>
      <c r="T232" s="660">
        <v>0</v>
      </c>
      <c r="U232" s="660">
        <v>0</v>
      </c>
      <c r="V232" s="660">
        <v>0</v>
      </c>
      <c r="W232" s="660">
        <v>0</v>
      </c>
      <c r="X232" s="660">
        <v>0</v>
      </c>
      <c r="Y232" s="660">
        <v>0</v>
      </c>
      <c r="Z232" s="660">
        <v>0</v>
      </c>
      <c r="AA232" s="661">
        <v>0</v>
      </c>
      <c r="AB232" s="660">
        <v>0</v>
      </c>
      <c r="AC232" s="672">
        <v>0</v>
      </c>
      <c r="AD232" s="726">
        <v>0</v>
      </c>
      <c r="AE232" s="727">
        <v>0</v>
      </c>
      <c r="AF232" s="618">
        <f t="shared" si="18"/>
        <v>0</v>
      </c>
    </row>
    <row r="233" spans="1:32" ht="25.5" hidden="1" x14ac:dyDescent="0.25">
      <c r="A233" s="658" t="s">
        <v>482</v>
      </c>
      <c r="B233" s="728"/>
      <c r="C233" s="635">
        <f t="shared" si="19"/>
        <v>0</v>
      </c>
      <c r="D233" s="635">
        <f t="shared" si="20"/>
        <v>0</v>
      </c>
      <c r="E233" s="635">
        <f t="shared" si="21"/>
        <v>0</v>
      </c>
      <c r="F233" s="635">
        <f t="shared" si="22"/>
        <v>0</v>
      </c>
      <c r="G233" s="635">
        <f t="shared" si="23"/>
        <v>0</v>
      </c>
      <c r="H233" s="660">
        <v>0</v>
      </c>
      <c r="I233" s="660">
        <v>0</v>
      </c>
      <c r="J233" s="660">
        <v>0</v>
      </c>
      <c r="K233" s="660">
        <v>0</v>
      </c>
      <c r="L233" s="660">
        <v>0</v>
      </c>
      <c r="M233" s="660">
        <v>0</v>
      </c>
      <c r="N233" s="660">
        <v>0</v>
      </c>
      <c r="O233" s="660">
        <v>0</v>
      </c>
      <c r="P233" s="660">
        <v>0</v>
      </c>
      <c r="Q233" s="660">
        <v>0</v>
      </c>
      <c r="R233" s="660">
        <v>0</v>
      </c>
      <c r="S233" s="660">
        <v>0</v>
      </c>
      <c r="T233" s="660">
        <v>0</v>
      </c>
      <c r="U233" s="660">
        <v>0</v>
      </c>
      <c r="V233" s="660">
        <v>0</v>
      </c>
      <c r="W233" s="660">
        <v>0</v>
      </c>
      <c r="X233" s="660">
        <v>0</v>
      </c>
      <c r="Y233" s="660">
        <v>0</v>
      </c>
      <c r="Z233" s="660">
        <v>0</v>
      </c>
      <c r="AA233" s="661">
        <v>0</v>
      </c>
      <c r="AB233" s="660">
        <v>789657.22377352149</v>
      </c>
      <c r="AC233" s="672">
        <v>0</v>
      </c>
      <c r="AD233" s="726">
        <v>0</v>
      </c>
      <c r="AE233" s="727">
        <v>0</v>
      </c>
      <c r="AF233" s="618">
        <f t="shared" si="18"/>
        <v>0</v>
      </c>
    </row>
    <row r="234" spans="1:32" hidden="1" x14ac:dyDescent="0.25">
      <c r="A234" s="658" t="s">
        <v>483</v>
      </c>
      <c r="B234" s="728"/>
      <c r="C234" s="635">
        <f t="shared" si="19"/>
        <v>0</v>
      </c>
      <c r="D234" s="635">
        <f t="shared" si="20"/>
        <v>0</v>
      </c>
      <c r="E234" s="635">
        <f t="shared" si="21"/>
        <v>0</v>
      </c>
      <c r="F234" s="635">
        <f t="shared" si="22"/>
        <v>0</v>
      </c>
      <c r="G234" s="635">
        <f t="shared" si="23"/>
        <v>17128.23</v>
      </c>
      <c r="H234" s="660">
        <v>0</v>
      </c>
      <c r="I234" s="660">
        <v>0</v>
      </c>
      <c r="J234" s="660">
        <v>0</v>
      </c>
      <c r="K234" s="660">
        <v>0</v>
      </c>
      <c r="L234" s="660">
        <v>0</v>
      </c>
      <c r="M234" s="660">
        <v>0</v>
      </c>
      <c r="N234" s="660">
        <v>0</v>
      </c>
      <c r="O234" s="660">
        <v>0</v>
      </c>
      <c r="P234" s="660">
        <v>0</v>
      </c>
      <c r="Q234" s="660">
        <v>0</v>
      </c>
      <c r="R234" s="660">
        <v>0</v>
      </c>
      <c r="S234" s="660">
        <v>0</v>
      </c>
      <c r="T234" s="660">
        <v>0</v>
      </c>
      <c r="U234" s="660">
        <v>0</v>
      </c>
      <c r="V234" s="660">
        <v>0</v>
      </c>
      <c r="W234" s="660">
        <v>0</v>
      </c>
      <c r="X234" s="660">
        <v>0</v>
      </c>
      <c r="Y234" s="660">
        <v>0</v>
      </c>
      <c r="Z234" s="660">
        <v>0</v>
      </c>
      <c r="AA234" s="661">
        <v>17128.23</v>
      </c>
      <c r="AB234" s="660"/>
      <c r="AC234" s="647">
        <v>17128.23</v>
      </c>
      <c r="AD234" s="723">
        <v>45844.45</v>
      </c>
      <c r="AE234" s="643">
        <v>28716.22</v>
      </c>
      <c r="AF234" s="618">
        <f t="shared" si="18"/>
        <v>2.9521043324595109E-5</v>
      </c>
    </row>
    <row r="235" spans="1:32" hidden="1" x14ac:dyDescent="0.25">
      <c r="A235" s="676" t="s">
        <v>745</v>
      </c>
      <c r="B235" s="701" t="s">
        <v>746</v>
      </c>
      <c r="C235" s="635">
        <f t="shared" si="19"/>
        <v>174684.51</v>
      </c>
      <c r="D235" s="635">
        <f t="shared" si="20"/>
        <v>855568.21000000008</v>
      </c>
      <c r="E235" s="635">
        <f t="shared" si="21"/>
        <v>2173227.4200000004</v>
      </c>
      <c r="F235" s="635">
        <f t="shared" si="22"/>
        <v>10790743.84</v>
      </c>
      <c r="G235" s="635">
        <f t="shared" si="23"/>
        <v>27128695.115757577</v>
      </c>
      <c r="H235" s="662">
        <v>0</v>
      </c>
      <c r="I235" s="662">
        <v>0</v>
      </c>
      <c r="J235" s="662">
        <v>0</v>
      </c>
      <c r="K235" s="662">
        <v>174684.51</v>
      </c>
      <c r="L235" s="662">
        <v>45335.640000000007</v>
      </c>
      <c r="M235" s="662">
        <v>256999.3</v>
      </c>
      <c r="N235" s="662">
        <v>171701.44999999998</v>
      </c>
      <c r="O235" s="662">
        <v>381531.82000000007</v>
      </c>
      <c r="P235" s="662">
        <v>528129.05000000005</v>
      </c>
      <c r="Q235" s="663">
        <v>189755.93000000002</v>
      </c>
      <c r="R235" s="662">
        <v>1229842.03</v>
      </c>
      <c r="S235" s="662">
        <v>225500.41</v>
      </c>
      <c r="T235" s="662">
        <v>951922</v>
      </c>
      <c r="U235" s="662">
        <v>1472605.19</v>
      </c>
      <c r="V235" s="662">
        <v>5501940.8700000001</v>
      </c>
      <c r="W235" s="662">
        <v>2864275.78</v>
      </c>
      <c r="X235" s="662">
        <v>1699418.2899999996</v>
      </c>
      <c r="Y235" s="662">
        <v>3502218.1500000004</v>
      </c>
      <c r="Z235" s="662">
        <v>3984553.0899999994</v>
      </c>
      <c r="AA235" s="636">
        <v>17942505.585757576</v>
      </c>
      <c r="AB235" s="662">
        <v>8950444.185047498</v>
      </c>
      <c r="AC235" s="638">
        <v>36122919.095757574</v>
      </c>
      <c r="AD235" s="662">
        <v>46269013.11999999</v>
      </c>
      <c r="AE235" s="662">
        <v>10146094.02</v>
      </c>
      <c r="AF235" s="618">
        <f t="shared" si="18"/>
        <v>6.2258987626666817E-2</v>
      </c>
    </row>
    <row r="236" spans="1:32" ht="25.5" hidden="1" x14ac:dyDescent="0.25">
      <c r="A236" s="664" t="s">
        <v>747</v>
      </c>
      <c r="B236" s="665" t="s">
        <v>748</v>
      </c>
      <c r="C236" s="635">
        <f t="shared" si="19"/>
        <v>0</v>
      </c>
      <c r="D236" s="635">
        <f t="shared" si="20"/>
        <v>119061.27</v>
      </c>
      <c r="E236" s="635">
        <f t="shared" si="21"/>
        <v>660225.77</v>
      </c>
      <c r="F236" s="635">
        <f t="shared" si="22"/>
        <v>475624.60000000003</v>
      </c>
      <c r="G236" s="635">
        <f t="shared" si="23"/>
        <v>1521233.2900000003</v>
      </c>
      <c r="H236" s="668">
        <v>0</v>
      </c>
      <c r="I236" s="668">
        <v>0</v>
      </c>
      <c r="J236" s="668">
        <v>0</v>
      </c>
      <c r="K236" s="668">
        <v>0</v>
      </c>
      <c r="L236" s="668">
        <v>14766.78</v>
      </c>
      <c r="M236" s="668">
        <v>89986</v>
      </c>
      <c r="N236" s="668">
        <v>5208.49</v>
      </c>
      <c r="O236" s="668">
        <v>9100</v>
      </c>
      <c r="P236" s="668">
        <v>207553.71</v>
      </c>
      <c r="Q236" s="669">
        <v>123821.53</v>
      </c>
      <c r="R236" s="668">
        <v>103350.12</v>
      </c>
      <c r="S236" s="668">
        <v>225500.41</v>
      </c>
      <c r="T236" s="668">
        <v>236550.92</v>
      </c>
      <c r="U236" s="668">
        <v>21747.13</v>
      </c>
      <c r="V236" s="668">
        <v>160889.60999999999</v>
      </c>
      <c r="W236" s="668">
        <v>56436.94000000001</v>
      </c>
      <c r="X236" s="668">
        <v>208330.51</v>
      </c>
      <c r="Y236" s="668">
        <v>42940.799999999996</v>
      </c>
      <c r="Z236" s="668">
        <v>228153.60000000001</v>
      </c>
      <c r="AA236" s="666">
        <v>1041808.3800000002</v>
      </c>
      <c r="AB236" s="668">
        <v>742009.26999999967</v>
      </c>
      <c r="AC236" s="643">
        <v>2776144.93</v>
      </c>
      <c r="AD236" s="643">
        <v>3271878.9899999998</v>
      </c>
      <c r="AE236" s="718">
        <v>495734.06</v>
      </c>
      <c r="AF236" s="618">
        <f t="shared" si="18"/>
        <v>4.7847731349873902E-3</v>
      </c>
    </row>
    <row r="237" spans="1:32" ht="25.5" hidden="1" x14ac:dyDescent="0.25">
      <c r="A237" s="644" t="s">
        <v>747</v>
      </c>
      <c r="B237" s="656" t="s">
        <v>749</v>
      </c>
      <c r="C237" s="635">
        <f t="shared" si="19"/>
        <v>0</v>
      </c>
      <c r="D237" s="635">
        <f t="shared" si="20"/>
        <v>89986</v>
      </c>
      <c r="E237" s="635">
        <f t="shared" si="21"/>
        <v>585994.59</v>
      </c>
      <c r="F237" s="635">
        <f t="shared" si="22"/>
        <v>421403.53</v>
      </c>
      <c r="G237" s="635">
        <f t="shared" si="23"/>
        <v>987057.66000000015</v>
      </c>
      <c r="H237" s="645">
        <v>0</v>
      </c>
      <c r="I237" s="645">
        <v>0</v>
      </c>
      <c r="J237" s="645">
        <v>0</v>
      </c>
      <c r="K237" s="645">
        <v>0</v>
      </c>
      <c r="L237" s="645">
        <v>0</v>
      </c>
      <c r="M237" s="645">
        <v>89986</v>
      </c>
      <c r="N237" s="645">
        <v>0</v>
      </c>
      <c r="O237" s="645">
        <v>0</v>
      </c>
      <c r="P237" s="645">
        <v>207496.71</v>
      </c>
      <c r="Q237" s="645">
        <v>112492.35</v>
      </c>
      <c r="R237" s="645">
        <v>40505.120000000003</v>
      </c>
      <c r="S237" s="645">
        <v>225500.41</v>
      </c>
      <c r="T237" s="645">
        <v>226045.16</v>
      </c>
      <c r="U237" s="645">
        <v>0</v>
      </c>
      <c r="V237" s="645">
        <v>156167</v>
      </c>
      <c r="W237" s="645">
        <v>39191.370000000003</v>
      </c>
      <c r="X237" s="645">
        <v>196713.13</v>
      </c>
      <c r="Y237" s="645">
        <v>0</v>
      </c>
      <c r="Z237" s="645">
        <v>155325.57</v>
      </c>
      <c r="AA237" s="641">
        <v>635018.9600000002</v>
      </c>
      <c r="AB237" s="645">
        <v>596535.30999999959</v>
      </c>
      <c r="AC237" s="643">
        <v>2084441.7800000003</v>
      </c>
      <c r="AD237" s="643">
        <v>2528431.83</v>
      </c>
      <c r="AE237" s="718">
        <v>443990.05</v>
      </c>
      <c r="AF237" s="618">
        <f t="shared" si="18"/>
        <v>3.5926009923369874E-3</v>
      </c>
    </row>
    <row r="238" spans="1:32" hidden="1" x14ac:dyDescent="0.25">
      <c r="A238" s="702" t="s">
        <v>1231</v>
      </c>
      <c r="B238" s="656" t="s">
        <v>750</v>
      </c>
      <c r="C238" s="635">
        <f t="shared" si="19"/>
        <v>0</v>
      </c>
      <c r="D238" s="635">
        <f t="shared" si="20"/>
        <v>0</v>
      </c>
      <c r="E238" s="635">
        <f t="shared" si="21"/>
        <v>62845</v>
      </c>
      <c r="F238" s="635">
        <f t="shared" si="22"/>
        <v>0</v>
      </c>
      <c r="G238" s="635">
        <f t="shared" si="23"/>
        <v>221119.63030303031</v>
      </c>
      <c r="H238" s="645">
        <v>0</v>
      </c>
      <c r="I238" s="645">
        <v>0</v>
      </c>
      <c r="J238" s="645">
        <v>0</v>
      </c>
      <c r="K238" s="645">
        <v>0</v>
      </c>
      <c r="L238" s="645">
        <v>0</v>
      </c>
      <c r="M238" s="645">
        <v>0</v>
      </c>
      <c r="N238" s="645">
        <v>0</v>
      </c>
      <c r="O238" s="645">
        <v>0</v>
      </c>
      <c r="P238" s="645">
        <v>0</v>
      </c>
      <c r="Q238" s="645">
        <v>0</v>
      </c>
      <c r="R238" s="645">
        <v>62845</v>
      </c>
      <c r="S238" s="645">
        <v>0</v>
      </c>
      <c r="T238" s="645">
        <v>0</v>
      </c>
      <c r="U238" s="645">
        <v>0</v>
      </c>
      <c r="V238" s="645">
        <v>0</v>
      </c>
      <c r="W238" s="645">
        <v>0</v>
      </c>
      <c r="X238" s="645">
        <v>0</v>
      </c>
      <c r="Y238" s="645">
        <v>0</v>
      </c>
      <c r="Z238" s="645">
        <v>12895.37</v>
      </c>
      <c r="AA238" s="641">
        <v>208224.26030303031</v>
      </c>
      <c r="AB238" s="645">
        <v>56750.499696969695</v>
      </c>
      <c r="AC238" s="643">
        <v>283964.63030303031</v>
      </c>
      <c r="AD238" s="643">
        <v>289096.13</v>
      </c>
      <c r="AE238" s="718">
        <v>5131.5</v>
      </c>
      <c r="AF238" s="618">
        <f t="shared" si="18"/>
        <v>4.8942197494010714E-4</v>
      </c>
    </row>
    <row r="239" spans="1:32" hidden="1" x14ac:dyDescent="0.25">
      <c r="A239" s="702" t="s">
        <v>751</v>
      </c>
      <c r="B239" s="656" t="s">
        <v>752</v>
      </c>
      <c r="C239" s="635">
        <f t="shared" si="19"/>
        <v>0</v>
      </c>
      <c r="D239" s="635">
        <f t="shared" si="20"/>
        <v>14766.78</v>
      </c>
      <c r="E239" s="635">
        <f t="shared" si="21"/>
        <v>0</v>
      </c>
      <c r="F239" s="635">
        <f t="shared" si="22"/>
        <v>0</v>
      </c>
      <c r="G239" s="635">
        <f t="shared" si="23"/>
        <v>0</v>
      </c>
      <c r="H239" s="645">
        <v>0</v>
      </c>
      <c r="I239" s="645">
        <v>0</v>
      </c>
      <c r="J239" s="645">
        <v>0</v>
      </c>
      <c r="K239" s="645">
        <v>0</v>
      </c>
      <c r="L239" s="645">
        <v>14766.78</v>
      </c>
      <c r="M239" s="645">
        <v>0</v>
      </c>
      <c r="N239" s="645">
        <v>0</v>
      </c>
      <c r="O239" s="645">
        <v>0</v>
      </c>
      <c r="P239" s="645">
        <v>0</v>
      </c>
      <c r="Q239" s="645">
        <v>0</v>
      </c>
      <c r="R239" s="645">
        <v>0</v>
      </c>
      <c r="S239" s="645">
        <v>0</v>
      </c>
      <c r="T239" s="645">
        <v>0</v>
      </c>
      <c r="U239" s="645">
        <v>0</v>
      </c>
      <c r="V239" s="645">
        <v>0</v>
      </c>
      <c r="W239" s="645">
        <v>0</v>
      </c>
      <c r="X239" s="645">
        <v>0</v>
      </c>
      <c r="Y239" s="645">
        <v>0</v>
      </c>
      <c r="Z239" s="645">
        <v>0</v>
      </c>
      <c r="AA239" s="641">
        <v>0</v>
      </c>
      <c r="AB239" s="645">
        <v>0</v>
      </c>
      <c r="AC239" s="643">
        <v>14766.78</v>
      </c>
      <c r="AD239" s="643">
        <v>14766.78</v>
      </c>
      <c r="AE239" s="718">
        <v>0</v>
      </c>
      <c r="AF239" s="618">
        <f t="shared" si="18"/>
        <v>2.5451009949350552E-5</v>
      </c>
    </row>
    <row r="240" spans="1:32" hidden="1" x14ac:dyDescent="0.25">
      <c r="A240" s="702" t="s">
        <v>753</v>
      </c>
      <c r="B240" s="656" t="s">
        <v>754</v>
      </c>
      <c r="C240" s="635">
        <f t="shared" si="19"/>
        <v>0</v>
      </c>
      <c r="D240" s="635">
        <f t="shared" si="20"/>
        <v>0</v>
      </c>
      <c r="E240" s="635">
        <f t="shared" si="21"/>
        <v>11329.18</v>
      </c>
      <c r="F240" s="635">
        <f t="shared" si="22"/>
        <v>39746.949999999997</v>
      </c>
      <c r="G240" s="635">
        <f t="shared" si="23"/>
        <v>23805.48</v>
      </c>
      <c r="H240" s="645">
        <v>0</v>
      </c>
      <c r="I240" s="645">
        <v>0</v>
      </c>
      <c r="J240" s="645">
        <v>0</v>
      </c>
      <c r="K240" s="645">
        <v>0</v>
      </c>
      <c r="L240" s="645">
        <v>0</v>
      </c>
      <c r="M240" s="645">
        <v>0</v>
      </c>
      <c r="N240" s="645">
        <v>0</v>
      </c>
      <c r="O240" s="645">
        <v>0</v>
      </c>
      <c r="P240" s="645">
        <v>0</v>
      </c>
      <c r="Q240" s="645">
        <v>11329.18</v>
      </c>
      <c r="R240" s="645">
        <v>0</v>
      </c>
      <c r="S240" s="645">
        <v>0</v>
      </c>
      <c r="T240" s="645">
        <v>10505.76</v>
      </c>
      <c r="U240" s="645">
        <v>21747.13</v>
      </c>
      <c r="V240" s="645">
        <v>0</v>
      </c>
      <c r="W240" s="645">
        <v>7494.0599999999995</v>
      </c>
      <c r="X240" s="645">
        <v>0</v>
      </c>
      <c r="Y240" s="645">
        <v>10930.6</v>
      </c>
      <c r="Z240" s="645">
        <v>0</v>
      </c>
      <c r="AA240" s="641">
        <v>12874.88</v>
      </c>
      <c r="AB240" s="645">
        <v>10973.740000000003</v>
      </c>
      <c r="AC240" s="643">
        <v>74881.61</v>
      </c>
      <c r="AD240" s="643">
        <v>103348.02</v>
      </c>
      <c r="AE240" s="718">
        <v>28466.41</v>
      </c>
      <c r="AF240" s="618">
        <f t="shared" si="18"/>
        <v>1.2906081089671465E-4</v>
      </c>
    </row>
    <row r="241" spans="1:32" hidden="1" x14ac:dyDescent="0.25">
      <c r="A241" s="689" t="s">
        <v>755</v>
      </c>
      <c r="B241" s="656" t="s">
        <v>756</v>
      </c>
      <c r="C241" s="635">
        <f t="shared" si="19"/>
        <v>0</v>
      </c>
      <c r="D241" s="635">
        <f t="shared" si="20"/>
        <v>14308.49</v>
      </c>
      <c r="E241" s="635">
        <f t="shared" si="21"/>
        <v>57</v>
      </c>
      <c r="F241" s="635">
        <f t="shared" si="22"/>
        <v>0</v>
      </c>
      <c r="G241" s="635">
        <f t="shared" si="23"/>
        <v>0</v>
      </c>
      <c r="H241" s="645">
        <v>0</v>
      </c>
      <c r="I241" s="645">
        <v>0</v>
      </c>
      <c r="J241" s="645">
        <v>0</v>
      </c>
      <c r="K241" s="645">
        <v>0</v>
      </c>
      <c r="L241" s="645">
        <v>0</v>
      </c>
      <c r="M241" s="645">
        <v>0</v>
      </c>
      <c r="N241" s="645">
        <v>5208.49</v>
      </c>
      <c r="O241" s="645">
        <v>9100</v>
      </c>
      <c r="P241" s="645">
        <v>57</v>
      </c>
      <c r="Q241" s="645">
        <v>0</v>
      </c>
      <c r="R241" s="645">
        <v>0</v>
      </c>
      <c r="S241" s="645">
        <v>0</v>
      </c>
      <c r="T241" s="645">
        <v>0</v>
      </c>
      <c r="U241" s="645">
        <v>0</v>
      </c>
      <c r="V241" s="645">
        <v>0</v>
      </c>
      <c r="W241" s="645">
        <v>0</v>
      </c>
      <c r="X241" s="645">
        <v>0</v>
      </c>
      <c r="Y241" s="645">
        <v>0</v>
      </c>
      <c r="Z241" s="645">
        <v>0</v>
      </c>
      <c r="AA241" s="641">
        <v>0</v>
      </c>
      <c r="AB241" s="645">
        <v>-0.48999999999978172</v>
      </c>
      <c r="AC241" s="643">
        <v>14365.49</v>
      </c>
      <c r="AD241" s="643">
        <v>14365</v>
      </c>
      <c r="AE241" s="718">
        <v>-0.49</v>
      </c>
      <c r="AF241" s="618">
        <f t="shared" si="18"/>
        <v>2.4759374008233063E-5</v>
      </c>
    </row>
    <row r="242" spans="1:32" hidden="1" x14ac:dyDescent="0.25">
      <c r="A242" s="689" t="s">
        <v>1232</v>
      </c>
      <c r="B242" s="656" t="s">
        <v>757</v>
      </c>
      <c r="C242" s="635">
        <f t="shared" si="19"/>
        <v>0</v>
      </c>
      <c r="D242" s="635">
        <f t="shared" si="20"/>
        <v>0</v>
      </c>
      <c r="E242" s="635">
        <f t="shared" si="21"/>
        <v>0</v>
      </c>
      <c r="F242" s="635">
        <f t="shared" si="22"/>
        <v>0</v>
      </c>
      <c r="G242" s="635">
        <f t="shared" si="23"/>
        <v>180211.13363636364</v>
      </c>
      <c r="H242" s="645"/>
      <c r="I242" s="645"/>
      <c r="J242" s="645"/>
      <c r="K242" s="645"/>
      <c r="L242" s="645"/>
      <c r="M242" s="645"/>
      <c r="N242" s="645"/>
      <c r="O242" s="645"/>
      <c r="P242" s="645"/>
      <c r="Q242" s="645"/>
      <c r="R242" s="645"/>
      <c r="S242" s="645">
        <v>0</v>
      </c>
      <c r="T242" s="645">
        <v>0</v>
      </c>
      <c r="U242" s="645">
        <v>0</v>
      </c>
      <c r="V242" s="645">
        <v>0</v>
      </c>
      <c r="W242" s="645">
        <v>0</v>
      </c>
      <c r="X242" s="645">
        <v>0</v>
      </c>
      <c r="Y242" s="645">
        <v>21907.279999999999</v>
      </c>
      <c r="Z242" s="645">
        <v>39888.379999999997</v>
      </c>
      <c r="AA242" s="641">
        <v>118415.47363636363</v>
      </c>
      <c r="AB242" s="645">
        <v>108.08636363636469</v>
      </c>
      <c r="AC242" s="643">
        <v>180211.13363636364</v>
      </c>
      <c r="AD242" s="643">
        <v>120715.6</v>
      </c>
      <c r="AE242" s="718">
        <v>-59495.53</v>
      </c>
      <c r="AF242" s="618">
        <f t="shared" si="18"/>
        <v>3.1059955895346397E-4</v>
      </c>
    </row>
    <row r="243" spans="1:32" hidden="1" x14ac:dyDescent="0.25">
      <c r="A243" s="689" t="s">
        <v>1233</v>
      </c>
      <c r="B243" s="656" t="s">
        <v>758</v>
      </c>
      <c r="C243" s="635">
        <f t="shared" si="19"/>
        <v>0</v>
      </c>
      <c r="D243" s="635">
        <f t="shared" si="20"/>
        <v>0</v>
      </c>
      <c r="E243" s="635">
        <f t="shared" si="21"/>
        <v>0</v>
      </c>
      <c r="F243" s="635">
        <f t="shared" si="22"/>
        <v>0</v>
      </c>
      <c r="G243" s="635">
        <f t="shared" si="23"/>
        <v>10102.92</v>
      </c>
      <c r="H243" s="645"/>
      <c r="I243" s="645"/>
      <c r="J243" s="645"/>
      <c r="K243" s="645"/>
      <c r="L243" s="645"/>
      <c r="M243" s="645"/>
      <c r="N243" s="645"/>
      <c r="O243" s="645"/>
      <c r="P243" s="645"/>
      <c r="Q243" s="645"/>
      <c r="R243" s="645"/>
      <c r="S243" s="645">
        <v>0</v>
      </c>
      <c r="T243" s="645">
        <v>0</v>
      </c>
      <c r="U243" s="645">
        <v>0</v>
      </c>
      <c r="V243" s="645">
        <v>0</v>
      </c>
      <c r="W243" s="645">
        <v>0</v>
      </c>
      <c r="X243" s="645">
        <v>0</v>
      </c>
      <c r="Y243" s="645">
        <v>10102.92</v>
      </c>
      <c r="Z243" s="645">
        <v>0</v>
      </c>
      <c r="AA243" s="641">
        <v>0</v>
      </c>
      <c r="AB243" s="645">
        <v>0</v>
      </c>
      <c r="AC243" s="643">
        <v>10102.92</v>
      </c>
      <c r="AD243" s="643">
        <v>10102.92</v>
      </c>
      <c r="AE243" s="718">
        <v>0</v>
      </c>
      <c r="AF243" s="618">
        <f t="shared" si="18"/>
        <v>1.7412700496485533E-5</v>
      </c>
    </row>
    <row r="244" spans="1:32" hidden="1" x14ac:dyDescent="0.25">
      <c r="A244" s="689" t="s">
        <v>1355</v>
      </c>
      <c r="B244" s="656" t="s">
        <v>759</v>
      </c>
      <c r="C244" s="635">
        <f t="shared" si="19"/>
        <v>0</v>
      </c>
      <c r="D244" s="635">
        <f t="shared" si="20"/>
        <v>0</v>
      </c>
      <c r="E244" s="635">
        <f t="shared" si="21"/>
        <v>0</v>
      </c>
      <c r="F244" s="635">
        <f t="shared" si="22"/>
        <v>14474.119999999999</v>
      </c>
      <c r="G244" s="635">
        <f t="shared" si="23"/>
        <v>0</v>
      </c>
      <c r="H244" s="645"/>
      <c r="I244" s="645"/>
      <c r="J244" s="645"/>
      <c r="K244" s="645"/>
      <c r="L244" s="645"/>
      <c r="M244" s="645"/>
      <c r="N244" s="645"/>
      <c r="O244" s="645"/>
      <c r="P244" s="645"/>
      <c r="Q244" s="645"/>
      <c r="R244" s="645"/>
      <c r="S244" s="645">
        <v>0</v>
      </c>
      <c r="T244" s="645">
        <v>0</v>
      </c>
      <c r="U244" s="645">
        <v>0</v>
      </c>
      <c r="V244" s="645">
        <v>4722.6099999999997</v>
      </c>
      <c r="W244" s="645">
        <v>9751.51</v>
      </c>
      <c r="X244" s="645">
        <v>0</v>
      </c>
      <c r="Y244" s="645">
        <v>0</v>
      </c>
      <c r="Z244" s="645">
        <v>0</v>
      </c>
      <c r="AA244" s="641">
        <v>0</v>
      </c>
      <c r="AB244" s="645">
        <v>0</v>
      </c>
      <c r="AC244" s="643">
        <v>14474.12</v>
      </c>
      <c r="AD244" s="643">
        <v>14474.12</v>
      </c>
      <c r="AE244" s="718">
        <v>0</v>
      </c>
      <c r="AF244" s="618">
        <f t="shared" si="18"/>
        <v>2.4946601231148144E-5</v>
      </c>
    </row>
    <row r="245" spans="1:32" hidden="1" x14ac:dyDescent="0.25">
      <c r="A245" s="689" t="s">
        <v>760</v>
      </c>
      <c r="B245" s="656" t="s">
        <v>761</v>
      </c>
      <c r="C245" s="635">
        <f t="shared" si="19"/>
        <v>0</v>
      </c>
      <c r="D245" s="635">
        <f t="shared" si="20"/>
        <v>0</v>
      </c>
      <c r="E245" s="635">
        <f t="shared" si="21"/>
        <v>0</v>
      </c>
      <c r="F245" s="635">
        <f t="shared" si="22"/>
        <v>0</v>
      </c>
      <c r="G245" s="635">
        <f t="shared" si="23"/>
        <v>98936.466060606064</v>
      </c>
      <c r="H245" s="645"/>
      <c r="I245" s="645"/>
      <c r="J245" s="645"/>
      <c r="K245" s="645"/>
      <c r="L245" s="645"/>
      <c r="M245" s="645"/>
      <c r="N245" s="645"/>
      <c r="O245" s="645"/>
      <c r="P245" s="645"/>
      <c r="Q245" s="645"/>
      <c r="R245" s="645"/>
      <c r="S245" s="645">
        <v>0</v>
      </c>
      <c r="T245" s="645">
        <v>0</v>
      </c>
      <c r="U245" s="645">
        <v>0</v>
      </c>
      <c r="V245" s="645">
        <v>0</v>
      </c>
      <c r="W245" s="645">
        <v>0</v>
      </c>
      <c r="X245" s="645">
        <v>11617.38</v>
      </c>
      <c r="Y245" s="645">
        <v>0</v>
      </c>
      <c r="Z245" s="645">
        <v>20044.28</v>
      </c>
      <c r="AA245" s="641">
        <v>67274.806060606061</v>
      </c>
      <c r="AB245" s="645">
        <v>77642.123939393932</v>
      </c>
      <c r="AC245" s="643">
        <v>98936.466060606064</v>
      </c>
      <c r="AD245" s="643">
        <v>176578.59</v>
      </c>
      <c r="AE245" s="718">
        <v>77642.12</v>
      </c>
      <c r="AF245" s="618">
        <f t="shared" si="18"/>
        <v>1.7052011217489989E-4</v>
      </c>
    </row>
    <row r="246" spans="1:32" hidden="1" x14ac:dyDescent="0.25">
      <c r="A246" s="664" t="s">
        <v>1306</v>
      </c>
      <c r="B246" s="665" t="s">
        <v>762</v>
      </c>
      <c r="C246" s="635">
        <f t="shared" si="19"/>
        <v>0</v>
      </c>
      <c r="D246" s="635">
        <f t="shared" si="20"/>
        <v>0</v>
      </c>
      <c r="E246" s="635">
        <f t="shared" si="21"/>
        <v>0</v>
      </c>
      <c r="F246" s="635">
        <f t="shared" si="22"/>
        <v>240255.37</v>
      </c>
      <c r="G246" s="635">
        <f t="shared" si="23"/>
        <v>575918.36818181816</v>
      </c>
      <c r="H246" s="668">
        <v>0</v>
      </c>
      <c r="I246" s="668">
        <v>0</v>
      </c>
      <c r="J246" s="668">
        <v>0</v>
      </c>
      <c r="K246" s="668">
        <v>0</v>
      </c>
      <c r="L246" s="668">
        <v>0</v>
      </c>
      <c r="M246" s="668">
        <v>0</v>
      </c>
      <c r="N246" s="668">
        <v>0</v>
      </c>
      <c r="O246" s="668">
        <v>0</v>
      </c>
      <c r="P246" s="668">
        <v>0</v>
      </c>
      <c r="Q246" s="669">
        <v>0</v>
      </c>
      <c r="R246" s="668">
        <v>0</v>
      </c>
      <c r="S246" s="668">
        <v>0</v>
      </c>
      <c r="T246" s="668">
        <v>0</v>
      </c>
      <c r="U246" s="668">
        <v>0</v>
      </c>
      <c r="V246" s="668">
        <v>80249.669999999984</v>
      </c>
      <c r="W246" s="668">
        <v>160005.70000000001</v>
      </c>
      <c r="X246" s="668">
        <v>58134.34</v>
      </c>
      <c r="Y246" s="668">
        <v>309838.73</v>
      </c>
      <c r="Z246" s="668">
        <v>20244.169999999998</v>
      </c>
      <c r="AA246" s="666">
        <v>187701.12818181817</v>
      </c>
      <c r="AB246" s="668">
        <v>331628.02181818179</v>
      </c>
      <c r="AC246" s="647">
        <v>816173.73818181816</v>
      </c>
      <c r="AD246" s="647">
        <v>1230420.3400000001</v>
      </c>
      <c r="AE246" s="718">
        <v>414246.6</v>
      </c>
      <c r="AF246" s="618">
        <f t="shared" si="18"/>
        <v>1.4067011177023078E-3</v>
      </c>
    </row>
    <row r="247" spans="1:32" hidden="1" x14ac:dyDescent="0.25">
      <c r="A247" s="689" t="s">
        <v>763</v>
      </c>
      <c r="B247" s="656" t="s">
        <v>764</v>
      </c>
      <c r="C247" s="635">
        <f t="shared" si="19"/>
        <v>0</v>
      </c>
      <c r="D247" s="635">
        <f t="shared" si="20"/>
        <v>0</v>
      </c>
      <c r="E247" s="635">
        <f t="shared" si="21"/>
        <v>0</v>
      </c>
      <c r="F247" s="635">
        <f t="shared" si="22"/>
        <v>0</v>
      </c>
      <c r="G247" s="635">
        <f t="shared" si="23"/>
        <v>145258.51999999999</v>
      </c>
      <c r="H247" s="645"/>
      <c r="I247" s="645"/>
      <c r="J247" s="645"/>
      <c r="K247" s="645"/>
      <c r="L247" s="645"/>
      <c r="M247" s="645"/>
      <c r="N247" s="645"/>
      <c r="O247" s="645"/>
      <c r="P247" s="645"/>
      <c r="Q247" s="645"/>
      <c r="R247" s="645">
        <v>0</v>
      </c>
      <c r="S247" s="645">
        <v>0</v>
      </c>
      <c r="T247" s="645">
        <v>0</v>
      </c>
      <c r="U247" s="645">
        <v>0</v>
      </c>
      <c r="V247" s="645">
        <v>0</v>
      </c>
      <c r="W247" s="645">
        <v>0</v>
      </c>
      <c r="X247" s="645">
        <v>0</v>
      </c>
      <c r="Y247" s="645">
        <v>71062.36</v>
      </c>
      <c r="Z247" s="645">
        <v>0</v>
      </c>
      <c r="AA247" s="641">
        <v>74196.159999999989</v>
      </c>
      <c r="AB247" s="645">
        <v>2.9103830456733704E-11</v>
      </c>
      <c r="AC247" s="647">
        <v>145258.51999999999</v>
      </c>
      <c r="AD247" s="643">
        <v>98022.99</v>
      </c>
      <c r="AE247" s="718">
        <v>-47235.53</v>
      </c>
      <c r="AF247" s="618">
        <f t="shared" si="18"/>
        <v>2.503576296083463E-4</v>
      </c>
    </row>
    <row r="248" spans="1:32" hidden="1" x14ac:dyDescent="0.25">
      <c r="A248" s="689" t="s">
        <v>765</v>
      </c>
      <c r="B248" s="656" t="s">
        <v>766</v>
      </c>
      <c r="C248" s="635">
        <f t="shared" si="19"/>
        <v>0</v>
      </c>
      <c r="D248" s="635">
        <f t="shared" si="20"/>
        <v>0</v>
      </c>
      <c r="E248" s="635">
        <f t="shared" si="21"/>
        <v>0</v>
      </c>
      <c r="F248" s="635">
        <f t="shared" si="22"/>
        <v>0</v>
      </c>
      <c r="G248" s="635">
        <f t="shared" si="23"/>
        <v>49016.959090909091</v>
      </c>
      <c r="H248" s="645"/>
      <c r="I248" s="645"/>
      <c r="J248" s="645"/>
      <c r="K248" s="645"/>
      <c r="L248" s="645"/>
      <c r="M248" s="645"/>
      <c r="N248" s="645"/>
      <c r="O248" s="645"/>
      <c r="P248" s="645"/>
      <c r="Q248" s="645"/>
      <c r="R248" s="645">
        <v>0</v>
      </c>
      <c r="S248" s="645">
        <v>0</v>
      </c>
      <c r="T248" s="645">
        <v>0</v>
      </c>
      <c r="U248" s="645">
        <v>0</v>
      </c>
      <c r="V248" s="645">
        <v>0</v>
      </c>
      <c r="W248" s="645">
        <v>0</v>
      </c>
      <c r="X248" s="645">
        <v>23926.050000000003</v>
      </c>
      <c r="Y248" s="645">
        <v>0</v>
      </c>
      <c r="Z248" s="645">
        <v>0</v>
      </c>
      <c r="AA248" s="641">
        <v>25090.909090909092</v>
      </c>
      <c r="AB248" s="645">
        <v>47799.940909090903</v>
      </c>
      <c r="AC248" s="647">
        <v>49016.959090909091</v>
      </c>
      <c r="AD248" s="643">
        <v>96816.900000000009</v>
      </c>
      <c r="AE248" s="718">
        <v>47799.94</v>
      </c>
      <c r="AF248" s="618">
        <f t="shared" si="18"/>
        <v>8.448227125410118E-5</v>
      </c>
    </row>
    <row r="249" spans="1:32" hidden="1" x14ac:dyDescent="0.25">
      <c r="A249" s="689" t="s">
        <v>767</v>
      </c>
      <c r="B249" s="656" t="s">
        <v>768</v>
      </c>
      <c r="C249" s="635">
        <f t="shared" si="19"/>
        <v>0</v>
      </c>
      <c r="D249" s="635">
        <f t="shared" si="20"/>
        <v>0</v>
      </c>
      <c r="E249" s="635">
        <f t="shared" si="21"/>
        <v>0</v>
      </c>
      <c r="F249" s="635">
        <f t="shared" si="22"/>
        <v>0</v>
      </c>
      <c r="G249" s="635">
        <f t="shared" si="23"/>
        <v>8207.9590909090912</v>
      </c>
      <c r="H249" s="645"/>
      <c r="I249" s="645"/>
      <c r="J249" s="645"/>
      <c r="K249" s="645"/>
      <c r="L249" s="645"/>
      <c r="M249" s="645"/>
      <c r="N249" s="645"/>
      <c r="O249" s="645"/>
      <c r="P249" s="645"/>
      <c r="Q249" s="645"/>
      <c r="R249" s="645">
        <v>0</v>
      </c>
      <c r="S249" s="645">
        <v>0</v>
      </c>
      <c r="T249" s="645">
        <v>0</v>
      </c>
      <c r="U249" s="645">
        <v>0</v>
      </c>
      <c r="V249" s="645">
        <v>0</v>
      </c>
      <c r="W249" s="645">
        <v>0</v>
      </c>
      <c r="X249" s="645">
        <v>0</v>
      </c>
      <c r="Y249" s="645">
        <v>0</v>
      </c>
      <c r="Z249" s="645">
        <v>0</v>
      </c>
      <c r="AA249" s="641">
        <v>8207.9590909090912</v>
      </c>
      <c r="AB249" s="645">
        <v>1850.1809090909082</v>
      </c>
      <c r="AC249" s="647">
        <v>8207.9590909090912</v>
      </c>
      <c r="AD249" s="643">
        <v>304176.14</v>
      </c>
      <c r="AE249" s="718">
        <v>295968.18</v>
      </c>
      <c r="AF249" s="618">
        <f t="shared" si="18"/>
        <v>1.4146675746952929E-5</v>
      </c>
    </row>
    <row r="250" spans="1:32" hidden="1" x14ac:dyDescent="0.25">
      <c r="A250" s="689" t="s">
        <v>769</v>
      </c>
      <c r="B250" s="656" t="s">
        <v>770</v>
      </c>
      <c r="C250" s="635">
        <f t="shared" si="19"/>
        <v>0</v>
      </c>
      <c r="D250" s="635">
        <f t="shared" si="20"/>
        <v>0</v>
      </c>
      <c r="E250" s="635">
        <f t="shared" si="21"/>
        <v>0</v>
      </c>
      <c r="F250" s="635">
        <f t="shared" si="22"/>
        <v>3813.87</v>
      </c>
      <c r="G250" s="635">
        <f t="shared" si="23"/>
        <v>0</v>
      </c>
      <c r="H250" s="645"/>
      <c r="I250" s="645"/>
      <c r="J250" s="645"/>
      <c r="K250" s="645"/>
      <c r="L250" s="645"/>
      <c r="M250" s="645"/>
      <c r="N250" s="645"/>
      <c r="O250" s="645"/>
      <c r="P250" s="645"/>
      <c r="Q250" s="645"/>
      <c r="R250" s="645">
        <v>0</v>
      </c>
      <c r="S250" s="645">
        <v>0</v>
      </c>
      <c r="T250" s="645">
        <v>0</v>
      </c>
      <c r="U250" s="645">
        <v>0</v>
      </c>
      <c r="V250" s="645">
        <v>3813.87</v>
      </c>
      <c r="W250" s="645">
        <v>0</v>
      </c>
      <c r="X250" s="645">
        <v>0</v>
      </c>
      <c r="Y250" s="645">
        <v>0</v>
      </c>
      <c r="Z250" s="645">
        <v>0</v>
      </c>
      <c r="AA250" s="641">
        <v>0</v>
      </c>
      <c r="AB250" s="645">
        <v>0</v>
      </c>
      <c r="AC250" s="647">
        <v>3813.87</v>
      </c>
      <c r="AD250" s="643">
        <v>3813.87</v>
      </c>
      <c r="AE250" s="718">
        <v>0</v>
      </c>
      <c r="AF250" s="618">
        <f t="shared" si="18"/>
        <v>6.5733249439301986E-6</v>
      </c>
    </row>
    <row r="251" spans="1:32" hidden="1" x14ac:dyDescent="0.25">
      <c r="A251" s="689" t="s">
        <v>1307</v>
      </c>
      <c r="B251" s="656" t="s">
        <v>771</v>
      </c>
      <c r="C251" s="635">
        <f t="shared" si="19"/>
        <v>0</v>
      </c>
      <c r="D251" s="635">
        <f t="shared" si="20"/>
        <v>0</v>
      </c>
      <c r="E251" s="635">
        <f t="shared" si="21"/>
        <v>0</v>
      </c>
      <c r="F251" s="635">
        <f t="shared" si="22"/>
        <v>150000</v>
      </c>
      <c r="G251" s="635">
        <f t="shared" si="23"/>
        <v>75000</v>
      </c>
      <c r="H251" s="645"/>
      <c r="I251" s="645"/>
      <c r="J251" s="645"/>
      <c r="K251" s="645"/>
      <c r="L251" s="645"/>
      <c r="M251" s="645"/>
      <c r="N251" s="645"/>
      <c r="O251" s="645"/>
      <c r="P251" s="645"/>
      <c r="Q251" s="645"/>
      <c r="R251" s="645">
        <v>0</v>
      </c>
      <c r="S251" s="645">
        <v>0</v>
      </c>
      <c r="T251" s="645">
        <v>0</v>
      </c>
      <c r="U251" s="645">
        <v>0</v>
      </c>
      <c r="V251" s="645">
        <v>0</v>
      </c>
      <c r="W251" s="645">
        <v>150000</v>
      </c>
      <c r="X251" s="645">
        <v>25000</v>
      </c>
      <c r="Y251" s="645">
        <v>0</v>
      </c>
      <c r="Z251" s="646">
        <v>0</v>
      </c>
      <c r="AA251" s="641">
        <v>50000</v>
      </c>
      <c r="AB251" s="645">
        <v>275000</v>
      </c>
      <c r="AC251" s="647">
        <v>225000</v>
      </c>
      <c r="AD251" s="643">
        <v>175000</v>
      </c>
      <c r="AE251" s="718">
        <v>-50000</v>
      </c>
      <c r="AF251" s="618">
        <f t="shared" si="18"/>
        <v>3.8779457936014987E-4</v>
      </c>
    </row>
    <row r="252" spans="1:32" ht="25.5" hidden="1" x14ac:dyDescent="0.25">
      <c r="A252" s="664" t="s">
        <v>1286</v>
      </c>
      <c r="B252" s="665" t="s">
        <v>772</v>
      </c>
      <c r="C252" s="635">
        <f t="shared" si="19"/>
        <v>0</v>
      </c>
      <c r="D252" s="635">
        <f t="shared" si="20"/>
        <v>0</v>
      </c>
      <c r="E252" s="635">
        <f t="shared" si="21"/>
        <v>0</v>
      </c>
      <c r="F252" s="635">
        <f t="shared" si="22"/>
        <v>16864.18</v>
      </c>
      <c r="G252" s="635">
        <f t="shared" si="23"/>
        <v>69161.73</v>
      </c>
      <c r="H252" s="668"/>
      <c r="I252" s="668"/>
      <c r="J252" s="668"/>
      <c r="K252" s="668"/>
      <c r="L252" s="668"/>
      <c r="M252" s="668"/>
      <c r="N252" s="668"/>
      <c r="O252" s="668"/>
      <c r="P252" s="668"/>
      <c r="Q252" s="669"/>
      <c r="R252" s="668">
        <v>0</v>
      </c>
      <c r="S252" s="668">
        <v>0</v>
      </c>
      <c r="T252" s="668">
        <v>0</v>
      </c>
      <c r="U252" s="668">
        <v>0</v>
      </c>
      <c r="V252" s="668">
        <v>6858.48</v>
      </c>
      <c r="W252" s="668">
        <v>10005.700000000001</v>
      </c>
      <c r="X252" s="668">
        <v>9208.2900000000009</v>
      </c>
      <c r="Y252" s="668">
        <v>9503.17</v>
      </c>
      <c r="Z252" s="668">
        <v>20244.169999999998</v>
      </c>
      <c r="AA252" s="666">
        <v>30206.100000000002</v>
      </c>
      <c r="AB252" s="668">
        <v>3078.1100000000006</v>
      </c>
      <c r="AC252" s="647">
        <v>86025.91</v>
      </c>
      <c r="AD252" s="647">
        <v>89118</v>
      </c>
      <c r="AE252" s="718">
        <v>3092.09</v>
      </c>
      <c r="AF252" s="618">
        <f t="shared" si="18"/>
        <v>1.4826836258899606E-4</v>
      </c>
    </row>
    <row r="253" spans="1:32" ht="25.5" hidden="1" x14ac:dyDescent="0.25">
      <c r="A253" s="689" t="s">
        <v>1308</v>
      </c>
      <c r="B253" s="656" t="s">
        <v>773</v>
      </c>
      <c r="C253" s="635">
        <f t="shared" si="19"/>
        <v>0</v>
      </c>
      <c r="D253" s="635">
        <f t="shared" si="20"/>
        <v>0</v>
      </c>
      <c r="E253" s="635">
        <f t="shared" si="21"/>
        <v>0</v>
      </c>
      <c r="F253" s="635">
        <f t="shared" si="22"/>
        <v>13371.9</v>
      </c>
      <c r="G253" s="635">
        <f t="shared" si="23"/>
        <v>58549.990000000005</v>
      </c>
      <c r="H253" s="645"/>
      <c r="I253" s="645"/>
      <c r="J253" s="645"/>
      <c r="K253" s="645"/>
      <c r="L253" s="645"/>
      <c r="M253" s="645"/>
      <c r="N253" s="645"/>
      <c r="O253" s="645"/>
      <c r="P253" s="645"/>
      <c r="Q253" s="645"/>
      <c r="R253" s="645">
        <v>0</v>
      </c>
      <c r="S253" s="645">
        <v>0</v>
      </c>
      <c r="T253" s="645">
        <v>0</v>
      </c>
      <c r="U253" s="645">
        <v>0</v>
      </c>
      <c r="V253" s="645">
        <v>6858.48</v>
      </c>
      <c r="W253" s="645">
        <v>6513.42</v>
      </c>
      <c r="X253" s="645">
        <v>6415.2</v>
      </c>
      <c r="Y253" s="645">
        <v>6632.12</v>
      </c>
      <c r="Z253" s="645">
        <v>17429.77</v>
      </c>
      <c r="AA253" s="641">
        <v>28072.9</v>
      </c>
      <c r="AB253" s="645">
        <v>3078.1100000000006</v>
      </c>
      <c r="AC253" s="647">
        <v>71921.890000000014</v>
      </c>
      <c r="AD253" s="643">
        <v>75000</v>
      </c>
      <c r="AE253" s="718">
        <v>3078.11</v>
      </c>
      <c r="AF253" s="618">
        <f t="shared" si="18"/>
        <v>1.2395964035260879E-4</v>
      </c>
    </row>
    <row r="254" spans="1:32" hidden="1" x14ac:dyDescent="0.25">
      <c r="A254" s="702" t="s">
        <v>774</v>
      </c>
      <c r="B254" s="656" t="s">
        <v>775</v>
      </c>
      <c r="C254" s="635">
        <f t="shared" si="19"/>
        <v>0</v>
      </c>
      <c r="D254" s="635">
        <f t="shared" si="20"/>
        <v>0</v>
      </c>
      <c r="E254" s="635">
        <f t="shared" si="21"/>
        <v>0</v>
      </c>
      <c r="F254" s="635">
        <f t="shared" si="22"/>
        <v>3492.28</v>
      </c>
      <c r="G254" s="635">
        <f t="shared" si="23"/>
        <v>10611.740000000002</v>
      </c>
      <c r="H254" s="645"/>
      <c r="I254" s="645"/>
      <c r="J254" s="645"/>
      <c r="K254" s="645"/>
      <c r="L254" s="645"/>
      <c r="M254" s="645"/>
      <c r="N254" s="645"/>
      <c r="O254" s="645"/>
      <c r="P254" s="645"/>
      <c r="Q254" s="645"/>
      <c r="R254" s="645">
        <v>0</v>
      </c>
      <c r="S254" s="645">
        <v>0</v>
      </c>
      <c r="T254" s="645">
        <v>0</v>
      </c>
      <c r="U254" s="645">
        <v>0</v>
      </c>
      <c r="V254" s="645">
        <v>0</v>
      </c>
      <c r="W254" s="645">
        <v>3492.28</v>
      </c>
      <c r="X254" s="645">
        <v>2793.09</v>
      </c>
      <c r="Y254" s="645">
        <v>2871.05</v>
      </c>
      <c r="Z254" s="645">
        <v>2814.4</v>
      </c>
      <c r="AA254" s="641">
        <v>2133.1999999999998</v>
      </c>
      <c r="AB254" s="645">
        <v>0</v>
      </c>
      <c r="AC254" s="647">
        <v>14104.02</v>
      </c>
      <c r="AD254" s="643">
        <v>14118</v>
      </c>
      <c r="AE254" s="718">
        <v>13.98</v>
      </c>
      <c r="AF254" s="618">
        <f t="shared" si="18"/>
        <v>2.4308722236387295E-5</v>
      </c>
    </row>
    <row r="255" spans="1:32" ht="25.5" hidden="1" x14ac:dyDescent="0.25">
      <c r="A255" s="689" t="s">
        <v>1309</v>
      </c>
      <c r="B255" s="656" t="s">
        <v>776</v>
      </c>
      <c r="C255" s="635">
        <f t="shared" si="19"/>
        <v>0</v>
      </c>
      <c r="D255" s="635">
        <f t="shared" si="20"/>
        <v>0</v>
      </c>
      <c r="E255" s="635">
        <f t="shared" si="21"/>
        <v>0</v>
      </c>
      <c r="F255" s="635">
        <f t="shared" si="22"/>
        <v>0</v>
      </c>
      <c r="G255" s="635">
        <f t="shared" si="23"/>
        <v>0</v>
      </c>
      <c r="H255" s="645"/>
      <c r="I255" s="645"/>
      <c r="J255" s="645"/>
      <c r="K255" s="645"/>
      <c r="L255" s="645"/>
      <c r="M255" s="645"/>
      <c r="N255" s="645"/>
      <c r="O255" s="645"/>
      <c r="P255" s="645"/>
      <c r="Q255" s="645"/>
      <c r="R255" s="645">
        <v>0</v>
      </c>
      <c r="S255" s="645">
        <v>0</v>
      </c>
      <c r="T255" s="645">
        <v>0</v>
      </c>
      <c r="U255" s="645">
        <v>0</v>
      </c>
      <c r="V255" s="645">
        <v>0</v>
      </c>
      <c r="W255" s="645">
        <v>0</v>
      </c>
      <c r="X255" s="645">
        <v>0</v>
      </c>
      <c r="Y255" s="645">
        <v>0</v>
      </c>
      <c r="Z255" s="645">
        <v>0</v>
      </c>
      <c r="AA255" s="641">
        <v>0</v>
      </c>
      <c r="AB255" s="645">
        <v>0</v>
      </c>
      <c r="AC255" s="647">
        <v>0</v>
      </c>
      <c r="AD255" s="643">
        <v>60722.13</v>
      </c>
      <c r="AE255" s="718">
        <v>60722.13</v>
      </c>
      <c r="AF255" s="618">
        <f t="shared" si="18"/>
        <v>0</v>
      </c>
    </row>
    <row r="256" spans="1:32" hidden="1" x14ac:dyDescent="0.25">
      <c r="A256" s="689" t="s">
        <v>777</v>
      </c>
      <c r="B256" s="656" t="s">
        <v>778</v>
      </c>
      <c r="C256" s="635">
        <f t="shared" si="19"/>
        <v>0</v>
      </c>
      <c r="D256" s="635">
        <f t="shared" si="20"/>
        <v>0</v>
      </c>
      <c r="E256" s="635">
        <f t="shared" si="21"/>
        <v>0</v>
      </c>
      <c r="F256" s="635">
        <f t="shared" si="22"/>
        <v>69577.319999999992</v>
      </c>
      <c r="G256" s="635">
        <f t="shared" si="23"/>
        <v>229273.2</v>
      </c>
      <c r="H256" s="645"/>
      <c r="I256" s="645"/>
      <c r="J256" s="645"/>
      <c r="K256" s="645"/>
      <c r="L256" s="645"/>
      <c r="M256" s="645"/>
      <c r="N256" s="645"/>
      <c r="O256" s="645"/>
      <c r="P256" s="645"/>
      <c r="Q256" s="645"/>
      <c r="R256" s="645">
        <v>0</v>
      </c>
      <c r="S256" s="645">
        <v>0</v>
      </c>
      <c r="T256" s="645">
        <v>0</v>
      </c>
      <c r="U256" s="645">
        <v>0</v>
      </c>
      <c r="V256" s="645">
        <v>69577.319999999992</v>
      </c>
      <c r="W256" s="645">
        <v>0</v>
      </c>
      <c r="X256" s="645">
        <v>0</v>
      </c>
      <c r="Y256" s="645">
        <v>229273.2</v>
      </c>
      <c r="Z256" s="645">
        <v>0</v>
      </c>
      <c r="AA256" s="641">
        <v>0</v>
      </c>
      <c r="AB256" s="645">
        <v>3899.789999999979</v>
      </c>
      <c r="AC256" s="647">
        <v>298850.52</v>
      </c>
      <c r="AD256" s="643">
        <v>402750.31</v>
      </c>
      <c r="AE256" s="718">
        <v>103899.79</v>
      </c>
      <c r="AF256" s="618">
        <f t="shared" si="18"/>
        <v>5.1507827419983144E-4</v>
      </c>
    </row>
    <row r="257" spans="1:32" ht="25.5" hidden="1" x14ac:dyDescent="0.25">
      <c r="A257" s="664" t="s">
        <v>779</v>
      </c>
      <c r="B257" s="665" t="s">
        <v>780</v>
      </c>
      <c r="C257" s="635">
        <f t="shared" si="19"/>
        <v>0</v>
      </c>
      <c r="D257" s="635">
        <f t="shared" si="20"/>
        <v>0</v>
      </c>
      <c r="E257" s="635">
        <f t="shared" si="21"/>
        <v>0</v>
      </c>
      <c r="F257" s="635">
        <f t="shared" si="22"/>
        <v>0</v>
      </c>
      <c r="G257" s="635">
        <f t="shared" si="23"/>
        <v>6779620.2803030303</v>
      </c>
      <c r="H257" s="668">
        <v>0</v>
      </c>
      <c r="I257" s="668">
        <v>0</v>
      </c>
      <c r="J257" s="668">
        <v>0</v>
      </c>
      <c r="K257" s="668">
        <v>0</v>
      </c>
      <c r="L257" s="668">
        <v>0</v>
      </c>
      <c r="M257" s="668">
        <v>0</v>
      </c>
      <c r="N257" s="668">
        <v>0</v>
      </c>
      <c r="O257" s="668">
        <v>0</v>
      </c>
      <c r="P257" s="668">
        <v>0</v>
      </c>
      <c r="Q257" s="669">
        <v>0</v>
      </c>
      <c r="R257" s="668">
        <v>0</v>
      </c>
      <c r="S257" s="668">
        <v>0</v>
      </c>
      <c r="T257" s="668">
        <v>0</v>
      </c>
      <c r="U257" s="668">
        <v>0</v>
      </c>
      <c r="V257" s="668">
        <v>0</v>
      </c>
      <c r="W257" s="668">
        <v>0</v>
      </c>
      <c r="X257" s="668">
        <v>0</v>
      </c>
      <c r="Y257" s="668">
        <v>689193.44</v>
      </c>
      <c r="Z257" s="668">
        <v>859457.92999999993</v>
      </c>
      <c r="AA257" s="666">
        <v>5230968.9103030302</v>
      </c>
      <c r="AB257" s="668">
        <v>4182102.7196969702</v>
      </c>
      <c r="AC257" s="647">
        <v>6779620.2803030303</v>
      </c>
      <c r="AD257" s="647">
        <v>9242537.2399999984</v>
      </c>
      <c r="AE257" s="718">
        <v>2462916.96</v>
      </c>
      <c r="AF257" s="618">
        <f t="shared" si="18"/>
        <v>1.1684888865874023E-2</v>
      </c>
    </row>
    <row r="258" spans="1:32" ht="25.5" hidden="1" x14ac:dyDescent="0.25">
      <c r="A258" s="729" t="s">
        <v>1287</v>
      </c>
      <c r="B258" s="730" t="s">
        <v>781</v>
      </c>
      <c r="C258" s="635">
        <f t="shared" si="19"/>
        <v>0</v>
      </c>
      <c r="D258" s="635">
        <f t="shared" si="20"/>
        <v>0</v>
      </c>
      <c r="E258" s="635">
        <f t="shared" si="21"/>
        <v>0</v>
      </c>
      <c r="F258" s="635">
        <f t="shared" si="22"/>
        <v>0</v>
      </c>
      <c r="G258" s="635">
        <f t="shared" si="23"/>
        <v>4065352.6390909092</v>
      </c>
      <c r="H258" s="645">
        <v>0</v>
      </c>
      <c r="I258" s="645">
        <v>0</v>
      </c>
      <c r="J258" s="645">
        <v>0</v>
      </c>
      <c r="K258" s="645">
        <v>0</v>
      </c>
      <c r="L258" s="645">
        <v>0</v>
      </c>
      <c r="M258" s="645">
        <v>0</v>
      </c>
      <c r="N258" s="645">
        <v>0</v>
      </c>
      <c r="O258" s="645">
        <v>0</v>
      </c>
      <c r="P258" s="645">
        <v>0</v>
      </c>
      <c r="Q258" s="645">
        <v>0</v>
      </c>
      <c r="R258" s="645">
        <v>0</v>
      </c>
      <c r="S258" s="645">
        <v>0</v>
      </c>
      <c r="T258" s="645">
        <v>0</v>
      </c>
      <c r="U258" s="645">
        <v>0</v>
      </c>
      <c r="V258" s="645">
        <v>0</v>
      </c>
      <c r="W258" s="645">
        <v>0</v>
      </c>
      <c r="X258" s="645">
        <v>0</v>
      </c>
      <c r="Y258" s="645">
        <v>381905.33999999997</v>
      </c>
      <c r="Z258" s="645">
        <v>334895.40999999997</v>
      </c>
      <c r="AA258" s="641">
        <v>3348551.8890909092</v>
      </c>
      <c r="AB258" s="645">
        <v>1337900.5709090913</v>
      </c>
      <c r="AC258" s="647">
        <v>4065352.6390909092</v>
      </c>
      <c r="AD258" s="647">
        <v>3485158.92</v>
      </c>
      <c r="AE258" s="718">
        <v>-580193.72</v>
      </c>
      <c r="AF258" s="618">
        <f t="shared" si="18"/>
        <v>7.006763185008597E-3</v>
      </c>
    </row>
    <row r="259" spans="1:32" hidden="1" x14ac:dyDescent="0.25">
      <c r="A259" s="729" t="s">
        <v>782</v>
      </c>
      <c r="B259" s="730" t="s">
        <v>783</v>
      </c>
      <c r="C259" s="635">
        <f t="shared" si="19"/>
        <v>0</v>
      </c>
      <c r="D259" s="635">
        <f t="shared" si="20"/>
        <v>0</v>
      </c>
      <c r="E259" s="635">
        <f t="shared" si="21"/>
        <v>0</v>
      </c>
      <c r="F259" s="635">
        <f t="shared" si="22"/>
        <v>0</v>
      </c>
      <c r="G259" s="635">
        <f t="shared" si="23"/>
        <v>1047382.191212121</v>
      </c>
      <c r="H259" s="645">
        <v>0</v>
      </c>
      <c r="I259" s="645">
        <v>0</v>
      </c>
      <c r="J259" s="645">
        <v>0</v>
      </c>
      <c r="K259" s="645">
        <v>0</v>
      </c>
      <c r="L259" s="645">
        <v>0</v>
      </c>
      <c r="M259" s="645">
        <v>0</v>
      </c>
      <c r="N259" s="645">
        <v>0</v>
      </c>
      <c r="O259" s="645">
        <v>0</v>
      </c>
      <c r="P259" s="645">
        <v>0</v>
      </c>
      <c r="Q259" s="645">
        <v>0</v>
      </c>
      <c r="R259" s="645">
        <v>0</v>
      </c>
      <c r="S259" s="645">
        <v>0</v>
      </c>
      <c r="T259" s="645">
        <v>0</v>
      </c>
      <c r="U259" s="645">
        <v>0</v>
      </c>
      <c r="V259" s="645">
        <v>0</v>
      </c>
      <c r="W259" s="645">
        <v>0</v>
      </c>
      <c r="X259" s="645">
        <v>0</v>
      </c>
      <c r="Y259" s="645">
        <v>81114.799999999988</v>
      </c>
      <c r="Z259" s="645">
        <v>56741.16</v>
      </c>
      <c r="AA259" s="641">
        <v>909526.23121212109</v>
      </c>
      <c r="AB259" s="645">
        <v>1036231.3287878789</v>
      </c>
      <c r="AC259" s="647">
        <v>1047382.1912121212</v>
      </c>
      <c r="AD259" s="647">
        <v>2288325.5599999996</v>
      </c>
      <c r="AE259" s="718">
        <v>1240943.3700000001</v>
      </c>
      <c r="AF259" s="618">
        <f t="shared" si="18"/>
        <v>1.8051961612018516E-3</v>
      </c>
    </row>
    <row r="260" spans="1:32" hidden="1" x14ac:dyDescent="0.25">
      <c r="A260" s="729" t="s">
        <v>784</v>
      </c>
      <c r="B260" s="730" t="s">
        <v>785</v>
      </c>
      <c r="C260" s="635">
        <f t="shared" si="19"/>
        <v>0</v>
      </c>
      <c r="D260" s="635">
        <f t="shared" si="20"/>
        <v>0</v>
      </c>
      <c r="E260" s="635">
        <f t="shared" si="21"/>
        <v>0</v>
      </c>
      <c r="F260" s="635">
        <f t="shared" si="22"/>
        <v>0</v>
      </c>
      <c r="G260" s="635">
        <f t="shared" si="23"/>
        <v>1229615.7400000002</v>
      </c>
      <c r="H260" s="645">
        <v>0</v>
      </c>
      <c r="I260" s="645">
        <v>0</v>
      </c>
      <c r="J260" s="645">
        <v>0</v>
      </c>
      <c r="K260" s="645">
        <v>0</v>
      </c>
      <c r="L260" s="645">
        <v>0</v>
      </c>
      <c r="M260" s="645">
        <v>0</v>
      </c>
      <c r="N260" s="645">
        <v>0</v>
      </c>
      <c r="O260" s="645">
        <v>0</v>
      </c>
      <c r="P260" s="645">
        <v>0</v>
      </c>
      <c r="Q260" s="645">
        <v>0</v>
      </c>
      <c r="R260" s="645">
        <v>0</v>
      </c>
      <c r="S260" s="645">
        <v>0</v>
      </c>
      <c r="T260" s="645">
        <v>0</v>
      </c>
      <c r="U260" s="645">
        <v>0</v>
      </c>
      <c r="V260" s="645">
        <v>0</v>
      </c>
      <c r="W260" s="645">
        <v>0</v>
      </c>
      <c r="X260" s="645">
        <v>0</v>
      </c>
      <c r="Y260" s="645">
        <v>226173.3</v>
      </c>
      <c r="Z260" s="645">
        <v>342219.27</v>
      </c>
      <c r="AA260" s="641">
        <v>661223.17000000004</v>
      </c>
      <c r="AB260" s="645">
        <v>1807971.69</v>
      </c>
      <c r="AC260" s="647">
        <v>1229615.7400000002</v>
      </c>
      <c r="AD260" s="647">
        <v>2480032.7599999998</v>
      </c>
      <c r="AE260" s="718">
        <v>1250417.02</v>
      </c>
      <c r="AF260" s="618">
        <f t="shared" si="18"/>
        <v>2.1192814163018643E-3</v>
      </c>
    </row>
    <row r="261" spans="1:32" hidden="1" x14ac:dyDescent="0.25">
      <c r="A261" s="729" t="s">
        <v>1288</v>
      </c>
      <c r="B261" s="730" t="s">
        <v>786</v>
      </c>
      <c r="C261" s="635">
        <f t="shared" si="19"/>
        <v>0</v>
      </c>
      <c r="D261" s="635">
        <f t="shared" si="20"/>
        <v>0</v>
      </c>
      <c r="E261" s="635">
        <f t="shared" si="21"/>
        <v>0</v>
      </c>
      <c r="F261" s="635">
        <f t="shared" si="22"/>
        <v>0</v>
      </c>
      <c r="G261" s="635">
        <f t="shared" si="23"/>
        <v>0</v>
      </c>
      <c r="H261" s="645">
        <v>0</v>
      </c>
      <c r="I261" s="645">
        <v>0</v>
      </c>
      <c r="J261" s="645">
        <v>0</v>
      </c>
      <c r="K261" s="645">
        <v>0</v>
      </c>
      <c r="L261" s="645">
        <v>0</v>
      </c>
      <c r="M261" s="645">
        <v>0</v>
      </c>
      <c r="N261" s="645">
        <v>0</v>
      </c>
      <c r="O261" s="645">
        <v>0</v>
      </c>
      <c r="P261" s="645">
        <v>0</v>
      </c>
      <c r="Q261" s="645">
        <v>0</v>
      </c>
      <c r="R261" s="645">
        <v>0</v>
      </c>
      <c r="S261" s="645">
        <v>0</v>
      </c>
      <c r="T261" s="645">
        <v>0</v>
      </c>
      <c r="U261" s="645">
        <v>0</v>
      </c>
      <c r="V261" s="645">
        <v>0</v>
      </c>
      <c r="W261" s="645">
        <v>0</v>
      </c>
      <c r="X261" s="645">
        <v>0</v>
      </c>
      <c r="Y261" s="645">
        <v>0</v>
      </c>
      <c r="Z261" s="645">
        <v>0</v>
      </c>
      <c r="AA261" s="641">
        <v>0</v>
      </c>
      <c r="AB261" s="645">
        <v>0</v>
      </c>
      <c r="AC261" s="647">
        <v>0</v>
      </c>
      <c r="AD261" s="647">
        <v>30000</v>
      </c>
      <c r="AE261" s="718">
        <v>30000</v>
      </c>
      <c r="AF261" s="618">
        <f t="shared" ref="AF261:AF324" si="24">AC261/$AC$556</f>
        <v>0</v>
      </c>
    </row>
    <row r="262" spans="1:32" hidden="1" x14ac:dyDescent="0.25">
      <c r="A262" s="731" t="s">
        <v>1289</v>
      </c>
      <c r="B262" s="732" t="s">
        <v>787</v>
      </c>
      <c r="C262" s="635">
        <f t="shared" ref="C262:C325" si="25">SUM(H262:K262)</f>
        <v>0</v>
      </c>
      <c r="D262" s="635">
        <f t="shared" ref="D262:D325" si="26">SUM(L262:O262)</f>
        <v>0</v>
      </c>
      <c r="E262" s="635">
        <f t="shared" ref="E262:E325" si="27">SUM(P262:S262)</f>
        <v>0</v>
      </c>
      <c r="F262" s="635">
        <f t="shared" ref="F262:F325" si="28">SUM(T262:W262)</f>
        <v>0</v>
      </c>
      <c r="G262" s="635">
        <f t="shared" ref="G262:G325" si="29">SUM(X262:AA262)</f>
        <v>358804.58999999997</v>
      </c>
      <c r="H262" s="645">
        <v>0</v>
      </c>
      <c r="I262" s="645">
        <v>0</v>
      </c>
      <c r="J262" s="645">
        <v>0</v>
      </c>
      <c r="K262" s="645">
        <v>0</v>
      </c>
      <c r="L262" s="645">
        <v>0</v>
      </c>
      <c r="M262" s="645">
        <v>0</v>
      </c>
      <c r="N262" s="645">
        <v>0</v>
      </c>
      <c r="O262" s="645">
        <v>0</v>
      </c>
      <c r="P262" s="645">
        <v>0</v>
      </c>
      <c r="Q262" s="645">
        <v>0</v>
      </c>
      <c r="R262" s="645">
        <v>0</v>
      </c>
      <c r="S262" s="645">
        <v>0</v>
      </c>
      <c r="T262" s="645">
        <v>0</v>
      </c>
      <c r="U262" s="645">
        <v>0</v>
      </c>
      <c r="V262" s="645">
        <v>0</v>
      </c>
      <c r="W262" s="645">
        <v>0</v>
      </c>
      <c r="X262" s="645">
        <v>0</v>
      </c>
      <c r="Y262" s="645">
        <v>0</v>
      </c>
      <c r="Z262" s="645">
        <v>125602.09</v>
      </c>
      <c r="AA262" s="641">
        <v>233202.5</v>
      </c>
      <c r="AB262" s="645">
        <v>5.8207660913467407E-11</v>
      </c>
      <c r="AC262" s="647">
        <v>358804.58999999997</v>
      </c>
      <c r="AD262" s="647">
        <v>359020</v>
      </c>
      <c r="AE262" s="718">
        <v>215.41</v>
      </c>
      <c r="AF262" s="618">
        <f t="shared" si="24"/>
        <v>6.1841100022907124E-4</v>
      </c>
    </row>
    <row r="263" spans="1:32" hidden="1" x14ac:dyDescent="0.25">
      <c r="A263" s="729" t="s">
        <v>1290</v>
      </c>
      <c r="B263" s="730" t="s">
        <v>788</v>
      </c>
      <c r="C263" s="635">
        <f t="shared" si="25"/>
        <v>0</v>
      </c>
      <c r="D263" s="635">
        <f t="shared" si="26"/>
        <v>0</v>
      </c>
      <c r="E263" s="635">
        <f t="shared" si="27"/>
        <v>0</v>
      </c>
      <c r="F263" s="635">
        <f t="shared" si="28"/>
        <v>0</v>
      </c>
      <c r="G263" s="635">
        <f t="shared" si="29"/>
        <v>78465.119999999995</v>
      </c>
      <c r="H263" s="645">
        <v>0</v>
      </c>
      <c r="I263" s="645">
        <v>0</v>
      </c>
      <c r="J263" s="645">
        <v>0</v>
      </c>
      <c r="K263" s="645">
        <v>0</v>
      </c>
      <c r="L263" s="645">
        <v>0</v>
      </c>
      <c r="M263" s="645">
        <v>0</v>
      </c>
      <c r="N263" s="645">
        <v>0</v>
      </c>
      <c r="O263" s="645">
        <v>0</v>
      </c>
      <c r="P263" s="645">
        <v>0</v>
      </c>
      <c r="Q263" s="645">
        <v>0</v>
      </c>
      <c r="R263" s="645">
        <v>0</v>
      </c>
      <c r="S263" s="645">
        <v>0</v>
      </c>
      <c r="T263" s="645">
        <v>0</v>
      </c>
      <c r="U263" s="645">
        <v>0</v>
      </c>
      <c r="V263" s="645">
        <v>0</v>
      </c>
      <c r="W263" s="645">
        <v>0</v>
      </c>
      <c r="X263" s="645">
        <v>0</v>
      </c>
      <c r="Y263" s="645">
        <v>0</v>
      </c>
      <c r="Z263" s="646">
        <v>0</v>
      </c>
      <c r="AA263" s="641">
        <v>78465.119999999995</v>
      </c>
      <c r="AB263" s="645">
        <v>-0.86999999999534339</v>
      </c>
      <c r="AC263" s="647">
        <v>78465.119999999995</v>
      </c>
      <c r="AD263" s="647">
        <v>600000</v>
      </c>
      <c r="AE263" s="718">
        <v>521534.88</v>
      </c>
      <c r="AF263" s="618">
        <f t="shared" si="24"/>
        <v>1.3523710313263857E-4</v>
      </c>
    </row>
    <row r="264" spans="1:32" hidden="1" x14ac:dyDescent="0.25">
      <c r="A264" s="733" t="s">
        <v>789</v>
      </c>
      <c r="B264" s="734" t="s">
        <v>790</v>
      </c>
      <c r="C264" s="635">
        <f t="shared" si="25"/>
        <v>0</v>
      </c>
      <c r="D264" s="635">
        <f t="shared" si="26"/>
        <v>0</v>
      </c>
      <c r="E264" s="635">
        <f t="shared" si="27"/>
        <v>0</v>
      </c>
      <c r="F264" s="635">
        <f t="shared" si="28"/>
        <v>4093747.68</v>
      </c>
      <c r="G264" s="635">
        <f t="shared" si="29"/>
        <v>-4093747.6799999997</v>
      </c>
      <c r="H264" s="668">
        <v>0</v>
      </c>
      <c r="I264" s="668">
        <v>0</v>
      </c>
      <c r="J264" s="668">
        <v>0</v>
      </c>
      <c r="K264" s="668">
        <v>0</v>
      </c>
      <c r="L264" s="668">
        <v>0</v>
      </c>
      <c r="M264" s="668">
        <v>0</v>
      </c>
      <c r="N264" s="668">
        <v>0</v>
      </c>
      <c r="O264" s="668">
        <v>0</v>
      </c>
      <c r="P264" s="668">
        <v>0</v>
      </c>
      <c r="Q264" s="668">
        <v>0</v>
      </c>
      <c r="R264" s="668">
        <v>0</v>
      </c>
      <c r="S264" s="668">
        <v>0</v>
      </c>
      <c r="T264" s="668">
        <v>627439.07999999996</v>
      </c>
      <c r="U264" s="668">
        <v>1166260.26</v>
      </c>
      <c r="V264" s="668">
        <v>1044597.4099999999</v>
      </c>
      <c r="W264" s="668">
        <v>1255450.9300000002</v>
      </c>
      <c r="X264" s="668">
        <v>1122909.79</v>
      </c>
      <c r="Y264" s="735">
        <v>-5216657.47</v>
      </c>
      <c r="Z264" s="736">
        <v>0</v>
      </c>
      <c r="AA264" s="737">
        <v>0</v>
      </c>
      <c r="AB264" s="737">
        <v>0</v>
      </c>
      <c r="AC264" s="647">
        <v>0</v>
      </c>
      <c r="AD264" s="647">
        <v>0</v>
      </c>
      <c r="AE264" s="718">
        <v>0</v>
      </c>
      <c r="AF264" s="618">
        <f t="shared" si="24"/>
        <v>0</v>
      </c>
    </row>
    <row r="265" spans="1:32" hidden="1" x14ac:dyDescent="0.25">
      <c r="A265" s="738" t="s">
        <v>791</v>
      </c>
      <c r="B265" s="656" t="s">
        <v>792</v>
      </c>
      <c r="C265" s="635">
        <f t="shared" si="25"/>
        <v>0</v>
      </c>
      <c r="D265" s="635">
        <f t="shared" si="26"/>
        <v>0</v>
      </c>
      <c r="E265" s="635">
        <f t="shared" si="27"/>
        <v>0</v>
      </c>
      <c r="F265" s="635">
        <f t="shared" si="28"/>
        <v>0</v>
      </c>
      <c r="G265" s="635">
        <f t="shared" si="29"/>
        <v>2613800.5472727269</v>
      </c>
      <c r="H265" s="668"/>
      <c r="I265" s="668"/>
      <c r="J265" s="668"/>
      <c r="K265" s="668"/>
      <c r="L265" s="668"/>
      <c r="M265" s="668"/>
      <c r="N265" s="668"/>
      <c r="O265" s="668"/>
      <c r="P265" s="668"/>
      <c r="Q265" s="668"/>
      <c r="R265" s="668"/>
      <c r="S265" s="668"/>
      <c r="T265" s="668"/>
      <c r="U265" s="668"/>
      <c r="V265" s="668"/>
      <c r="W265" s="668"/>
      <c r="X265" s="668"/>
      <c r="Y265" s="645">
        <v>769136.79</v>
      </c>
      <c r="Z265" s="646">
        <v>503371.63</v>
      </c>
      <c r="AA265" s="641">
        <v>1341292.1272727272</v>
      </c>
      <c r="AB265" s="645">
        <v>-0.30727272713556886</v>
      </c>
      <c r="AC265" s="647">
        <v>2613800.5472727269</v>
      </c>
      <c r="AD265" s="647">
        <v>2354695.0100000002</v>
      </c>
      <c r="AE265" s="718">
        <v>-259105.54</v>
      </c>
      <c r="AF265" s="618">
        <f t="shared" si="24"/>
        <v>4.5049674833820292E-3</v>
      </c>
    </row>
    <row r="266" spans="1:32" hidden="1" x14ac:dyDescent="0.25">
      <c r="A266" s="738" t="s">
        <v>793</v>
      </c>
      <c r="B266" s="656" t="s">
        <v>794</v>
      </c>
      <c r="C266" s="635">
        <f t="shared" si="25"/>
        <v>0</v>
      </c>
      <c r="D266" s="635">
        <f t="shared" si="26"/>
        <v>0</v>
      </c>
      <c r="E266" s="635">
        <f t="shared" si="27"/>
        <v>0</v>
      </c>
      <c r="F266" s="635">
        <f t="shared" si="28"/>
        <v>0</v>
      </c>
      <c r="G266" s="635">
        <f t="shared" si="29"/>
        <v>5818491.6045454554</v>
      </c>
      <c r="H266" s="668"/>
      <c r="I266" s="668"/>
      <c r="J266" s="668"/>
      <c r="K266" s="668"/>
      <c r="L266" s="668"/>
      <c r="M266" s="668"/>
      <c r="N266" s="668"/>
      <c r="O266" s="668"/>
      <c r="P266" s="668"/>
      <c r="Q266" s="668"/>
      <c r="R266" s="668"/>
      <c r="S266" s="668"/>
      <c r="T266" s="668"/>
      <c r="U266" s="668"/>
      <c r="V266" s="668"/>
      <c r="W266" s="668"/>
      <c r="X266" s="668"/>
      <c r="Y266" s="645">
        <v>2092379.6</v>
      </c>
      <c r="Z266" s="646">
        <v>1182192.68</v>
      </c>
      <c r="AA266" s="641">
        <v>2543919.3245454547</v>
      </c>
      <c r="AB266" s="645">
        <v>0.21545454580336809</v>
      </c>
      <c r="AC266" s="647">
        <v>5818491.6045454554</v>
      </c>
      <c r="AD266" s="647">
        <v>4228291.03</v>
      </c>
      <c r="AE266" s="718">
        <v>-1590200.57</v>
      </c>
      <c r="AF266" s="618">
        <f t="shared" si="24"/>
        <v>1.0028353352423415E-2</v>
      </c>
    </row>
    <row r="267" spans="1:32" hidden="1" x14ac:dyDescent="0.25">
      <c r="A267" s="738" t="s">
        <v>1234</v>
      </c>
      <c r="B267" s="656" t="s">
        <v>795</v>
      </c>
      <c r="C267" s="635">
        <f t="shared" si="25"/>
        <v>0</v>
      </c>
      <c r="D267" s="635">
        <f t="shared" si="26"/>
        <v>0</v>
      </c>
      <c r="E267" s="635">
        <f t="shared" si="27"/>
        <v>0</v>
      </c>
      <c r="F267" s="635">
        <f t="shared" si="28"/>
        <v>0</v>
      </c>
      <c r="G267" s="635">
        <f t="shared" si="29"/>
        <v>3636935.7784848483</v>
      </c>
      <c r="H267" s="668"/>
      <c r="I267" s="668"/>
      <c r="J267" s="668"/>
      <c r="K267" s="668"/>
      <c r="L267" s="668"/>
      <c r="M267" s="668"/>
      <c r="N267" s="668"/>
      <c r="O267" s="668"/>
      <c r="P267" s="668"/>
      <c r="Q267" s="668"/>
      <c r="R267" s="668"/>
      <c r="S267" s="668"/>
      <c r="T267" s="668"/>
      <c r="U267" s="668"/>
      <c r="V267" s="668"/>
      <c r="W267" s="668"/>
      <c r="X267" s="668"/>
      <c r="Y267" s="645">
        <v>1894191.0999999999</v>
      </c>
      <c r="Z267" s="646">
        <v>393751.43</v>
      </c>
      <c r="AA267" s="641">
        <v>1348993.2484848485</v>
      </c>
      <c r="AB267" s="645">
        <v>5.1515151048079133E-2</v>
      </c>
      <c r="AC267" s="647">
        <v>3636935.7784848488</v>
      </c>
      <c r="AD267" s="647">
        <v>4268799.2300000004</v>
      </c>
      <c r="AE267" s="718">
        <v>631863.44999999995</v>
      </c>
      <c r="AF267" s="618">
        <f t="shared" si="24"/>
        <v>6.2683732461218276E-3</v>
      </c>
    </row>
    <row r="268" spans="1:32" hidden="1" x14ac:dyDescent="0.25">
      <c r="A268" s="738" t="s">
        <v>1235</v>
      </c>
      <c r="B268" s="656" t="s">
        <v>796</v>
      </c>
      <c r="C268" s="635">
        <f t="shared" si="25"/>
        <v>0</v>
      </c>
      <c r="D268" s="635">
        <f t="shared" si="26"/>
        <v>0</v>
      </c>
      <c r="E268" s="635">
        <f t="shared" si="27"/>
        <v>0</v>
      </c>
      <c r="F268" s="635">
        <f t="shared" si="28"/>
        <v>0</v>
      </c>
      <c r="G268" s="635">
        <f t="shared" si="29"/>
        <v>3492885.5572727276</v>
      </c>
      <c r="H268" s="668"/>
      <c r="I268" s="668"/>
      <c r="J268" s="668"/>
      <c r="K268" s="668"/>
      <c r="L268" s="668"/>
      <c r="M268" s="668"/>
      <c r="N268" s="668"/>
      <c r="O268" s="668"/>
      <c r="P268" s="668"/>
      <c r="Q268" s="668"/>
      <c r="R268" s="668"/>
      <c r="S268" s="668"/>
      <c r="T268" s="668"/>
      <c r="U268" s="668"/>
      <c r="V268" s="668"/>
      <c r="W268" s="668"/>
      <c r="X268" s="668"/>
      <c r="Y268" s="645">
        <v>2364678.3600000003</v>
      </c>
      <c r="Z268" s="646">
        <v>405846.55</v>
      </c>
      <c r="AA268" s="641">
        <v>722360.64727272722</v>
      </c>
      <c r="AB268" s="645">
        <v>-0.37727272743359208</v>
      </c>
      <c r="AC268" s="647">
        <v>3492885.5572727267</v>
      </c>
      <c r="AD268" s="647">
        <v>3342691.05</v>
      </c>
      <c r="AE268" s="718">
        <v>-150194.51</v>
      </c>
      <c r="AF268" s="618">
        <f t="shared" si="24"/>
        <v>6.0200981574920877E-3</v>
      </c>
    </row>
    <row r="269" spans="1:32" hidden="1" x14ac:dyDescent="0.25">
      <c r="A269" s="667" t="s">
        <v>797</v>
      </c>
      <c r="B269" s="665" t="s">
        <v>798</v>
      </c>
      <c r="C269" s="635">
        <f t="shared" si="25"/>
        <v>174684.51</v>
      </c>
      <c r="D269" s="635">
        <f t="shared" si="26"/>
        <v>443255.48</v>
      </c>
      <c r="E269" s="635">
        <f t="shared" si="27"/>
        <v>15938.029999999999</v>
      </c>
      <c r="F269" s="635">
        <f t="shared" si="28"/>
        <v>0</v>
      </c>
      <c r="G269" s="635">
        <f t="shared" si="29"/>
        <v>40004.51</v>
      </c>
      <c r="H269" s="668">
        <v>0</v>
      </c>
      <c r="I269" s="668">
        <v>0</v>
      </c>
      <c r="J269" s="668">
        <v>0</v>
      </c>
      <c r="K269" s="668">
        <v>174684.51</v>
      </c>
      <c r="L269" s="668">
        <v>27187.39</v>
      </c>
      <c r="M269" s="668">
        <v>0</v>
      </c>
      <c r="N269" s="668">
        <v>166518.18</v>
      </c>
      <c r="O269" s="668">
        <v>249549.91</v>
      </c>
      <c r="P269" s="668">
        <v>15938.029999999999</v>
      </c>
      <c r="Q269" s="669">
        <v>0</v>
      </c>
      <c r="R269" s="668">
        <v>0</v>
      </c>
      <c r="S269" s="668">
        <v>0</v>
      </c>
      <c r="T269" s="668">
        <v>0</v>
      </c>
      <c r="U269" s="668">
        <v>0</v>
      </c>
      <c r="V269" s="668">
        <v>0</v>
      </c>
      <c r="W269" s="668">
        <v>0</v>
      </c>
      <c r="X269" s="668">
        <v>40004.51</v>
      </c>
      <c r="Y269" s="668">
        <v>0</v>
      </c>
      <c r="Z269" s="668">
        <v>0</v>
      </c>
      <c r="AA269" s="666">
        <v>0</v>
      </c>
      <c r="AB269" s="668">
        <v>0</v>
      </c>
      <c r="AC269" s="647">
        <v>673882.53</v>
      </c>
      <c r="AD269" s="647">
        <v>673882.53</v>
      </c>
      <c r="AE269" s="718">
        <v>0</v>
      </c>
      <c r="AF269" s="618">
        <f t="shared" si="24"/>
        <v>1.1614577433755715E-3</v>
      </c>
    </row>
    <row r="270" spans="1:32" hidden="1" x14ac:dyDescent="0.25">
      <c r="A270" s="702" t="s">
        <v>797</v>
      </c>
      <c r="B270" s="656" t="s">
        <v>798</v>
      </c>
      <c r="C270" s="635">
        <f t="shared" si="25"/>
        <v>174684.51</v>
      </c>
      <c r="D270" s="635">
        <f t="shared" si="26"/>
        <v>435518.24</v>
      </c>
      <c r="E270" s="635">
        <f t="shared" si="27"/>
        <v>1844</v>
      </c>
      <c r="F270" s="635">
        <f t="shared" si="28"/>
        <v>0</v>
      </c>
      <c r="G270" s="635">
        <f t="shared" si="29"/>
        <v>0</v>
      </c>
      <c r="H270" s="645">
        <v>0</v>
      </c>
      <c r="I270" s="645">
        <v>0</v>
      </c>
      <c r="J270" s="645">
        <v>0</v>
      </c>
      <c r="K270" s="645">
        <v>174684.51</v>
      </c>
      <c r="L270" s="645">
        <v>19450.150000000001</v>
      </c>
      <c r="M270" s="645">
        <v>0</v>
      </c>
      <c r="N270" s="645">
        <v>166518.18</v>
      </c>
      <c r="O270" s="645">
        <v>249549.91</v>
      </c>
      <c r="P270" s="645">
        <v>1844</v>
      </c>
      <c r="Q270" s="645">
        <v>0</v>
      </c>
      <c r="R270" s="645">
        <v>0</v>
      </c>
      <c r="S270" s="645">
        <v>0</v>
      </c>
      <c r="T270" s="645">
        <v>0</v>
      </c>
      <c r="U270" s="645">
        <v>0</v>
      </c>
      <c r="V270" s="645">
        <v>0</v>
      </c>
      <c r="W270" s="645">
        <v>0</v>
      </c>
      <c r="X270" s="645">
        <v>0</v>
      </c>
      <c r="Y270" s="645">
        <v>0</v>
      </c>
      <c r="Z270" s="645">
        <v>0</v>
      </c>
      <c r="AA270" s="641">
        <v>0</v>
      </c>
      <c r="AB270" s="645">
        <v>0</v>
      </c>
      <c r="AC270" s="647">
        <v>612046.75</v>
      </c>
      <c r="AD270" s="647">
        <v>612046.75</v>
      </c>
      <c r="AE270" s="718">
        <v>0</v>
      </c>
      <c r="AF270" s="618">
        <f t="shared" si="24"/>
        <v>1.0548818309555413E-3</v>
      </c>
    </row>
    <row r="271" spans="1:32" hidden="1" x14ac:dyDescent="0.25">
      <c r="A271" s="702" t="s">
        <v>799</v>
      </c>
      <c r="B271" s="656" t="s">
        <v>800</v>
      </c>
      <c r="C271" s="635">
        <f t="shared" si="25"/>
        <v>0</v>
      </c>
      <c r="D271" s="635">
        <f t="shared" si="26"/>
        <v>7737.24</v>
      </c>
      <c r="E271" s="635">
        <f t="shared" si="27"/>
        <v>14094.029999999999</v>
      </c>
      <c r="F271" s="635">
        <f t="shared" si="28"/>
        <v>0</v>
      </c>
      <c r="G271" s="635">
        <f t="shared" si="29"/>
        <v>0</v>
      </c>
      <c r="H271" s="645">
        <v>0</v>
      </c>
      <c r="I271" s="645">
        <v>0</v>
      </c>
      <c r="J271" s="645">
        <v>0</v>
      </c>
      <c r="K271" s="645">
        <v>0</v>
      </c>
      <c r="L271" s="645">
        <v>7737.24</v>
      </c>
      <c r="M271" s="645">
        <v>0</v>
      </c>
      <c r="N271" s="645">
        <v>0</v>
      </c>
      <c r="O271" s="645">
        <v>0</v>
      </c>
      <c r="P271" s="645">
        <v>14094.029999999999</v>
      </c>
      <c r="Q271" s="645">
        <v>0</v>
      </c>
      <c r="R271" s="645">
        <v>0</v>
      </c>
      <c r="S271" s="645">
        <v>0</v>
      </c>
      <c r="T271" s="645">
        <v>0</v>
      </c>
      <c r="U271" s="645">
        <v>0</v>
      </c>
      <c r="V271" s="645">
        <v>0</v>
      </c>
      <c r="W271" s="645">
        <v>0</v>
      </c>
      <c r="X271" s="645">
        <v>0</v>
      </c>
      <c r="Y271" s="645">
        <v>0</v>
      </c>
      <c r="Z271" s="645">
        <v>0</v>
      </c>
      <c r="AA271" s="641">
        <v>0</v>
      </c>
      <c r="AB271" s="645">
        <v>0</v>
      </c>
      <c r="AC271" s="647">
        <v>21831.27</v>
      </c>
      <c r="AD271" s="647">
        <v>21831.27</v>
      </c>
      <c r="AE271" s="718">
        <v>0</v>
      </c>
      <c r="AF271" s="618">
        <f t="shared" si="24"/>
        <v>3.762688074021271E-5</v>
      </c>
    </row>
    <row r="272" spans="1:32" ht="25.5" hidden="1" x14ac:dyDescent="0.25">
      <c r="A272" s="702" t="s">
        <v>801</v>
      </c>
      <c r="B272" s="656" t="s">
        <v>802</v>
      </c>
      <c r="C272" s="635">
        <f t="shared" si="25"/>
        <v>0</v>
      </c>
      <c r="D272" s="635">
        <f t="shared" si="26"/>
        <v>0</v>
      </c>
      <c r="E272" s="635">
        <f t="shared" si="27"/>
        <v>0</v>
      </c>
      <c r="F272" s="635">
        <f t="shared" si="28"/>
        <v>0</v>
      </c>
      <c r="G272" s="635">
        <f t="shared" si="29"/>
        <v>40004.51</v>
      </c>
      <c r="H272" s="645">
        <v>0</v>
      </c>
      <c r="I272" s="645">
        <v>0</v>
      </c>
      <c r="J272" s="645">
        <v>0</v>
      </c>
      <c r="K272" s="645">
        <v>0</v>
      </c>
      <c r="L272" s="645">
        <v>0</v>
      </c>
      <c r="M272" s="645">
        <v>0</v>
      </c>
      <c r="N272" s="645">
        <v>0</v>
      </c>
      <c r="O272" s="645">
        <v>0</v>
      </c>
      <c r="P272" s="645">
        <v>0</v>
      </c>
      <c r="Q272" s="645">
        <v>0</v>
      </c>
      <c r="R272" s="645">
        <v>0</v>
      </c>
      <c r="S272" s="645">
        <v>0</v>
      </c>
      <c r="T272" s="645">
        <v>0</v>
      </c>
      <c r="U272" s="645">
        <v>0</v>
      </c>
      <c r="V272" s="645">
        <v>0</v>
      </c>
      <c r="W272" s="645">
        <v>0</v>
      </c>
      <c r="X272" s="645">
        <v>40004.51</v>
      </c>
      <c r="Y272" s="645">
        <v>0</v>
      </c>
      <c r="Z272" s="645">
        <v>0</v>
      </c>
      <c r="AA272" s="641">
        <v>0</v>
      </c>
      <c r="AB272" s="645">
        <v>0</v>
      </c>
      <c r="AC272" s="647">
        <v>40004.51</v>
      </c>
      <c r="AD272" s="647">
        <v>40004.51</v>
      </c>
      <c r="AE272" s="718">
        <v>0</v>
      </c>
      <c r="AF272" s="618">
        <f t="shared" si="24"/>
        <v>6.8949031679817373E-5</v>
      </c>
    </row>
    <row r="273" spans="1:32" hidden="1" x14ac:dyDescent="0.25">
      <c r="A273" s="667" t="s">
        <v>803</v>
      </c>
      <c r="B273" s="665" t="s">
        <v>804</v>
      </c>
      <c r="C273" s="635">
        <f t="shared" si="25"/>
        <v>0</v>
      </c>
      <c r="D273" s="635">
        <f t="shared" si="26"/>
        <v>293251.45999999996</v>
      </c>
      <c r="E273" s="635">
        <f t="shared" si="27"/>
        <v>1497063.62</v>
      </c>
      <c r="F273" s="635">
        <f t="shared" si="28"/>
        <v>87932</v>
      </c>
      <c r="G273" s="635">
        <f t="shared" si="29"/>
        <v>71831.831212121207</v>
      </c>
      <c r="H273" s="668">
        <v>0</v>
      </c>
      <c r="I273" s="668">
        <v>0</v>
      </c>
      <c r="J273" s="668">
        <v>0</v>
      </c>
      <c r="K273" s="668">
        <v>0</v>
      </c>
      <c r="L273" s="668">
        <v>3381.4700000000003</v>
      </c>
      <c r="M273" s="668">
        <v>167013.29999999999</v>
      </c>
      <c r="N273" s="668">
        <v>-25.22</v>
      </c>
      <c r="O273" s="668">
        <v>122881.91</v>
      </c>
      <c r="P273" s="668">
        <v>304637.31</v>
      </c>
      <c r="Q273" s="669">
        <v>65934.399999999994</v>
      </c>
      <c r="R273" s="668">
        <v>1126491.9100000001</v>
      </c>
      <c r="S273" s="668">
        <v>0</v>
      </c>
      <c r="T273" s="668">
        <v>87932</v>
      </c>
      <c r="U273" s="668">
        <v>0</v>
      </c>
      <c r="V273" s="668">
        <v>0</v>
      </c>
      <c r="W273" s="668">
        <v>0</v>
      </c>
      <c r="X273" s="668">
        <v>0</v>
      </c>
      <c r="Y273" s="668">
        <v>0</v>
      </c>
      <c r="Z273" s="668">
        <v>37119.619999999995</v>
      </c>
      <c r="AA273" s="666">
        <v>34712.211212121212</v>
      </c>
      <c r="AB273" s="668">
        <v>20465.538787878875</v>
      </c>
      <c r="AC273" s="647">
        <v>1950078.9112121214</v>
      </c>
      <c r="AD273" s="647">
        <v>1970544.7200000002</v>
      </c>
      <c r="AE273" s="718">
        <v>20465.810000000001</v>
      </c>
      <c r="AF273" s="618">
        <f t="shared" si="24"/>
        <v>3.3610223604115716E-3</v>
      </c>
    </row>
    <row r="274" spans="1:32" hidden="1" x14ac:dyDescent="0.25">
      <c r="A274" s="702" t="s">
        <v>803</v>
      </c>
      <c r="B274" s="656" t="s">
        <v>805</v>
      </c>
      <c r="C274" s="635">
        <f t="shared" si="25"/>
        <v>0</v>
      </c>
      <c r="D274" s="635">
        <f t="shared" si="26"/>
        <v>222393.61</v>
      </c>
      <c r="E274" s="635">
        <f t="shared" si="27"/>
        <v>705058.21</v>
      </c>
      <c r="F274" s="635">
        <f t="shared" si="28"/>
        <v>87932</v>
      </c>
      <c r="G274" s="635">
        <f t="shared" si="29"/>
        <v>0</v>
      </c>
      <c r="H274" s="645">
        <v>0</v>
      </c>
      <c r="I274" s="645">
        <v>0</v>
      </c>
      <c r="J274" s="645">
        <v>0</v>
      </c>
      <c r="K274" s="645">
        <v>0</v>
      </c>
      <c r="L274" s="645">
        <v>0</v>
      </c>
      <c r="M274" s="645">
        <v>167013.29999999999</v>
      </c>
      <c r="N274" s="645">
        <v>-25.22</v>
      </c>
      <c r="O274" s="645">
        <v>55405.53</v>
      </c>
      <c r="P274" s="645">
        <v>304637.31</v>
      </c>
      <c r="Q274" s="645">
        <v>40272.400000000001</v>
      </c>
      <c r="R274" s="645">
        <v>360148.5</v>
      </c>
      <c r="S274" s="645">
        <v>0</v>
      </c>
      <c r="T274" s="645">
        <v>87932</v>
      </c>
      <c r="U274" s="645">
        <v>0</v>
      </c>
      <c r="V274" s="645">
        <v>0</v>
      </c>
      <c r="W274" s="645">
        <v>0</v>
      </c>
      <c r="X274" s="645">
        <v>0</v>
      </c>
      <c r="Y274" s="645">
        <v>0</v>
      </c>
      <c r="Z274" s="645">
        <v>0</v>
      </c>
      <c r="AA274" s="641">
        <v>0</v>
      </c>
      <c r="AB274" s="645">
        <v>-0.26999999990221113</v>
      </c>
      <c r="AC274" s="647">
        <v>1015383.82</v>
      </c>
      <c r="AD274" s="647">
        <v>1015383.8200000001</v>
      </c>
      <c r="AE274" s="718">
        <v>0</v>
      </c>
      <c r="AF274" s="618">
        <f t="shared" si="24"/>
        <v>1.7500459616266761E-3</v>
      </c>
    </row>
    <row r="275" spans="1:32" hidden="1" x14ac:dyDescent="0.25">
      <c r="A275" s="702" t="s">
        <v>806</v>
      </c>
      <c r="B275" s="656" t="s">
        <v>804</v>
      </c>
      <c r="C275" s="635">
        <f t="shared" si="25"/>
        <v>0</v>
      </c>
      <c r="D275" s="635">
        <f t="shared" si="26"/>
        <v>3381.4700000000003</v>
      </c>
      <c r="E275" s="635">
        <f t="shared" si="27"/>
        <v>766343.41</v>
      </c>
      <c r="F275" s="635">
        <f t="shared" si="28"/>
        <v>0</v>
      </c>
      <c r="G275" s="635">
        <f t="shared" si="29"/>
        <v>0</v>
      </c>
      <c r="H275" s="645">
        <v>0</v>
      </c>
      <c r="I275" s="645">
        <v>0</v>
      </c>
      <c r="J275" s="645">
        <v>0</v>
      </c>
      <c r="K275" s="645">
        <v>0</v>
      </c>
      <c r="L275" s="645">
        <v>3381.4700000000003</v>
      </c>
      <c r="M275" s="645">
        <v>0</v>
      </c>
      <c r="N275" s="645">
        <v>0</v>
      </c>
      <c r="O275" s="645">
        <v>0</v>
      </c>
      <c r="P275" s="645">
        <v>0</v>
      </c>
      <c r="Q275" s="645">
        <v>0</v>
      </c>
      <c r="R275" s="645">
        <v>766343.41</v>
      </c>
      <c r="S275" s="645">
        <v>0</v>
      </c>
      <c r="T275" s="645">
        <v>0</v>
      </c>
      <c r="U275" s="645">
        <v>0</v>
      </c>
      <c r="V275" s="645">
        <v>0</v>
      </c>
      <c r="W275" s="645">
        <v>0</v>
      </c>
      <c r="X275" s="645">
        <v>0</v>
      </c>
      <c r="Y275" s="645">
        <v>0</v>
      </c>
      <c r="Z275" s="645">
        <v>0</v>
      </c>
      <c r="AA275" s="641">
        <v>0</v>
      </c>
      <c r="AB275" s="645">
        <v>0</v>
      </c>
      <c r="AC275" s="647">
        <v>769724.88</v>
      </c>
      <c r="AD275" s="647">
        <v>769724.88</v>
      </c>
      <c r="AE275" s="718">
        <v>0</v>
      </c>
      <c r="AF275" s="618">
        <f t="shared" si="24"/>
        <v>1.326645049167297E-3</v>
      </c>
    </row>
    <row r="276" spans="1:32" hidden="1" x14ac:dyDescent="0.25">
      <c r="A276" s="702" t="s">
        <v>807</v>
      </c>
      <c r="B276" s="656" t="s">
        <v>808</v>
      </c>
      <c r="C276" s="635">
        <f t="shared" si="25"/>
        <v>0</v>
      </c>
      <c r="D276" s="635">
        <f t="shared" si="26"/>
        <v>67476.38</v>
      </c>
      <c r="E276" s="635">
        <f t="shared" si="27"/>
        <v>25662</v>
      </c>
      <c r="F276" s="635">
        <f t="shared" si="28"/>
        <v>0</v>
      </c>
      <c r="G276" s="635">
        <f t="shared" si="29"/>
        <v>71831.831212121207</v>
      </c>
      <c r="H276" s="645">
        <v>0</v>
      </c>
      <c r="I276" s="645">
        <v>0</v>
      </c>
      <c r="J276" s="645">
        <v>0</v>
      </c>
      <c r="K276" s="645">
        <v>0</v>
      </c>
      <c r="L276" s="645">
        <v>0</v>
      </c>
      <c r="M276" s="645">
        <v>0</v>
      </c>
      <c r="N276" s="645">
        <v>0</v>
      </c>
      <c r="O276" s="645">
        <v>67476.38</v>
      </c>
      <c r="P276" s="645">
        <v>0</v>
      </c>
      <c r="Q276" s="645">
        <v>25662</v>
      </c>
      <c r="R276" s="645">
        <v>0</v>
      </c>
      <c r="S276" s="645">
        <v>0</v>
      </c>
      <c r="T276" s="645">
        <v>0</v>
      </c>
      <c r="U276" s="645">
        <v>0</v>
      </c>
      <c r="V276" s="645">
        <v>0</v>
      </c>
      <c r="W276" s="645">
        <v>0</v>
      </c>
      <c r="X276" s="645">
        <v>0</v>
      </c>
      <c r="Y276" s="645">
        <v>0</v>
      </c>
      <c r="Z276" s="645">
        <v>37119.619999999995</v>
      </c>
      <c r="AA276" s="641">
        <v>34712.211212121212</v>
      </c>
      <c r="AB276" s="645">
        <v>20465.808787878777</v>
      </c>
      <c r="AC276" s="647">
        <v>164970.21121212121</v>
      </c>
      <c r="AD276" s="647">
        <v>185436.02</v>
      </c>
      <c r="AE276" s="718">
        <v>20465.810000000001</v>
      </c>
      <c r="AF276" s="618">
        <f t="shared" si="24"/>
        <v>2.8433134961759835E-4</v>
      </c>
    </row>
    <row r="277" spans="1:32" hidden="1" x14ac:dyDescent="0.25">
      <c r="A277" s="667" t="s">
        <v>809</v>
      </c>
      <c r="B277" s="665" t="s">
        <v>810</v>
      </c>
      <c r="C277" s="635">
        <f t="shared" si="25"/>
        <v>0</v>
      </c>
      <c r="D277" s="635">
        <f t="shared" si="26"/>
        <v>0</v>
      </c>
      <c r="E277" s="635">
        <f t="shared" si="27"/>
        <v>0</v>
      </c>
      <c r="F277" s="635">
        <f t="shared" si="28"/>
        <v>816290.57000000007</v>
      </c>
      <c r="G277" s="635">
        <f t="shared" si="29"/>
        <v>742897.41999999993</v>
      </c>
      <c r="H277" s="668">
        <v>0</v>
      </c>
      <c r="I277" s="668">
        <v>0</v>
      </c>
      <c r="J277" s="668">
        <v>0</v>
      </c>
      <c r="K277" s="668">
        <v>0</v>
      </c>
      <c r="L277" s="668">
        <v>0</v>
      </c>
      <c r="M277" s="668">
        <v>0</v>
      </c>
      <c r="N277" s="668">
        <v>0</v>
      </c>
      <c r="O277" s="668">
        <v>0</v>
      </c>
      <c r="P277" s="668">
        <v>0</v>
      </c>
      <c r="Q277" s="669">
        <v>0</v>
      </c>
      <c r="R277" s="668">
        <v>0</v>
      </c>
      <c r="S277" s="668">
        <v>0</v>
      </c>
      <c r="T277" s="668">
        <v>0</v>
      </c>
      <c r="U277" s="668">
        <v>284597.8</v>
      </c>
      <c r="V277" s="668">
        <v>248591.99</v>
      </c>
      <c r="W277" s="668">
        <v>283100.78000000003</v>
      </c>
      <c r="X277" s="668">
        <v>161684.29</v>
      </c>
      <c r="Y277" s="668">
        <v>0</v>
      </c>
      <c r="Z277" s="668">
        <v>111113.66</v>
      </c>
      <c r="AA277" s="666">
        <v>470099.47</v>
      </c>
      <c r="AB277" s="668">
        <v>1014552.9799999999</v>
      </c>
      <c r="AC277" s="647">
        <v>1559187.99</v>
      </c>
      <c r="AD277" s="647">
        <v>2892080.92</v>
      </c>
      <c r="AE277" s="718">
        <v>1332892.93</v>
      </c>
      <c r="AF277" s="618">
        <f t="shared" si="24"/>
        <v>2.687309558779767E-3</v>
      </c>
    </row>
    <row r="278" spans="1:32" ht="38.25" hidden="1" x14ac:dyDescent="0.25">
      <c r="A278" s="685" t="s">
        <v>811</v>
      </c>
      <c r="B278" s="640" t="s">
        <v>810</v>
      </c>
      <c r="C278" s="635">
        <f t="shared" si="25"/>
        <v>0</v>
      </c>
      <c r="D278" s="635">
        <f t="shared" si="26"/>
        <v>0</v>
      </c>
      <c r="E278" s="635">
        <f t="shared" si="27"/>
        <v>0</v>
      </c>
      <c r="F278" s="635">
        <f t="shared" si="28"/>
        <v>816290.57000000007</v>
      </c>
      <c r="G278" s="635">
        <f t="shared" si="29"/>
        <v>742897.41999999993</v>
      </c>
      <c r="H278" s="645">
        <v>0</v>
      </c>
      <c r="I278" s="645">
        <v>0</v>
      </c>
      <c r="J278" s="645">
        <v>0</v>
      </c>
      <c r="K278" s="645">
        <v>0</v>
      </c>
      <c r="L278" s="645">
        <v>0</v>
      </c>
      <c r="M278" s="645">
        <v>0</v>
      </c>
      <c r="N278" s="645">
        <v>0</v>
      </c>
      <c r="O278" s="645">
        <v>0</v>
      </c>
      <c r="P278" s="645">
        <v>0</v>
      </c>
      <c r="Q278" s="645">
        <v>0</v>
      </c>
      <c r="R278" s="645">
        <v>0</v>
      </c>
      <c r="S278" s="645">
        <v>0</v>
      </c>
      <c r="T278" s="645">
        <v>0</v>
      </c>
      <c r="U278" s="645">
        <v>284597.8</v>
      </c>
      <c r="V278" s="645">
        <v>248591.99</v>
      </c>
      <c r="W278" s="645">
        <v>283100.78000000003</v>
      </c>
      <c r="X278" s="645">
        <v>161684.29</v>
      </c>
      <c r="Y278" s="645">
        <v>0</v>
      </c>
      <c r="Z278" s="645">
        <v>111113.66</v>
      </c>
      <c r="AA278" s="641">
        <v>470099.47</v>
      </c>
      <c r="AB278" s="645">
        <v>1014552.9799999999</v>
      </c>
      <c r="AC278" s="647">
        <v>1559187.99</v>
      </c>
      <c r="AD278" s="647">
        <v>2892080.92</v>
      </c>
      <c r="AE278" s="718">
        <v>1332892.93</v>
      </c>
      <c r="AF278" s="618">
        <f t="shared" si="24"/>
        <v>2.687309558779767E-3</v>
      </c>
    </row>
    <row r="279" spans="1:32" hidden="1" x14ac:dyDescent="0.25">
      <c r="A279" s="667" t="s">
        <v>812</v>
      </c>
      <c r="B279" s="665" t="s">
        <v>813</v>
      </c>
      <c r="C279" s="635">
        <f t="shared" si="25"/>
        <v>0</v>
      </c>
      <c r="D279" s="635">
        <f t="shared" si="26"/>
        <v>0</v>
      </c>
      <c r="E279" s="635">
        <f t="shared" si="27"/>
        <v>0</v>
      </c>
      <c r="F279" s="635">
        <f t="shared" si="28"/>
        <v>0</v>
      </c>
      <c r="G279" s="635">
        <f t="shared" si="29"/>
        <v>273828</v>
      </c>
      <c r="H279" s="668">
        <v>0</v>
      </c>
      <c r="I279" s="668">
        <v>0</v>
      </c>
      <c r="J279" s="668">
        <v>0</v>
      </c>
      <c r="K279" s="668">
        <v>0</v>
      </c>
      <c r="L279" s="668">
        <v>0</v>
      </c>
      <c r="M279" s="668">
        <v>0</v>
      </c>
      <c r="N279" s="668">
        <v>0</v>
      </c>
      <c r="O279" s="668">
        <v>0</v>
      </c>
      <c r="P279" s="668">
        <v>0</v>
      </c>
      <c r="Q279" s="669">
        <v>0</v>
      </c>
      <c r="R279" s="668">
        <v>0</v>
      </c>
      <c r="S279" s="668">
        <v>0</v>
      </c>
      <c r="T279" s="668">
        <v>0</v>
      </c>
      <c r="U279" s="668">
        <v>0</v>
      </c>
      <c r="V279" s="668">
        <v>0</v>
      </c>
      <c r="W279" s="668">
        <v>0</v>
      </c>
      <c r="X279" s="668">
        <v>0</v>
      </c>
      <c r="Y279" s="668">
        <v>0</v>
      </c>
      <c r="Z279" s="668">
        <v>0</v>
      </c>
      <c r="AA279" s="666">
        <v>273828</v>
      </c>
      <c r="AB279" s="668">
        <v>0</v>
      </c>
      <c r="AC279" s="647">
        <v>273828</v>
      </c>
      <c r="AD279" s="647">
        <v>8612069</v>
      </c>
      <c r="AE279" s="718">
        <v>8338241</v>
      </c>
      <c r="AF279" s="618">
        <f t="shared" si="24"/>
        <v>4.7195117367569386E-4</v>
      </c>
    </row>
    <row r="280" spans="1:32" hidden="1" x14ac:dyDescent="0.25">
      <c r="A280" s="689" t="s">
        <v>814</v>
      </c>
      <c r="B280" s="640" t="s">
        <v>813</v>
      </c>
      <c r="C280" s="635">
        <f t="shared" si="25"/>
        <v>0</v>
      </c>
      <c r="D280" s="635">
        <f t="shared" si="26"/>
        <v>0</v>
      </c>
      <c r="E280" s="635">
        <f t="shared" si="27"/>
        <v>0</v>
      </c>
      <c r="F280" s="635">
        <f t="shared" si="28"/>
        <v>0</v>
      </c>
      <c r="G280" s="635">
        <f t="shared" si="29"/>
        <v>0</v>
      </c>
      <c r="H280" s="648">
        <v>0</v>
      </c>
      <c r="I280" s="648">
        <v>0</v>
      </c>
      <c r="J280" s="648">
        <v>0</v>
      </c>
      <c r="K280" s="648">
        <v>0</v>
      </c>
      <c r="L280" s="648">
        <v>0</v>
      </c>
      <c r="M280" s="648">
        <v>0</v>
      </c>
      <c r="N280" s="648">
        <v>0</v>
      </c>
      <c r="O280" s="648">
        <v>0</v>
      </c>
      <c r="P280" s="648">
        <v>0</v>
      </c>
      <c r="Q280" s="648">
        <v>0</v>
      </c>
      <c r="R280" s="648">
        <v>0</v>
      </c>
      <c r="S280" s="648">
        <v>0</v>
      </c>
      <c r="T280" s="648">
        <v>0</v>
      </c>
      <c r="U280" s="648">
        <v>0</v>
      </c>
      <c r="V280" s="648">
        <v>0</v>
      </c>
      <c r="W280" s="648">
        <v>0</v>
      </c>
      <c r="X280" s="648">
        <v>0</v>
      </c>
      <c r="Y280" s="648">
        <v>0</v>
      </c>
      <c r="Z280" s="657">
        <v>0</v>
      </c>
      <c r="AA280" s="641">
        <v>0</v>
      </c>
      <c r="AB280" s="648">
        <v>0</v>
      </c>
      <c r="AC280" s="647">
        <v>0</v>
      </c>
      <c r="AD280" s="647">
        <v>8295735.1600000001</v>
      </c>
      <c r="AE280" s="718">
        <v>8295735.1600000001</v>
      </c>
      <c r="AF280" s="618">
        <f t="shared" si="24"/>
        <v>0</v>
      </c>
    </row>
    <row r="281" spans="1:32" hidden="1" x14ac:dyDescent="0.25">
      <c r="A281" s="689" t="s">
        <v>1236</v>
      </c>
      <c r="B281" s="640" t="s">
        <v>815</v>
      </c>
      <c r="C281" s="635">
        <f t="shared" si="25"/>
        <v>0</v>
      </c>
      <c r="D281" s="635">
        <f t="shared" si="26"/>
        <v>0</v>
      </c>
      <c r="E281" s="635">
        <f t="shared" si="27"/>
        <v>0</v>
      </c>
      <c r="F281" s="635">
        <f t="shared" si="28"/>
        <v>0</v>
      </c>
      <c r="G281" s="635">
        <f t="shared" si="29"/>
        <v>273828</v>
      </c>
      <c r="H281" s="648">
        <v>0</v>
      </c>
      <c r="I281" s="648">
        <v>0</v>
      </c>
      <c r="J281" s="648">
        <v>0</v>
      </c>
      <c r="K281" s="648">
        <v>0</v>
      </c>
      <c r="L281" s="648">
        <v>0</v>
      </c>
      <c r="M281" s="648">
        <v>0</v>
      </c>
      <c r="N281" s="648">
        <v>0</v>
      </c>
      <c r="O281" s="648">
        <v>0</v>
      </c>
      <c r="P281" s="648">
        <v>0</v>
      </c>
      <c r="Q281" s="648">
        <v>0</v>
      </c>
      <c r="R281" s="648">
        <v>0</v>
      </c>
      <c r="S281" s="648">
        <v>0</v>
      </c>
      <c r="T281" s="648">
        <v>0</v>
      </c>
      <c r="U281" s="648">
        <v>0</v>
      </c>
      <c r="V281" s="648">
        <v>0</v>
      </c>
      <c r="W281" s="648">
        <v>0</v>
      </c>
      <c r="X281" s="648">
        <v>0</v>
      </c>
      <c r="Y281" s="648">
        <v>0</v>
      </c>
      <c r="Z281" s="648">
        <v>0</v>
      </c>
      <c r="AA281" s="641">
        <v>273828</v>
      </c>
      <c r="AB281" s="648">
        <v>0</v>
      </c>
      <c r="AC281" s="647">
        <v>273828</v>
      </c>
      <c r="AD281" s="647">
        <v>273828.34999999998</v>
      </c>
      <c r="AE281" s="718">
        <v>0.35</v>
      </c>
      <c r="AF281" s="618">
        <f t="shared" si="24"/>
        <v>4.7195117367569386E-4</v>
      </c>
    </row>
    <row r="282" spans="1:32" hidden="1" x14ac:dyDescent="0.25">
      <c r="A282" s="689" t="s">
        <v>816</v>
      </c>
      <c r="B282" s="640" t="s">
        <v>817</v>
      </c>
      <c r="C282" s="635">
        <f t="shared" si="25"/>
        <v>0</v>
      </c>
      <c r="D282" s="635">
        <f t="shared" si="26"/>
        <v>0</v>
      </c>
      <c r="E282" s="635">
        <f t="shared" si="27"/>
        <v>0</v>
      </c>
      <c r="F282" s="635">
        <f t="shared" si="28"/>
        <v>0</v>
      </c>
      <c r="G282" s="635">
        <f t="shared" si="29"/>
        <v>0</v>
      </c>
      <c r="H282" s="648">
        <v>0</v>
      </c>
      <c r="I282" s="648">
        <v>0</v>
      </c>
      <c r="J282" s="648">
        <v>0</v>
      </c>
      <c r="K282" s="648">
        <v>0</v>
      </c>
      <c r="L282" s="648">
        <v>0</v>
      </c>
      <c r="M282" s="648">
        <v>0</v>
      </c>
      <c r="N282" s="648">
        <v>0</v>
      </c>
      <c r="O282" s="648">
        <v>0</v>
      </c>
      <c r="P282" s="648">
        <v>0</v>
      </c>
      <c r="Q282" s="648">
        <v>0</v>
      </c>
      <c r="R282" s="648">
        <v>0</v>
      </c>
      <c r="S282" s="648">
        <v>0</v>
      </c>
      <c r="T282" s="648">
        <v>0</v>
      </c>
      <c r="U282" s="648">
        <v>0</v>
      </c>
      <c r="V282" s="648">
        <v>0</v>
      </c>
      <c r="W282" s="648">
        <v>0</v>
      </c>
      <c r="X282" s="648">
        <v>0</v>
      </c>
      <c r="Y282" s="648">
        <v>0</v>
      </c>
      <c r="Z282" s="648">
        <v>0</v>
      </c>
      <c r="AA282" s="641">
        <v>0</v>
      </c>
      <c r="AB282" s="648">
        <v>0</v>
      </c>
      <c r="AC282" s="647">
        <v>0</v>
      </c>
      <c r="AD282" s="647">
        <v>42505.49</v>
      </c>
      <c r="AE282" s="718">
        <v>42505.49</v>
      </c>
      <c r="AF282" s="618">
        <f t="shared" si="24"/>
        <v>0</v>
      </c>
    </row>
    <row r="283" spans="1:32" hidden="1" x14ac:dyDescent="0.25">
      <c r="A283" s="667" t="s">
        <v>818</v>
      </c>
      <c r="B283" s="665" t="s">
        <v>819</v>
      </c>
      <c r="C283" s="635">
        <f t="shared" si="25"/>
        <v>0</v>
      </c>
      <c r="D283" s="635">
        <f t="shared" si="26"/>
        <v>0</v>
      </c>
      <c r="E283" s="635">
        <f t="shared" si="27"/>
        <v>0</v>
      </c>
      <c r="F283" s="635">
        <f t="shared" si="28"/>
        <v>5076893.6199999992</v>
      </c>
      <c r="G283" s="635">
        <f t="shared" si="29"/>
        <v>4271256.6106060604</v>
      </c>
      <c r="H283" s="668">
        <v>0</v>
      </c>
      <c r="I283" s="668">
        <v>0</v>
      </c>
      <c r="J283" s="668">
        <v>0</v>
      </c>
      <c r="K283" s="668">
        <v>0</v>
      </c>
      <c r="L283" s="668">
        <v>0</v>
      </c>
      <c r="M283" s="668">
        <v>0</v>
      </c>
      <c r="N283" s="668">
        <v>0</v>
      </c>
      <c r="O283" s="668">
        <v>0</v>
      </c>
      <c r="P283" s="668">
        <v>0</v>
      </c>
      <c r="Q283" s="669">
        <v>0</v>
      </c>
      <c r="R283" s="668">
        <v>0</v>
      </c>
      <c r="S283" s="668">
        <v>0</v>
      </c>
      <c r="T283" s="668">
        <v>0</v>
      </c>
      <c r="U283" s="668">
        <v>0</v>
      </c>
      <c r="V283" s="668">
        <v>3967612.1899999995</v>
      </c>
      <c r="W283" s="668">
        <v>1109281.43</v>
      </c>
      <c r="X283" s="668">
        <v>90589.95</v>
      </c>
      <c r="Y283" s="668">
        <v>538656.30000000005</v>
      </c>
      <c r="Z283" s="668">
        <v>213935.72</v>
      </c>
      <c r="AA283" s="666">
        <v>3428074.6406060606</v>
      </c>
      <c r="AB283" s="668">
        <v>-6.0606059625570197E-2</v>
      </c>
      <c r="AC283" s="647">
        <v>9348150.2306060605</v>
      </c>
      <c r="AD283" s="647">
        <v>6711034.8700000001</v>
      </c>
      <c r="AE283" s="718">
        <v>-2637115.36</v>
      </c>
      <c r="AF283" s="618">
        <f t="shared" si="24"/>
        <v>1.6111831050992734E-2</v>
      </c>
    </row>
    <row r="284" spans="1:32" hidden="1" x14ac:dyDescent="0.25">
      <c r="A284" s="689" t="s">
        <v>820</v>
      </c>
      <c r="B284" s="640" t="s">
        <v>821</v>
      </c>
      <c r="C284" s="635">
        <f t="shared" si="25"/>
        <v>0</v>
      </c>
      <c r="D284" s="635">
        <f t="shared" si="26"/>
        <v>0</v>
      </c>
      <c r="E284" s="635">
        <f t="shared" si="27"/>
        <v>0</v>
      </c>
      <c r="F284" s="635">
        <f t="shared" si="28"/>
        <v>4563300.42</v>
      </c>
      <c r="G284" s="635">
        <f t="shared" si="29"/>
        <v>4085635.6206060601</v>
      </c>
      <c r="H284" s="648">
        <v>0</v>
      </c>
      <c r="I284" s="648">
        <v>0</v>
      </c>
      <c r="J284" s="648">
        <v>0</v>
      </c>
      <c r="K284" s="648">
        <v>0</v>
      </c>
      <c r="L284" s="648">
        <v>0</v>
      </c>
      <c r="M284" s="648">
        <v>0</v>
      </c>
      <c r="N284" s="648">
        <v>0</v>
      </c>
      <c r="O284" s="648">
        <v>0</v>
      </c>
      <c r="P284" s="648">
        <v>0</v>
      </c>
      <c r="Q284" s="648">
        <v>0</v>
      </c>
      <c r="R284" s="648">
        <v>0</v>
      </c>
      <c r="S284" s="648">
        <v>0</v>
      </c>
      <c r="T284" s="648">
        <v>0</v>
      </c>
      <c r="U284" s="648">
        <v>0</v>
      </c>
      <c r="V284" s="648">
        <v>3656623.8999999994</v>
      </c>
      <c r="W284" s="648">
        <v>906676.52</v>
      </c>
      <c r="X284" s="648">
        <v>72559.61</v>
      </c>
      <c r="Y284" s="648">
        <v>439399.01999999996</v>
      </c>
      <c r="Z284" s="648">
        <v>211590.28</v>
      </c>
      <c r="AA284" s="641">
        <v>3362086.7106060605</v>
      </c>
      <c r="AB284" s="648">
        <v>-6.0606059618294239E-2</v>
      </c>
      <c r="AC284" s="647">
        <v>8648936.040606061</v>
      </c>
      <c r="AD284" s="647">
        <v>6021655.2400000002</v>
      </c>
      <c r="AE284" s="718">
        <v>-2627280.7999999998</v>
      </c>
      <c r="AF284" s="618">
        <f t="shared" si="24"/>
        <v>1.4906713394576301E-2</v>
      </c>
    </row>
    <row r="285" spans="1:32" hidden="1" x14ac:dyDescent="0.25">
      <c r="A285" s="689" t="s">
        <v>822</v>
      </c>
      <c r="B285" s="640" t="s">
        <v>823</v>
      </c>
      <c r="C285" s="635">
        <f t="shared" si="25"/>
        <v>0</v>
      </c>
      <c r="D285" s="635">
        <f t="shared" si="26"/>
        <v>0</v>
      </c>
      <c r="E285" s="635">
        <f t="shared" si="27"/>
        <v>0</v>
      </c>
      <c r="F285" s="635">
        <f t="shared" si="28"/>
        <v>513593.19999999995</v>
      </c>
      <c r="G285" s="635">
        <f t="shared" si="29"/>
        <v>142420.99</v>
      </c>
      <c r="H285" s="648">
        <v>0</v>
      </c>
      <c r="I285" s="648">
        <v>0</v>
      </c>
      <c r="J285" s="648">
        <v>0</v>
      </c>
      <c r="K285" s="648">
        <v>0</v>
      </c>
      <c r="L285" s="648">
        <v>0</v>
      </c>
      <c r="M285" s="648">
        <v>0</v>
      </c>
      <c r="N285" s="648">
        <v>0</v>
      </c>
      <c r="O285" s="648">
        <v>0</v>
      </c>
      <c r="P285" s="648">
        <v>0</v>
      </c>
      <c r="Q285" s="648">
        <v>0</v>
      </c>
      <c r="R285" s="648">
        <v>0</v>
      </c>
      <c r="S285" s="648">
        <v>0</v>
      </c>
      <c r="T285" s="648">
        <v>0</v>
      </c>
      <c r="U285" s="648">
        <v>0</v>
      </c>
      <c r="V285" s="648">
        <v>310988.28999999998</v>
      </c>
      <c r="W285" s="648">
        <v>202604.91</v>
      </c>
      <c r="X285" s="648">
        <v>18030.34</v>
      </c>
      <c r="Y285" s="648">
        <v>99257.279999999999</v>
      </c>
      <c r="Z285" s="648">
        <v>2345.44</v>
      </c>
      <c r="AA285" s="641">
        <v>22787.93</v>
      </c>
      <c r="AB285" s="648">
        <v>-7.2759576141834259E-12</v>
      </c>
      <c r="AC285" s="647">
        <v>656014.18999999994</v>
      </c>
      <c r="AD285" s="647">
        <v>640801.93000000005</v>
      </c>
      <c r="AE285" s="718">
        <v>-15212.26</v>
      </c>
      <c r="AF285" s="618">
        <f t="shared" si="24"/>
        <v>1.1306610971792864E-3</v>
      </c>
    </row>
    <row r="286" spans="1:32" hidden="1" x14ac:dyDescent="0.25">
      <c r="A286" s="689" t="s">
        <v>1270</v>
      </c>
      <c r="B286" s="640" t="s">
        <v>824</v>
      </c>
      <c r="C286" s="635">
        <f t="shared" si="25"/>
        <v>0</v>
      </c>
      <c r="D286" s="635">
        <f t="shared" si="26"/>
        <v>0</v>
      </c>
      <c r="E286" s="635">
        <f t="shared" si="27"/>
        <v>0</v>
      </c>
      <c r="F286" s="635">
        <f t="shared" si="28"/>
        <v>0</v>
      </c>
      <c r="G286" s="635">
        <f t="shared" si="29"/>
        <v>43200</v>
      </c>
      <c r="H286" s="648"/>
      <c r="I286" s="648"/>
      <c r="J286" s="648"/>
      <c r="K286" s="648"/>
      <c r="L286" s="648"/>
      <c r="M286" s="648"/>
      <c r="N286" s="648"/>
      <c r="O286" s="648"/>
      <c r="P286" s="648"/>
      <c r="Q286" s="648"/>
      <c r="R286" s="648"/>
      <c r="S286" s="648"/>
      <c r="T286" s="648"/>
      <c r="U286" s="648"/>
      <c r="V286" s="648"/>
      <c r="W286" s="648"/>
      <c r="X286" s="648"/>
      <c r="Y286" s="648">
        <v>0</v>
      </c>
      <c r="Z286" s="648">
        <v>0</v>
      </c>
      <c r="AA286" s="641">
        <v>43200</v>
      </c>
      <c r="AB286" s="648">
        <v>0</v>
      </c>
      <c r="AC286" s="647">
        <v>43200</v>
      </c>
      <c r="AD286" s="647">
        <v>48577.7</v>
      </c>
      <c r="AE286" s="718">
        <v>5377.7</v>
      </c>
      <c r="AF286" s="618">
        <f t="shared" si="24"/>
        <v>7.445655923714877E-5</v>
      </c>
    </row>
    <row r="287" spans="1:32" hidden="1" x14ac:dyDescent="0.25">
      <c r="A287" s="667" t="s">
        <v>825</v>
      </c>
      <c r="B287" s="665" t="s">
        <v>826</v>
      </c>
      <c r="C287" s="635">
        <f t="shared" si="25"/>
        <v>0</v>
      </c>
      <c r="D287" s="635">
        <f t="shared" si="26"/>
        <v>0</v>
      </c>
      <c r="E287" s="635">
        <f t="shared" si="27"/>
        <v>0</v>
      </c>
      <c r="F287" s="635">
        <f t="shared" si="28"/>
        <v>0</v>
      </c>
      <c r="G287" s="635">
        <f t="shared" si="29"/>
        <v>596773.66787878785</v>
      </c>
      <c r="H287" s="668">
        <v>0</v>
      </c>
      <c r="I287" s="668">
        <v>0</v>
      </c>
      <c r="J287" s="668">
        <v>0</v>
      </c>
      <c r="K287" s="668">
        <v>0</v>
      </c>
      <c r="L287" s="668">
        <v>0</v>
      </c>
      <c r="M287" s="668">
        <v>0</v>
      </c>
      <c r="N287" s="668">
        <v>0</v>
      </c>
      <c r="O287" s="668">
        <v>0</v>
      </c>
      <c r="P287" s="668">
        <v>0</v>
      </c>
      <c r="Q287" s="669">
        <v>0</v>
      </c>
      <c r="R287" s="668">
        <v>0</v>
      </c>
      <c r="S287" s="668">
        <v>0</v>
      </c>
      <c r="T287" s="668">
        <v>0</v>
      </c>
      <c r="U287" s="668">
        <v>0</v>
      </c>
      <c r="V287" s="668">
        <v>0</v>
      </c>
      <c r="W287" s="668">
        <v>0</v>
      </c>
      <c r="X287" s="668">
        <v>17764.900000000001</v>
      </c>
      <c r="Y287" s="668">
        <v>17860.5</v>
      </c>
      <c r="Z287" s="668">
        <v>29366.1</v>
      </c>
      <c r="AA287" s="666">
        <v>531782.16787878785</v>
      </c>
      <c r="AB287" s="668">
        <v>3777.9221212121774</v>
      </c>
      <c r="AC287" s="647">
        <v>596773.66787878785</v>
      </c>
      <c r="AD287" s="647">
        <v>529530.93999999994</v>
      </c>
      <c r="AE287" s="718">
        <v>-67242.73</v>
      </c>
      <c r="AF287" s="618">
        <f t="shared" si="24"/>
        <v>1.0285581933700814E-3</v>
      </c>
    </row>
    <row r="288" spans="1:32" hidden="1" x14ac:dyDescent="0.25">
      <c r="A288" s="689" t="s">
        <v>827</v>
      </c>
      <c r="B288" s="640" t="s">
        <v>828</v>
      </c>
      <c r="C288" s="635">
        <f t="shared" si="25"/>
        <v>0</v>
      </c>
      <c r="D288" s="635">
        <f t="shared" si="26"/>
        <v>0</v>
      </c>
      <c r="E288" s="635">
        <f t="shared" si="27"/>
        <v>0</v>
      </c>
      <c r="F288" s="635">
        <f t="shared" si="28"/>
        <v>0</v>
      </c>
      <c r="G288" s="635">
        <f t="shared" si="29"/>
        <v>88728.91</v>
      </c>
      <c r="H288" s="648">
        <v>0</v>
      </c>
      <c r="I288" s="648">
        <v>0</v>
      </c>
      <c r="J288" s="648">
        <v>0</v>
      </c>
      <c r="K288" s="648">
        <v>0</v>
      </c>
      <c r="L288" s="648">
        <v>0</v>
      </c>
      <c r="M288" s="648">
        <v>0</v>
      </c>
      <c r="N288" s="648">
        <v>0</v>
      </c>
      <c r="O288" s="648">
        <v>0</v>
      </c>
      <c r="P288" s="648">
        <v>0</v>
      </c>
      <c r="Q288" s="648">
        <v>0</v>
      </c>
      <c r="R288" s="648">
        <v>0</v>
      </c>
      <c r="S288" s="648">
        <v>0</v>
      </c>
      <c r="T288" s="648">
        <v>0</v>
      </c>
      <c r="U288" s="648">
        <v>0</v>
      </c>
      <c r="V288" s="648">
        <v>0</v>
      </c>
      <c r="W288" s="648">
        <v>0</v>
      </c>
      <c r="X288" s="648">
        <v>17764.900000000001</v>
      </c>
      <c r="Y288" s="648">
        <v>17860.5</v>
      </c>
      <c r="Z288" s="648">
        <v>29366.1</v>
      </c>
      <c r="AA288" s="641">
        <v>23737.41</v>
      </c>
      <c r="AB288" s="648">
        <v>3778.3699999999953</v>
      </c>
      <c r="AC288" s="647">
        <v>88728.91</v>
      </c>
      <c r="AD288" s="647">
        <v>92710</v>
      </c>
      <c r="AE288" s="718">
        <v>3981.09</v>
      </c>
      <c r="AF288" s="618">
        <f t="shared" si="24"/>
        <v>1.5292706813570931E-4</v>
      </c>
    </row>
    <row r="289" spans="1:32" ht="25.5" hidden="1" x14ac:dyDescent="0.25">
      <c r="A289" s="689" t="s">
        <v>1237</v>
      </c>
      <c r="B289" s="640" t="s">
        <v>829</v>
      </c>
      <c r="C289" s="635">
        <f t="shared" si="25"/>
        <v>0</v>
      </c>
      <c r="D289" s="635">
        <f t="shared" si="26"/>
        <v>0</v>
      </c>
      <c r="E289" s="635">
        <f t="shared" si="27"/>
        <v>0</v>
      </c>
      <c r="F289" s="635">
        <f t="shared" si="28"/>
        <v>0</v>
      </c>
      <c r="G289" s="635">
        <f t="shared" si="29"/>
        <v>508044.75787878782</v>
      </c>
      <c r="H289" s="648">
        <v>0</v>
      </c>
      <c r="I289" s="648">
        <v>0</v>
      </c>
      <c r="J289" s="648">
        <v>0</v>
      </c>
      <c r="K289" s="648">
        <v>0</v>
      </c>
      <c r="L289" s="648">
        <v>0</v>
      </c>
      <c r="M289" s="648">
        <v>0</v>
      </c>
      <c r="N289" s="648">
        <v>0</v>
      </c>
      <c r="O289" s="648">
        <v>0</v>
      </c>
      <c r="P289" s="648">
        <v>0</v>
      </c>
      <c r="Q289" s="648">
        <v>0</v>
      </c>
      <c r="R289" s="648">
        <v>0</v>
      </c>
      <c r="S289" s="648">
        <v>0</v>
      </c>
      <c r="T289" s="648">
        <v>0</v>
      </c>
      <c r="U289" s="648">
        <v>0</v>
      </c>
      <c r="V289" s="648">
        <v>0</v>
      </c>
      <c r="W289" s="648">
        <v>0</v>
      </c>
      <c r="X289" s="648">
        <v>0</v>
      </c>
      <c r="Y289" s="648">
        <v>0</v>
      </c>
      <c r="Z289" s="648">
        <v>0</v>
      </c>
      <c r="AA289" s="641">
        <v>508044.75787878782</v>
      </c>
      <c r="AB289" s="648">
        <v>-0.44787878781789914</v>
      </c>
      <c r="AC289" s="647">
        <v>508044.75787878782</v>
      </c>
      <c r="AD289" s="647">
        <v>436820.94</v>
      </c>
      <c r="AE289" s="718">
        <v>-71223.820000000007</v>
      </c>
      <c r="AF289" s="618">
        <f t="shared" si="24"/>
        <v>8.7563112523437201E-4</v>
      </c>
    </row>
    <row r="290" spans="1:32" hidden="1" x14ac:dyDescent="0.25">
      <c r="A290" s="658" t="s">
        <v>830</v>
      </c>
      <c r="B290" s="659">
        <v>0</v>
      </c>
      <c r="C290" s="635">
        <f t="shared" si="25"/>
        <v>0</v>
      </c>
      <c r="D290" s="635">
        <f t="shared" si="26"/>
        <v>0</v>
      </c>
      <c r="E290" s="635">
        <f t="shared" si="27"/>
        <v>0</v>
      </c>
      <c r="F290" s="635">
        <f t="shared" si="28"/>
        <v>0</v>
      </c>
      <c r="G290" s="635">
        <f t="shared" si="29"/>
        <v>0</v>
      </c>
      <c r="H290" s="660">
        <v>0</v>
      </c>
      <c r="I290" s="660">
        <v>0</v>
      </c>
      <c r="J290" s="660">
        <v>0</v>
      </c>
      <c r="K290" s="660">
        <v>0</v>
      </c>
      <c r="L290" s="660">
        <v>0</v>
      </c>
      <c r="M290" s="660">
        <v>0</v>
      </c>
      <c r="N290" s="660">
        <v>0</v>
      </c>
      <c r="O290" s="660">
        <v>0</v>
      </c>
      <c r="P290" s="660">
        <v>0</v>
      </c>
      <c r="Q290" s="660">
        <v>0</v>
      </c>
      <c r="R290" s="660">
        <v>0</v>
      </c>
      <c r="S290" s="660">
        <v>0</v>
      </c>
      <c r="T290" s="660">
        <v>0</v>
      </c>
      <c r="U290" s="660">
        <v>0</v>
      </c>
      <c r="V290" s="660">
        <v>0</v>
      </c>
      <c r="W290" s="660">
        <v>0</v>
      </c>
      <c r="X290" s="660">
        <v>0</v>
      </c>
      <c r="Y290" s="660">
        <v>0</v>
      </c>
      <c r="Z290" s="660">
        <v>0</v>
      </c>
      <c r="AA290" s="661">
        <v>0</v>
      </c>
      <c r="AB290" s="660"/>
      <c r="AC290" s="647">
        <v>-5000000</v>
      </c>
      <c r="AD290" s="647">
        <v>-5000000</v>
      </c>
      <c r="AE290" s="643">
        <v>0</v>
      </c>
      <c r="AF290" s="618">
        <f t="shared" si="24"/>
        <v>-8.6176573191144423E-3</v>
      </c>
    </row>
    <row r="291" spans="1:32" ht="25.5" hidden="1" x14ac:dyDescent="0.25">
      <c r="A291" s="658" t="s">
        <v>482</v>
      </c>
      <c r="B291" s="659">
        <v>0</v>
      </c>
      <c r="C291" s="635">
        <f t="shared" si="25"/>
        <v>0</v>
      </c>
      <c r="D291" s="635">
        <f t="shared" si="26"/>
        <v>0</v>
      </c>
      <c r="E291" s="635">
        <f t="shared" si="27"/>
        <v>0</v>
      </c>
      <c r="F291" s="635">
        <f t="shared" si="28"/>
        <v>0</v>
      </c>
      <c r="G291" s="635">
        <f t="shared" si="29"/>
        <v>0</v>
      </c>
      <c r="H291" s="660">
        <v>0</v>
      </c>
      <c r="I291" s="660">
        <v>0</v>
      </c>
      <c r="J291" s="660">
        <v>0</v>
      </c>
      <c r="K291" s="660">
        <v>0</v>
      </c>
      <c r="L291" s="660">
        <v>0</v>
      </c>
      <c r="M291" s="660">
        <v>0</v>
      </c>
      <c r="N291" s="660">
        <v>0</v>
      </c>
      <c r="O291" s="660">
        <v>0</v>
      </c>
      <c r="P291" s="660">
        <v>0</v>
      </c>
      <c r="Q291" s="660">
        <v>0</v>
      </c>
      <c r="R291" s="660">
        <v>0</v>
      </c>
      <c r="S291" s="660">
        <v>0</v>
      </c>
      <c r="T291" s="660">
        <v>0</v>
      </c>
      <c r="U291" s="660">
        <v>0</v>
      </c>
      <c r="V291" s="660">
        <v>0</v>
      </c>
      <c r="W291" s="660">
        <v>0</v>
      </c>
      <c r="X291" s="660">
        <v>0</v>
      </c>
      <c r="Y291" s="660">
        <v>0</v>
      </c>
      <c r="Z291" s="660">
        <v>0</v>
      </c>
      <c r="AA291" s="661">
        <v>0</v>
      </c>
      <c r="AB291" s="660">
        <v>2655908.2108050734</v>
      </c>
      <c r="AC291" s="647">
        <v>0</v>
      </c>
      <c r="AD291" s="647">
        <v>0</v>
      </c>
      <c r="AE291" s="643">
        <v>0</v>
      </c>
      <c r="AF291" s="618">
        <f t="shared" si="24"/>
        <v>0</v>
      </c>
    </row>
    <row r="292" spans="1:32" hidden="1" x14ac:dyDescent="0.25">
      <c r="A292" s="658" t="s">
        <v>483</v>
      </c>
      <c r="B292" s="659"/>
      <c r="C292" s="635">
        <f t="shared" si="25"/>
        <v>0</v>
      </c>
      <c r="D292" s="635">
        <f t="shared" si="26"/>
        <v>0</v>
      </c>
      <c r="E292" s="635">
        <f t="shared" si="27"/>
        <v>0</v>
      </c>
      <c r="F292" s="635">
        <f t="shared" si="28"/>
        <v>0</v>
      </c>
      <c r="G292" s="635">
        <f t="shared" si="29"/>
        <v>786965.33000000007</v>
      </c>
      <c r="H292" s="660">
        <v>0</v>
      </c>
      <c r="I292" s="660">
        <v>0</v>
      </c>
      <c r="J292" s="660">
        <v>0</v>
      </c>
      <c r="K292" s="660">
        <v>0</v>
      </c>
      <c r="L292" s="660">
        <v>0</v>
      </c>
      <c r="M292" s="660">
        <v>0</v>
      </c>
      <c r="N292" s="660">
        <v>0</v>
      </c>
      <c r="O292" s="660">
        <v>0</v>
      </c>
      <c r="P292" s="660">
        <v>0</v>
      </c>
      <c r="Q292" s="660">
        <v>0</v>
      </c>
      <c r="R292" s="660">
        <v>0</v>
      </c>
      <c r="S292" s="660">
        <v>0</v>
      </c>
      <c r="T292" s="660">
        <v>0</v>
      </c>
      <c r="U292" s="660">
        <v>0</v>
      </c>
      <c r="V292" s="660">
        <v>0</v>
      </c>
      <c r="W292" s="660">
        <v>0</v>
      </c>
      <c r="X292" s="660">
        <v>0</v>
      </c>
      <c r="Y292" s="660">
        <v>0</v>
      </c>
      <c r="Z292" s="660">
        <v>0</v>
      </c>
      <c r="AA292" s="661">
        <v>786965.33000000007</v>
      </c>
      <c r="AB292" s="660"/>
      <c r="AC292" s="647">
        <v>786965.33000000007</v>
      </c>
      <c r="AD292" s="647">
        <v>1940557.25</v>
      </c>
      <c r="AE292" s="643">
        <v>1153591.92</v>
      </c>
      <c r="AF292" s="618">
        <f t="shared" si="24"/>
        <v>1.3563595071927625E-3</v>
      </c>
    </row>
    <row r="293" spans="1:32" hidden="1" x14ac:dyDescent="0.25">
      <c r="A293" s="708" t="s">
        <v>831</v>
      </c>
      <c r="B293" s="701" t="s">
        <v>832</v>
      </c>
      <c r="C293" s="635">
        <f t="shared" si="25"/>
        <v>0</v>
      </c>
      <c r="D293" s="635">
        <f t="shared" si="26"/>
        <v>324107.46999999997</v>
      </c>
      <c r="E293" s="635">
        <f t="shared" si="27"/>
        <v>616321.24</v>
      </c>
      <c r="F293" s="635">
        <f t="shared" si="28"/>
        <v>255807.47</v>
      </c>
      <c r="G293" s="635">
        <f t="shared" si="29"/>
        <v>9080331.2300000004</v>
      </c>
      <c r="H293" s="662">
        <v>0</v>
      </c>
      <c r="I293" s="662">
        <v>0</v>
      </c>
      <c r="J293" s="662">
        <v>0</v>
      </c>
      <c r="K293" s="662">
        <v>0</v>
      </c>
      <c r="L293" s="662">
        <v>0</v>
      </c>
      <c r="M293" s="662">
        <v>0</v>
      </c>
      <c r="N293" s="662">
        <v>92536.14</v>
      </c>
      <c r="O293" s="662">
        <v>231571.33</v>
      </c>
      <c r="P293" s="662">
        <v>0</v>
      </c>
      <c r="Q293" s="663">
        <v>601250</v>
      </c>
      <c r="R293" s="662">
        <v>0</v>
      </c>
      <c r="S293" s="662">
        <v>15071.240000000002</v>
      </c>
      <c r="T293" s="662">
        <v>-0.45000000000000284</v>
      </c>
      <c r="U293" s="662">
        <v>0</v>
      </c>
      <c r="V293" s="662">
        <v>7083.92</v>
      </c>
      <c r="W293" s="662">
        <v>248724</v>
      </c>
      <c r="X293" s="662">
        <v>1224343.72</v>
      </c>
      <c r="Y293" s="662">
        <v>591585.26</v>
      </c>
      <c r="Z293" s="662">
        <v>2020668.62</v>
      </c>
      <c r="AA293" s="636">
        <v>5243733.63</v>
      </c>
      <c r="AB293" s="662">
        <v>0.31000000010135409</v>
      </c>
      <c r="AC293" s="638">
        <v>10276567.41</v>
      </c>
      <c r="AD293" s="662">
        <v>9357631.8800000008</v>
      </c>
      <c r="AE293" s="662">
        <v>-918935.53</v>
      </c>
      <c r="AF293" s="618">
        <f t="shared" si="24"/>
        <v>1.771198727123189E-2</v>
      </c>
    </row>
    <row r="294" spans="1:32" hidden="1" x14ac:dyDescent="0.25">
      <c r="A294" s="739" t="s">
        <v>833</v>
      </c>
      <c r="B294" s="740" t="s">
        <v>834</v>
      </c>
      <c r="C294" s="635">
        <f t="shared" si="25"/>
        <v>0</v>
      </c>
      <c r="D294" s="635">
        <f t="shared" si="26"/>
        <v>324107.46999999997</v>
      </c>
      <c r="E294" s="635">
        <f t="shared" si="27"/>
        <v>601250</v>
      </c>
      <c r="F294" s="635">
        <f t="shared" si="28"/>
        <v>0</v>
      </c>
      <c r="G294" s="635">
        <f t="shared" si="29"/>
        <v>0</v>
      </c>
      <c r="H294" s="648">
        <v>0</v>
      </c>
      <c r="I294" s="648">
        <v>0</v>
      </c>
      <c r="J294" s="648">
        <v>0</v>
      </c>
      <c r="K294" s="648">
        <v>0</v>
      </c>
      <c r="L294" s="648">
        <v>0</v>
      </c>
      <c r="M294" s="648">
        <v>0</v>
      </c>
      <c r="N294" s="648">
        <v>92536.14</v>
      </c>
      <c r="O294" s="648">
        <v>231571.33</v>
      </c>
      <c r="P294" s="648">
        <v>0</v>
      </c>
      <c r="Q294" s="648">
        <v>601250</v>
      </c>
      <c r="R294" s="648">
        <v>0</v>
      </c>
      <c r="S294" s="648">
        <v>0</v>
      </c>
      <c r="T294" s="648">
        <v>0</v>
      </c>
      <c r="U294" s="648">
        <v>0</v>
      </c>
      <c r="V294" s="648">
        <v>0</v>
      </c>
      <c r="W294" s="648">
        <v>0</v>
      </c>
      <c r="X294" s="648">
        <v>0</v>
      </c>
      <c r="Y294" s="648">
        <v>0</v>
      </c>
      <c r="Z294" s="648">
        <v>0</v>
      </c>
      <c r="AA294" s="641">
        <v>0</v>
      </c>
      <c r="AB294" s="648">
        <v>0</v>
      </c>
      <c r="AC294" s="643">
        <v>925357.47</v>
      </c>
      <c r="AD294" s="643">
        <v>925357.47</v>
      </c>
      <c r="AE294" s="718">
        <v>0</v>
      </c>
      <c r="AF294" s="618">
        <f t="shared" si="24"/>
        <v>1.5948827148285444E-3</v>
      </c>
    </row>
    <row r="295" spans="1:32" hidden="1" x14ac:dyDescent="0.25">
      <c r="A295" s="739" t="s">
        <v>835</v>
      </c>
      <c r="B295" s="740" t="s">
        <v>836</v>
      </c>
      <c r="C295" s="635">
        <f t="shared" si="25"/>
        <v>0</v>
      </c>
      <c r="D295" s="635">
        <f t="shared" si="26"/>
        <v>0</v>
      </c>
      <c r="E295" s="635">
        <f t="shared" si="27"/>
        <v>0</v>
      </c>
      <c r="F295" s="635">
        <f t="shared" si="28"/>
        <v>0</v>
      </c>
      <c r="G295" s="635">
        <f t="shared" si="29"/>
        <v>5700000</v>
      </c>
      <c r="H295" s="648">
        <v>0</v>
      </c>
      <c r="I295" s="648">
        <v>0</v>
      </c>
      <c r="J295" s="648">
        <v>0</v>
      </c>
      <c r="K295" s="648">
        <v>0</v>
      </c>
      <c r="L295" s="648">
        <v>0</v>
      </c>
      <c r="M295" s="648">
        <v>0</v>
      </c>
      <c r="N295" s="648">
        <v>0</v>
      </c>
      <c r="O295" s="648">
        <v>0</v>
      </c>
      <c r="P295" s="648">
        <v>0</v>
      </c>
      <c r="Q295" s="648">
        <v>0</v>
      </c>
      <c r="R295" s="648">
        <v>0</v>
      </c>
      <c r="S295" s="648">
        <v>0</v>
      </c>
      <c r="T295" s="648">
        <v>0</v>
      </c>
      <c r="U295" s="648">
        <v>0</v>
      </c>
      <c r="V295" s="648">
        <v>0</v>
      </c>
      <c r="W295" s="648">
        <v>0</v>
      </c>
      <c r="X295" s="648">
        <v>570000</v>
      </c>
      <c r="Y295" s="648">
        <v>0</v>
      </c>
      <c r="Z295" s="657">
        <v>889776</v>
      </c>
      <c r="AA295" s="641">
        <v>4240224</v>
      </c>
      <c r="AB295" s="648">
        <v>0</v>
      </c>
      <c r="AC295" s="647">
        <v>5700000</v>
      </c>
      <c r="AD295" s="647">
        <v>4756559</v>
      </c>
      <c r="AE295" s="718">
        <v>-943441</v>
      </c>
      <c r="AF295" s="618">
        <f t="shared" si="24"/>
        <v>9.824129343790464E-3</v>
      </c>
    </row>
    <row r="296" spans="1:32" hidden="1" x14ac:dyDescent="0.25">
      <c r="A296" s="741" t="s">
        <v>837</v>
      </c>
      <c r="B296" s="740" t="s">
        <v>838</v>
      </c>
      <c r="C296" s="635">
        <f t="shared" si="25"/>
        <v>0</v>
      </c>
      <c r="D296" s="635">
        <f t="shared" si="26"/>
        <v>0</v>
      </c>
      <c r="E296" s="635">
        <f t="shared" si="27"/>
        <v>0</v>
      </c>
      <c r="F296" s="635">
        <f t="shared" si="28"/>
        <v>0</v>
      </c>
      <c r="G296" s="635">
        <f t="shared" si="29"/>
        <v>0</v>
      </c>
      <c r="H296" s="648">
        <v>0</v>
      </c>
      <c r="I296" s="648">
        <v>0</v>
      </c>
      <c r="J296" s="648">
        <v>0</v>
      </c>
      <c r="K296" s="648">
        <v>0</v>
      </c>
      <c r="L296" s="648">
        <v>0</v>
      </c>
      <c r="M296" s="648">
        <v>0</v>
      </c>
      <c r="N296" s="648">
        <v>0</v>
      </c>
      <c r="O296" s="648">
        <v>0</v>
      </c>
      <c r="P296" s="648">
        <v>0</v>
      </c>
      <c r="Q296" s="648">
        <v>0</v>
      </c>
      <c r="R296" s="648">
        <v>0</v>
      </c>
      <c r="S296" s="648">
        <v>0</v>
      </c>
      <c r="T296" s="648">
        <v>0</v>
      </c>
      <c r="U296" s="648">
        <v>0</v>
      </c>
      <c r="V296" s="648">
        <v>0</v>
      </c>
      <c r="W296" s="648">
        <v>0</v>
      </c>
      <c r="X296" s="648">
        <v>0</v>
      </c>
      <c r="Y296" s="648">
        <v>0</v>
      </c>
      <c r="Z296" s="648">
        <v>0</v>
      </c>
      <c r="AA296" s="641">
        <v>0</v>
      </c>
      <c r="AB296" s="648">
        <v>0</v>
      </c>
      <c r="AC296" s="647">
        <v>0</v>
      </c>
      <c r="AD296" s="647">
        <v>0</v>
      </c>
      <c r="AE296" s="718">
        <v>0</v>
      </c>
      <c r="AF296" s="618">
        <f t="shared" si="24"/>
        <v>0</v>
      </c>
    </row>
    <row r="297" spans="1:32" hidden="1" x14ac:dyDescent="0.25">
      <c r="A297" s="739" t="s">
        <v>839</v>
      </c>
      <c r="B297" s="740" t="s">
        <v>840</v>
      </c>
      <c r="C297" s="635">
        <f t="shared" si="25"/>
        <v>0</v>
      </c>
      <c r="D297" s="635">
        <f t="shared" si="26"/>
        <v>0</v>
      </c>
      <c r="E297" s="635">
        <f t="shared" si="27"/>
        <v>0</v>
      </c>
      <c r="F297" s="635">
        <f t="shared" si="28"/>
        <v>0</v>
      </c>
      <c r="G297" s="635">
        <f t="shared" si="29"/>
        <v>1112293.44</v>
      </c>
      <c r="H297" s="648">
        <v>0</v>
      </c>
      <c r="I297" s="648">
        <v>0</v>
      </c>
      <c r="J297" s="648">
        <v>0</v>
      </c>
      <c r="K297" s="648">
        <v>0</v>
      </c>
      <c r="L297" s="648">
        <v>0</v>
      </c>
      <c r="M297" s="648">
        <v>0</v>
      </c>
      <c r="N297" s="648">
        <v>0</v>
      </c>
      <c r="O297" s="648">
        <v>0</v>
      </c>
      <c r="P297" s="648">
        <v>0</v>
      </c>
      <c r="Q297" s="648">
        <v>0</v>
      </c>
      <c r="R297" s="648">
        <v>0</v>
      </c>
      <c r="S297" s="648">
        <v>0</v>
      </c>
      <c r="T297" s="648">
        <v>0</v>
      </c>
      <c r="U297" s="648">
        <v>0</v>
      </c>
      <c r="V297" s="648">
        <v>0</v>
      </c>
      <c r="W297" s="648">
        <v>0</v>
      </c>
      <c r="X297" s="648">
        <v>276343.71999999997</v>
      </c>
      <c r="Y297" s="648">
        <v>115305.26000000001</v>
      </c>
      <c r="Z297" s="657">
        <v>258934.83000000002</v>
      </c>
      <c r="AA297" s="641">
        <v>461709.63</v>
      </c>
      <c r="AB297" s="648">
        <v>-0.13999999989755452</v>
      </c>
      <c r="AC297" s="647">
        <v>1112293.44</v>
      </c>
      <c r="AD297" s="647">
        <v>1114991.02</v>
      </c>
      <c r="AE297" s="718">
        <v>2697.58</v>
      </c>
      <c r="AF297" s="618">
        <f t="shared" si="24"/>
        <v>1.9170727408437959E-3</v>
      </c>
    </row>
    <row r="298" spans="1:32" hidden="1" x14ac:dyDescent="0.25">
      <c r="A298" s="741" t="s">
        <v>841</v>
      </c>
      <c r="B298" s="740" t="s">
        <v>842</v>
      </c>
      <c r="C298" s="635">
        <f t="shared" si="25"/>
        <v>0</v>
      </c>
      <c r="D298" s="635">
        <f t="shared" si="26"/>
        <v>0</v>
      </c>
      <c r="E298" s="635">
        <f t="shared" si="27"/>
        <v>15071.240000000002</v>
      </c>
      <c r="F298" s="635">
        <f t="shared" si="28"/>
        <v>-0.45000000000000284</v>
      </c>
      <c r="G298" s="635">
        <f t="shared" si="29"/>
        <v>0</v>
      </c>
      <c r="H298" s="648">
        <v>0</v>
      </c>
      <c r="I298" s="648">
        <v>0</v>
      </c>
      <c r="J298" s="648">
        <v>0</v>
      </c>
      <c r="K298" s="648">
        <v>0</v>
      </c>
      <c r="L298" s="648">
        <v>0</v>
      </c>
      <c r="M298" s="648">
        <v>0</v>
      </c>
      <c r="N298" s="648">
        <v>0</v>
      </c>
      <c r="O298" s="648">
        <v>0</v>
      </c>
      <c r="P298" s="648">
        <v>0</v>
      </c>
      <c r="Q298" s="648">
        <v>0</v>
      </c>
      <c r="R298" s="648">
        <v>0</v>
      </c>
      <c r="S298" s="648">
        <v>15071.240000000002</v>
      </c>
      <c r="T298" s="648">
        <v>-0.45000000000000284</v>
      </c>
      <c r="U298" s="648">
        <v>0</v>
      </c>
      <c r="V298" s="648">
        <v>0</v>
      </c>
      <c r="W298" s="648">
        <v>0</v>
      </c>
      <c r="X298" s="648">
        <v>0</v>
      </c>
      <c r="Y298" s="648">
        <v>0</v>
      </c>
      <c r="Z298" s="648">
        <v>0</v>
      </c>
      <c r="AA298" s="641">
        <v>0</v>
      </c>
      <c r="AB298" s="648">
        <v>0.44999999999890861</v>
      </c>
      <c r="AC298" s="647">
        <v>15070.79</v>
      </c>
      <c r="AD298" s="647">
        <v>15071.24</v>
      </c>
      <c r="AE298" s="718">
        <v>0.45</v>
      </c>
      <c r="AF298" s="618">
        <f t="shared" si="24"/>
        <v>2.5974980749667347E-5</v>
      </c>
    </row>
    <row r="299" spans="1:32" hidden="1" x14ac:dyDescent="0.25">
      <c r="A299" s="739" t="s">
        <v>843</v>
      </c>
      <c r="B299" s="740" t="s">
        <v>844</v>
      </c>
      <c r="C299" s="635">
        <f t="shared" si="25"/>
        <v>0</v>
      </c>
      <c r="D299" s="635">
        <f t="shared" si="26"/>
        <v>0</v>
      </c>
      <c r="E299" s="635">
        <f t="shared" si="27"/>
        <v>0</v>
      </c>
      <c r="F299" s="635">
        <f t="shared" si="28"/>
        <v>248724</v>
      </c>
      <c r="G299" s="635">
        <f t="shared" si="29"/>
        <v>2268037.79</v>
      </c>
      <c r="H299" s="648">
        <v>0</v>
      </c>
      <c r="I299" s="648">
        <v>0</v>
      </c>
      <c r="J299" s="648">
        <v>0</v>
      </c>
      <c r="K299" s="648">
        <v>0</v>
      </c>
      <c r="L299" s="648">
        <v>0</v>
      </c>
      <c r="M299" s="648">
        <v>0</v>
      </c>
      <c r="N299" s="648">
        <v>0</v>
      </c>
      <c r="O299" s="648">
        <v>0</v>
      </c>
      <c r="P299" s="648">
        <v>0</v>
      </c>
      <c r="Q299" s="648">
        <v>0</v>
      </c>
      <c r="R299" s="648">
        <v>0</v>
      </c>
      <c r="S299" s="648">
        <v>0</v>
      </c>
      <c r="T299" s="648">
        <v>0</v>
      </c>
      <c r="U299" s="648">
        <v>0</v>
      </c>
      <c r="V299" s="648">
        <v>0</v>
      </c>
      <c r="W299" s="648">
        <v>248724</v>
      </c>
      <c r="X299" s="648">
        <v>378000</v>
      </c>
      <c r="Y299" s="648">
        <v>476280</v>
      </c>
      <c r="Z299" s="648">
        <v>871957.79</v>
      </c>
      <c r="AA299" s="641">
        <v>541800</v>
      </c>
      <c r="AB299" s="648">
        <v>0</v>
      </c>
      <c r="AC299" s="647">
        <v>2516761.79</v>
      </c>
      <c r="AD299" s="647">
        <v>2516724</v>
      </c>
      <c r="AE299" s="718">
        <v>-37.79</v>
      </c>
      <c r="AF299" s="618">
        <f t="shared" si="24"/>
        <v>4.3377181320122127E-3</v>
      </c>
    </row>
    <row r="300" spans="1:32" hidden="1" x14ac:dyDescent="0.25">
      <c r="A300" s="741" t="s">
        <v>845</v>
      </c>
      <c r="B300" s="740" t="s">
        <v>846</v>
      </c>
      <c r="C300" s="635">
        <f t="shared" si="25"/>
        <v>0</v>
      </c>
      <c r="D300" s="635">
        <f t="shared" si="26"/>
        <v>0</v>
      </c>
      <c r="E300" s="635">
        <f t="shared" si="27"/>
        <v>0</v>
      </c>
      <c r="F300" s="635">
        <f t="shared" si="28"/>
        <v>0</v>
      </c>
      <c r="G300" s="635">
        <f t="shared" si="29"/>
        <v>0</v>
      </c>
      <c r="H300" s="648">
        <v>0</v>
      </c>
      <c r="I300" s="648">
        <v>0</v>
      </c>
      <c r="J300" s="648">
        <v>0</v>
      </c>
      <c r="K300" s="648">
        <v>0</v>
      </c>
      <c r="L300" s="648">
        <v>0</v>
      </c>
      <c r="M300" s="648">
        <v>0</v>
      </c>
      <c r="N300" s="648">
        <v>0</v>
      </c>
      <c r="O300" s="648">
        <v>0</v>
      </c>
      <c r="P300" s="648">
        <v>0</v>
      </c>
      <c r="Q300" s="648">
        <v>0</v>
      </c>
      <c r="R300" s="648">
        <v>0</v>
      </c>
      <c r="S300" s="648">
        <v>0</v>
      </c>
      <c r="T300" s="648">
        <v>0</v>
      </c>
      <c r="U300" s="648">
        <v>0</v>
      </c>
      <c r="V300" s="648">
        <v>0</v>
      </c>
      <c r="W300" s="648">
        <v>0</v>
      </c>
      <c r="X300" s="648">
        <v>0</v>
      </c>
      <c r="Y300" s="648">
        <v>0</v>
      </c>
      <c r="Z300" s="648">
        <v>0</v>
      </c>
      <c r="AA300" s="641">
        <v>0</v>
      </c>
      <c r="AB300" s="648">
        <v>0</v>
      </c>
      <c r="AC300" s="647">
        <v>0</v>
      </c>
      <c r="AD300" s="647">
        <v>0</v>
      </c>
      <c r="AE300" s="718">
        <v>0</v>
      </c>
      <c r="AF300" s="618">
        <f t="shared" si="24"/>
        <v>0</v>
      </c>
    </row>
    <row r="301" spans="1:32" hidden="1" x14ac:dyDescent="0.25">
      <c r="A301" s="741" t="s">
        <v>847</v>
      </c>
      <c r="B301" s="740" t="s">
        <v>848</v>
      </c>
      <c r="C301" s="635">
        <f t="shared" si="25"/>
        <v>0</v>
      </c>
      <c r="D301" s="635">
        <f t="shared" si="26"/>
        <v>0</v>
      </c>
      <c r="E301" s="635">
        <f t="shared" si="27"/>
        <v>0</v>
      </c>
      <c r="F301" s="635">
        <f t="shared" si="28"/>
        <v>7083.92</v>
      </c>
      <c r="G301" s="635">
        <f t="shared" si="29"/>
        <v>0</v>
      </c>
      <c r="H301" s="648">
        <v>0</v>
      </c>
      <c r="I301" s="648">
        <v>0</v>
      </c>
      <c r="J301" s="648">
        <v>0</v>
      </c>
      <c r="K301" s="648">
        <v>0</v>
      </c>
      <c r="L301" s="648">
        <v>0</v>
      </c>
      <c r="M301" s="648">
        <v>0</v>
      </c>
      <c r="N301" s="648">
        <v>0</v>
      </c>
      <c r="O301" s="648">
        <v>0</v>
      </c>
      <c r="P301" s="648">
        <v>0</v>
      </c>
      <c r="Q301" s="648">
        <v>0</v>
      </c>
      <c r="R301" s="648">
        <v>0</v>
      </c>
      <c r="S301" s="648">
        <v>0</v>
      </c>
      <c r="T301" s="648">
        <v>0</v>
      </c>
      <c r="U301" s="648">
        <v>0</v>
      </c>
      <c r="V301" s="648">
        <v>7083.92</v>
      </c>
      <c r="W301" s="648">
        <v>0</v>
      </c>
      <c r="X301" s="648">
        <v>0</v>
      </c>
      <c r="Y301" s="648">
        <v>0</v>
      </c>
      <c r="Z301" s="648">
        <v>0</v>
      </c>
      <c r="AA301" s="641">
        <v>0</v>
      </c>
      <c r="AB301" s="648">
        <v>0</v>
      </c>
      <c r="AC301" s="647">
        <v>7083.92</v>
      </c>
      <c r="AD301" s="647">
        <v>7083.92</v>
      </c>
      <c r="AE301" s="718">
        <v>0</v>
      </c>
      <c r="AF301" s="618">
        <f t="shared" si="24"/>
        <v>1.2209359007204235E-5</v>
      </c>
    </row>
    <row r="302" spans="1:32" hidden="1" x14ac:dyDescent="0.25">
      <c r="A302" s="658" t="s">
        <v>481</v>
      </c>
      <c r="B302" s="659">
        <v>0</v>
      </c>
      <c r="C302" s="635">
        <f t="shared" si="25"/>
        <v>0</v>
      </c>
      <c r="D302" s="635">
        <f t="shared" si="26"/>
        <v>0</v>
      </c>
      <c r="E302" s="635">
        <f t="shared" si="27"/>
        <v>0</v>
      </c>
      <c r="F302" s="635">
        <f t="shared" si="28"/>
        <v>0</v>
      </c>
      <c r="G302" s="635">
        <f t="shared" si="29"/>
        <v>0</v>
      </c>
      <c r="H302" s="660">
        <v>0</v>
      </c>
      <c r="I302" s="660">
        <v>0</v>
      </c>
      <c r="J302" s="660">
        <v>0</v>
      </c>
      <c r="K302" s="660">
        <v>0</v>
      </c>
      <c r="L302" s="660">
        <v>0</v>
      </c>
      <c r="M302" s="660">
        <v>0</v>
      </c>
      <c r="N302" s="660">
        <v>0</v>
      </c>
      <c r="O302" s="660">
        <v>0</v>
      </c>
      <c r="P302" s="660">
        <v>0</v>
      </c>
      <c r="Q302" s="660">
        <v>0</v>
      </c>
      <c r="R302" s="660">
        <v>0</v>
      </c>
      <c r="S302" s="660">
        <v>0</v>
      </c>
      <c r="T302" s="660">
        <v>0</v>
      </c>
      <c r="U302" s="660">
        <v>0</v>
      </c>
      <c r="V302" s="660">
        <v>0</v>
      </c>
      <c r="W302" s="660">
        <v>0</v>
      </c>
      <c r="X302" s="660">
        <v>0</v>
      </c>
      <c r="Y302" s="660">
        <v>0</v>
      </c>
      <c r="Z302" s="660">
        <v>0</v>
      </c>
      <c r="AA302" s="661">
        <v>0</v>
      </c>
      <c r="AB302" s="660">
        <v>0</v>
      </c>
      <c r="AC302" s="647">
        <v>0</v>
      </c>
      <c r="AD302" s="647">
        <v>0</v>
      </c>
      <c r="AE302" s="643">
        <v>0</v>
      </c>
      <c r="AF302" s="618">
        <f t="shared" si="24"/>
        <v>0</v>
      </c>
    </row>
    <row r="303" spans="1:32" ht="25.5" hidden="1" x14ac:dyDescent="0.25">
      <c r="A303" s="658" t="s">
        <v>482</v>
      </c>
      <c r="B303" s="659">
        <v>0</v>
      </c>
      <c r="C303" s="635">
        <f t="shared" si="25"/>
        <v>0</v>
      </c>
      <c r="D303" s="635">
        <f t="shared" si="26"/>
        <v>0</v>
      </c>
      <c r="E303" s="635">
        <f t="shared" si="27"/>
        <v>0</v>
      </c>
      <c r="F303" s="635">
        <f t="shared" si="28"/>
        <v>0</v>
      </c>
      <c r="G303" s="635">
        <f t="shared" si="29"/>
        <v>0</v>
      </c>
      <c r="H303" s="660">
        <v>0</v>
      </c>
      <c r="I303" s="660">
        <v>0</v>
      </c>
      <c r="J303" s="660">
        <v>0</v>
      </c>
      <c r="K303" s="660">
        <v>0</v>
      </c>
      <c r="L303" s="660">
        <v>0</v>
      </c>
      <c r="M303" s="660">
        <v>0</v>
      </c>
      <c r="N303" s="660">
        <v>0</v>
      </c>
      <c r="O303" s="660">
        <v>0</v>
      </c>
      <c r="P303" s="660">
        <v>0</v>
      </c>
      <c r="Q303" s="660">
        <v>0</v>
      </c>
      <c r="R303" s="660">
        <v>0</v>
      </c>
      <c r="S303" s="660">
        <v>0</v>
      </c>
      <c r="T303" s="660">
        <v>0</v>
      </c>
      <c r="U303" s="660">
        <v>0</v>
      </c>
      <c r="V303" s="660">
        <v>0</v>
      </c>
      <c r="W303" s="660">
        <v>0</v>
      </c>
      <c r="X303" s="660">
        <v>0</v>
      </c>
      <c r="Y303" s="660">
        <v>0</v>
      </c>
      <c r="Z303" s="660">
        <v>0</v>
      </c>
      <c r="AA303" s="661">
        <v>0</v>
      </c>
      <c r="AB303" s="660">
        <v>0</v>
      </c>
      <c r="AC303" s="647">
        <v>0</v>
      </c>
      <c r="AD303" s="647">
        <v>0</v>
      </c>
      <c r="AE303" s="643">
        <v>0</v>
      </c>
      <c r="AF303" s="618">
        <f t="shared" si="24"/>
        <v>0</v>
      </c>
    </row>
    <row r="304" spans="1:32" hidden="1" x14ac:dyDescent="0.25">
      <c r="A304" s="658" t="s">
        <v>483</v>
      </c>
      <c r="B304" s="659"/>
      <c r="C304" s="635">
        <f t="shared" si="25"/>
        <v>0</v>
      </c>
      <c r="D304" s="635">
        <f t="shared" si="26"/>
        <v>0</v>
      </c>
      <c r="E304" s="635">
        <f t="shared" si="27"/>
        <v>0</v>
      </c>
      <c r="F304" s="635">
        <f t="shared" si="28"/>
        <v>0</v>
      </c>
      <c r="G304" s="635">
        <f t="shared" si="29"/>
        <v>0</v>
      </c>
      <c r="H304" s="660">
        <v>0</v>
      </c>
      <c r="I304" s="660">
        <v>0</v>
      </c>
      <c r="J304" s="660">
        <v>0</v>
      </c>
      <c r="K304" s="660">
        <v>0</v>
      </c>
      <c r="L304" s="660">
        <v>0</v>
      </c>
      <c r="M304" s="660">
        <v>0</v>
      </c>
      <c r="N304" s="660">
        <v>0</v>
      </c>
      <c r="O304" s="660">
        <v>0</v>
      </c>
      <c r="P304" s="660">
        <v>0</v>
      </c>
      <c r="Q304" s="660">
        <v>0</v>
      </c>
      <c r="R304" s="660">
        <v>0</v>
      </c>
      <c r="S304" s="660">
        <v>0</v>
      </c>
      <c r="T304" s="660">
        <v>0</v>
      </c>
      <c r="U304" s="660">
        <v>0</v>
      </c>
      <c r="V304" s="660">
        <v>0</v>
      </c>
      <c r="W304" s="660">
        <v>0</v>
      </c>
      <c r="X304" s="660">
        <v>0</v>
      </c>
      <c r="Y304" s="660">
        <v>0</v>
      </c>
      <c r="Z304" s="660">
        <v>0</v>
      </c>
      <c r="AA304" s="661">
        <v>0</v>
      </c>
      <c r="AB304" s="660"/>
      <c r="AC304" s="647">
        <v>0</v>
      </c>
      <c r="AD304" s="647">
        <v>21845.23</v>
      </c>
      <c r="AE304" s="643">
        <v>21845.23</v>
      </c>
      <c r="AF304" s="618">
        <f t="shared" si="24"/>
        <v>0</v>
      </c>
    </row>
    <row r="305" spans="1:32" hidden="1" x14ac:dyDescent="0.25">
      <c r="A305" s="708" t="s">
        <v>849</v>
      </c>
      <c r="B305" s="701" t="s">
        <v>583</v>
      </c>
      <c r="C305" s="635">
        <f t="shared" si="25"/>
        <v>0</v>
      </c>
      <c r="D305" s="635">
        <f t="shared" si="26"/>
        <v>0</v>
      </c>
      <c r="E305" s="635">
        <f t="shared" si="27"/>
        <v>0</v>
      </c>
      <c r="F305" s="635">
        <f t="shared" si="28"/>
        <v>236033.51000000021</v>
      </c>
      <c r="G305" s="635">
        <f t="shared" si="29"/>
        <v>523214.32920110191</v>
      </c>
      <c r="H305" s="662">
        <v>0</v>
      </c>
      <c r="I305" s="662">
        <v>0</v>
      </c>
      <c r="J305" s="662">
        <v>0</v>
      </c>
      <c r="K305" s="662">
        <v>0</v>
      </c>
      <c r="L305" s="662">
        <v>0</v>
      </c>
      <c r="M305" s="662">
        <v>0</v>
      </c>
      <c r="N305" s="662">
        <v>0</v>
      </c>
      <c r="O305" s="662">
        <v>0</v>
      </c>
      <c r="P305" s="662">
        <v>0</v>
      </c>
      <c r="Q305" s="662">
        <v>0</v>
      </c>
      <c r="R305" s="662">
        <v>0</v>
      </c>
      <c r="S305" s="662">
        <v>0</v>
      </c>
      <c r="T305" s="662">
        <v>0</v>
      </c>
      <c r="U305" s="662">
        <v>57345.32999999958</v>
      </c>
      <c r="V305" s="662">
        <v>89158.180000000633</v>
      </c>
      <c r="W305" s="662">
        <v>89530</v>
      </c>
      <c r="X305" s="662">
        <v>87623.25</v>
      </c>
      <c r="Y305" s="662">
        <v>122667.90999999999</v>
      </c>
      <c r="Z305" s="662">
        <v>114539.70999999999</v>
      </c>
      <c r="AA305" s="636">
        <v>198383.45920110194</v>
      </c>
      <c r="AB305" s="662">
        <v>-7.9999999936262611E-2</v>
      </c>
      <c r="AC305" s="638">
        <v>756933.51920110185</v>
      </c>
      <c r="AD305" s="662">
        <v>624544.27</v>
      </c>
      <c r="AE305" s="662">
        <v>-132389.25</v>
      </c>
      <c r="AF305" s="618">
        <f t="shared" si="24"/>
        <v>1.3045987363652855E-3</v>
      </c>
    </row>
    <row r="306" spans="1:32" hidden="1" x14ac:dyDescent="0.25">
      <c r="A306" s="691" t="s">
        <v>584</v>
      </c>
      <c r="B306" s="692"/>
      <c r="C306" s="635">
        <f t="shared" si="25"/>
        <v>0</v>
      </c>
      <c r="D306" s="635">
        <f t="shared" si="26"/>
        <v>0</v>
      </c>
      <c r="E306" s="635">
        <f t="shared" si="27"/>
        <v>0</v>
      </c>
      <c r="F306" s="635">
        <f t="shared" si="28"/>
        <v>195962.15</v>
      </c>
      <c r="G306" s="635">
        <f t="shared" si="29"/>
        <v>372211.54950413218</v>
      </c>
      <c r="H306" s="641"/>
      <c r="I306" s="641">
        <v>0</v>
      </c>
      <c r="J306" s="641">
        <v>0</v>
      </c>
      <c r="K306" s="641">
        <v>0</v>
      </c>
      <c r="L306" s="641">
        <v>0</v>
      </c>
      <c r="M306" s="641">
        <v>0</v>
      </c>
      <c r="N306" s="641">
        <v>0</v>
      </c>
      <c r="O306" s="641">
        <v>0</v>
      </c>
      <c r="P306" s="641">
        <v>0</v>
      </c>
      <c r="Q306" s="641">
        <v>0</v>
      </c>
      <c r="R306" s="645">
        <v>0</v>
      </c>
      <c r="S306" s="645">
        <v>0</v>
      </c>
      <c r="T306" s="645">
        <v>0</v>
      </c>
      <c r="U306" s="645">
        <v>49762.03</v>
      </c>
      <c r="V306" s="645">
        <v>74516.25</v>
      </c>
      <c r="W306" s="645">
        <v>71683.87</v>
      </c>
      <c r="X306" s="645">
        <v>74145.34</v>
      </c>
      <c r="Y306" s="645">
        <v>93634.02</v>
      </c>
      <c r="Z306" s="646">
        <v>80765.09</v>
      </c>
      <c r="AA306" s="641">
        <v>123667.09950413222</v>
      </c>
      <c r="AB306" s="645">
        <v>-8.0000000045401976E-2</v>
      </c>
      <c r="AC306" s="742">
        <v>568173.69950413215</v>
      </c>
      <c r="AD306" s="742">
        <v>518792.93</v>
      </c>
      <c r="AE306" s="742">
        <v>-49380.77</v>
      </c>
      <c r="AF306" s="618">
        <f t="shared" si="24"/>
        <v>9.7926524801202281E-4</v>
      </c>
    </row>
    <row r="307" spans="1:32" hidden="1" x14ac:dyDescent="0.25">
      <c r="A307" s="691" t="s">
        <v>585</v>
      </c>
      <c r="B307" s="692"/>
      <c r="C307" s="635">
        <f t="shared" si="25"/>
        <v>0</v>
      </c>
      <c r="D307" s="635">
        <f t="shared" si="26"/>
        <v>0</v>
      </c>
      <c r="E307" s="635">
        <f t="shared" si="27"/>
        <v>0</v>
      </c>
      <c r="F307" s="635">
        <f t="shared" si="28"/>
        <v>40071.360000000219</v>
      </c>
      <c r="G307" s="635">
        <f t="shared" si="29"/>
        <v>146069.86969696969</v>
      </c>
      <c r="H307" s="641"/>
      <c r="I307" s="641">
        <v>0</v>
      </c>
      <c r="J307" s="641">
        <v>0</v>
      </c>
      <c r="K307" s="641">
        <v>0</v>
      </c>
      <c r="L307" s="641">
        <v>0</v>
      </c>
      <c r="M307" s="641">
        <v>0</v>
      </c>
      <c r="N307" s="641">
        <v>0</v>
      </c>
      <c r="O307" s="641">
        <v>0</v>
      </c>
      <c r="P307" s="641">
        <v>0</v>
      </c>
      <c r="Q307" s="641">
        <v>0</v>
      </c>
      <c r="R307" s="645">
        <v>0</v>
      </c>
      <c r="S307" s="645">
        <v>0</v>
      </c>
      <c r="T307" s="645">
        <v>0</v>
      </c>
      <c r="U307" s="645">
        <v>7583.2999999995809</v>
      </c>
      <c r="V307" s="645">
        <v>14641.930000000633</v>
      </c>
      <c r="W307" s="645">
        <v>17846.13</v>
      </c>
      <c r="X307" s="645">
        <v>13477.91</v>
      </c>
      <c r="Y307" s="645">
        <v>29033.890000000003</v>
      </c>
      <c r="Z307" s="646">
        <v>33774.620000000003</v>
      </c>
      <c r="AA307" s="641">
        <v>69783.449696969692</v>
      </c>
      <c r="AB307" s="645">
        <v>1.0913936421275139E-10</v>
      </c>
      <c r="AC307" s="742">
        <v>183826.90969696967</v>
      </c>
      <c r="AD307" s="742">
        <v>99588.88</v>
      </c>
      <c r="AE307" s="742">
        <v>-84238.03</v>
      </c>
      <c r="AF307" s="618">
        <f t="shared" si="24"/>
        <v>3.1683146276005603E-4</v>
      </c>
    </row>
    <row r="308" spans="1:32" ht="25.5" hidden="1" x14ac:dyDescent="0.25">
      <c r="A308" s="658" t="s">
        <v>482</v>
      </c>
      <c r="B308" s="659"/>
      <c r="C308" s="635">
        <f t="shared" si="25"/>
        <v>0</v>
      </c>
      <c r="D308" s="635">
        <f t="shared" si="26"/>
        <v>0</v>
      </c>
      <c r="E308" s="635">
        <f t="shared" si="27"/>
        <v>0</v>
      </c>
      <c r="F308" s="635">
        <f t="shared" si="28"/>
        <v>0</v>
      </c>
      <c r="G308" s="635">
        <f t="shared" si="29"/>
        <v>0</v>
      </c>
      <c r="H308" s="660">
        <v>0</v>
      </c>
      <c r="I308" s="660">
        <v>0</v>
      </c>
      <c r="J308" s="660">
        <v>0</v>
      </c>
      <c r="K308" s="660">
        <v>0</v>
      </c>
      <c r="L308" s="660">
        <v>0</v>
      </c>
      <c r="M308" s="660">
        <v>0</v>
      </c>
      <c r="N308" s="660">
        <v>0</v>
      </c>
      <c r="O308" s="660">
        <v>0</v>
      </c>
      <c r="P308" s="660">
        <v>0</v>
      </c>
      <c r="Q308" s="660">
        <v>0</v>
      </c>
      <c r="R308" s="660">
        <v>0</v>
      </c>
      <c r="S308" s="660">
        <v>0</v>
      </c>
      <c r="T308" s="660">
        <v>0</v>
      </c>
      <c r="U308" s="660">
        <v>0</v>
      </c>
      <c r="V308" s="660">
        <v>0</v>
      </c>
      <c r="W308" s="660">
        <v>0</v>
      </c>
      <c r="X308" s="660">
        <v>0</v>
      </c>
      <c r="Y308" s="660">
        <v>0</v>
      </c>
      <c r="Z308" s="660">
        <v>0</v>
      </c>
      <c r="AA308" s="661">
        <v>0</v>
      </c>
      <c r="AB308" s="660">
        <v>0</v>
      </c>
      <c r="AC308" s="647">
        <v>0</v>
      </c>
      <c r="AD308" s="647">
        <v>0</v>
      </c>
      <c r="AE308" s="643">
        <v>0</v>
      </c>
      <c r="AF308" s="618">
        <f t="shared" si="24"/>
        <v>0</v>
      </c>
    </row>
    <row r="309" spans="1:32" hidden="1" x14ac:dyDescent="0.25">
      <c r="A309" s="658" t="s">
        <v>483</v>
      </c>
      <c r="B309" s="659"/>
      <c r="C309" s="635">
        <f t="shared" si="25"/>
        <v>0</v>
      </c>
      <c r="D309" s="635">
        <f t="shared" si="26"/>
        <v>0</v>
      </c>
      <c r="E309" s="635">
        <f t="shared" si="27"/>
        <v>0</v>
      </c>
      <c r="F309" s="635">
        <f t="shared" si="28"/>
        <v>0</v>
      </c>
      <c r="G309" s="635">
        <f t="shared" si="29"/>
        <v>4932.91</v>
      </c>
      <c r="H309" s="660"/>
      <c r="I309" s="660"/>
      <c r="J309" s="660"/>
      <c r="K309" s="660"/>
      <c r="L309" s="660"/>
      <c r="M309" s="660"/>
      <c r="N309" s="660"/>
      <c r="O309" s="660">
        <v>0</v>
      </c>
      <c r="P309" s="660">
        <v>0</v>
      </c>
      <c r="Q309" s="660">
        <v>0</v>
      </c>
      <c r="R309" s="660">
        <v>0</v>
      </c>
      <c r="S309" s="660">
        <v>0</v>
      </c>
      <c r="T309" s="660">
        <v>0</v>
      </c>
      <c r="U309" s="660">
        <v>0</v>
      </c>
      <c r="V309" s="660">
        <v>0</v>
      </c>
      <c r="W309" s="660">
        <v>0</v>
      </c>
      <c r="X309" s="660">
        <v>0</v>
      </c>
      <c r="Y309" s="660">
        <v>0</v>
      </c>
      <c r="Z309" s="661">
        <v>0</v>
      </c>
      <c r="AA309" s="661">
        <v>4932.91</v>
      </c>
      <c r="AB309" s="660"/>
      <c r="AC309" s="647">
        <v>4932.91</v>
      </c>
      <c r="AD309" s="647">
        <v>6162.46</v>
      </c>
      <c r="AE309" s="643">
        <v>1229.55</v>
      </c>
      <c r="AF309" s="618">
        <f t="shared" si="24"/>
        <v>8.5020255932065643E-6</v>
      </c>
    </row>
    <row r="310" spans="1:32" hidden="1" x14ac:dyDescent="0.25">
      <c r="A310" s="708" t="s">
        <v>850</v>
      </c>
      <c r="B310" s="701" t="s">
        <v>583</v>
      </c>
      <c r="C310" s="635">
        <f t="shared" si="25"/>
        <v>0</v>
      </c>
      <c r="D310" s="635">
        <f t="shared" si="26"/>
        <v>0</v>
      </c>
      <c r="E310" s="635">
        <f t="shared" si="27"/>
        <v>0</v>
      </c>
      <c r="F310" s="635">
        <f t="shared" si="28"/>
        <v>1028851.0099999998</v>
      </c>
      <c r="G310" s="635">
        <f t="shared" si="29"/>
        <v>1490893.5815151515</v>
      </c>
      <c r="H310" s="662">
        <v>0</v>
      </c>
      <c r="I310" s="662">
        <v>0</v>
      </c>
      <c r="J310" s="662">
        <v>0</v>
      </c>
      <c r="K310" s="662">
        <v>0</v>
      </c>
      <c r="L310" s="662">
        <v>0</v>
      </c>
      <c r="M310" s="662">
        <v>0</v>
      </c>
      <c r="N310" s="662">
        <v>0</v>
      </c>
      <c r="O310" s="662">
        <v>0</v>
      </c>
      <c r="P310" s="662">
        <v>0</v>
      </c>
      <c r="Q310" s="662">
        <v>0</v>
      </c>
      <c r="R310" s="662">
        <v>0</v>
      </c>
      <c r="S310" s="662">
        <v>0</v>
      </c>
      <c r="T310" s="662">
        <v>0</v>
      </c>
      <c r="U310" s="662">
        <v>313290.80000000028</v>
      </c>
      <c r="V310" s="662">
        <v>373124.08999999933</v>
      </c>
      <c r="W310" s="662">
        <v>342436.12000000005</v>
      </c>
      <c r="X310" s="662">
        <v>386622.78</v>
      </c>
      <c r="Y310" s="662">
        <v>292643.3</v>
      </c>
      <c r="Z310" s="662">
        <v>306993.26999999973</v>
      </c>
      <c r="AA310" s="636">
        <v>504634.23151515162</v>
      </c>
      <c r="AB310" s="662">
        <v>122602.26571371127</v>
      </c>
      <c r="AC310" s="638">
        <v>2513524.3215151513</v>
      </c>
      <c r="AD310" s="662">
        <v>2841565.5999999996</v>
      </c>
      <c r="AE310" s="662">
        <v>328041.28000000003</v>
      </c>
      <c r="AF310" s="618">
        <f t="shared" si="24"/>
        <v>4.3321382532154409E-3</v>
      </c>
    </row>
    <row r="311" spans="1:32" hidden="1" x14ac:dyDescent="0.25">
      <c r="A311" s="691" t="s">
        <v>584</v>
      </c>
      <c r="B311" s="692"/>
      <c r="C311" s="635">
        <f t="shared" si="25"/>
        <v>0</v>
      </c>
      <c r="D311" s="635">
        <f t="shared" si="26"/>
        <v>0</v>
      </c>
      <c r="E311" s="635">
        <f t="shared" si="27"/>
        <v>0</v>
      </c>
      <c r="F311" s="635">
        <f t="shared" si="28"/>
        <v>862156.56</v>
      </c>
      <c r="G311" s="635">
        <f t="shared" si="29"/>
        <v>1227463.5</v>
      </c>
      <c r="H311" s="641"/>
      <c r="I311" s="641">
        <v>0</v>
      </c>
      <c r="J311" s="641">
        <v>0</v>
      </c>
      <c r="K311" s="641">
        <v>0</v>
      </c>
      <c r="L311" s="641">
        <v>0</v>
      </c>
      <c r="M311" s="641">
        <v>0</v>
      </c>
      <c r="N311" s="641">
        <v>0</v>
      </c>
      <c r="O311" s="641">
        <v>0</v>
      </c>
      <c r="P311" s="641">
        <v>0</v>
      </c>
      <c r="Q311" s="641">
        <v>0</v>
      </c>
      <c r="R311" s="645">
        <v>0</v>
      </c>
      <c r="S311" s="645">
        <v>0</v>
      </c>
      <c r="T311" s="645">
        <v>0</v>
      </c>
      <c r="U311" s="645">
        <v>278299.71999999997</v>
      </c>
      <c r="V311" s="645">
        <v>282667.38</v>
      </c>
      <c r="W311" s="645">
        <v>301189.46000000002</v>
      </c>
      <c r="X311" s="645">
        <v>290685.58</v>
      </c>
      <c r="Y311" s="645">
        <v>243315.06</v>
      </c>
      <c r="Z311" s="646">
        <v>253948.11</v>
      </c>
      <c r="AA311" s="641">
        <v>439514.75000000006</v>
      </c>
      <c r="AB311" s="645">
        <v>-3027.1700000001583</v>
      </c>
      <c r="AC311" s="742">
        <v>2089620.06</v>
      </c>
      <c r="AD311" s="742">
        <v>2326663.19</v>
      </c>
      <c r="AE311" s="742">
        <v>237043.13</v>
      </c>
      <c r="AF311" s="618">
        <f t="shared" si="24"/>
        <v>3.6015259208454719E-3</v>
      </c>
    </row>
    <row r="312" spans="1:32" hidden="1" x14ac:dyDescent="0.25">
      <c r="A312" s="691" t="s">
        <v>585</v>
      </c>
      <c r="B312" s="692"/>
      <c r="C312" s="635">
        <f t="shared" si="25"/>
        <v>0</v>
      </c>
      <c r="D312" s="635">
        <f t="shared" si="26"/>
        <v>0</v>
      </c>
      <c r="E312" s="635">
        <f t="shared" si="27"/>
        <v>0</v>
      </c>
      <c r="F312" s="635">
        <f t="shared" si="28"/>
        <v>166694.44999999963</v>
      </c>
      <c r="G312" s="635">
        <f t="shared" si="29"/>
        <v>261435.18151515129</v>
      </c>
      <c r="H312" s="641"/>
      <c r="I312" s="641">
        <v>0</v>
      </c>
      <c r="J312" s="641">
        <v>0</v>
      </c>
      <c r="K312" s="641">
        <v>0</v>
      </c>
      <c r="L312" s="641">
        <v>0</v>
      </c>
      <c r="M312" s="641">
        <v>0</v>
      </c>
      <c r="N312" s="641">
        <v>0</v>
      </c>
      <c r="O312" s="641">
        <v>0</v>
      </c>
      <c r="P312" s="641">
        <v>0</v>
      </c>
      <c r="Q312" s="641">
        <v>0</v>
      </c>
      <c r="R312" s="645">
        <v>0</v>
      </c>
      <c r="S312" s="645">
        <v>0</v>
      </c>
      <c r="T312" s="645">
        <v>0</v>
      </c>
      <c r="U312" s="645">
        <v>34991.080000000307</v>
      </c>
      <c r="V312" s="645">
        <v>90456.709999999322</v>
      </c>
      <c r="W312" s="645">
        <v>41246.660000000003</v>
      </c>
      <c r="X312" s="645">
        <v>95937.2</v>
      </c>
      <c r="Y312" s="645">
        <v>49328.240000000005</v>
      </c>
      <c r="Z312" s="646">
        <v>53045.159999999778</v>
      </c>
      <c r="AA312" s="641">
        <v>63124.581515151513</v>
      </c>
      <c r="AB312" s="645">
        <v>-316.74000000012711</v>
      </c>
      <c r="AC312" s="742">
        <v>421909.36151515134</v>
      </c>
      <c r="AD312" s="742">
        <v>481388.4</v>
      </c>
      <c r="AE312" s="742">
        <v>59479.040000000001</v>
      </c>
      <c r="AF312" s="618">
        <f t="shared" si="24"/>
        <v>7.2717405945278897E-4</v>
      </c>
    </row>
    <row r="313" spans="1:32" ht="25.5" hidden="1" x14ac:dyDescent="0.25">
      <c r="A313" s="658" t="s">
        <v>482</v>
      </c>
      <c r="B313" s="659"/>
      <c r="C313" s="635">
        <f t="shared" si="25"/>
        <v>0</v>
      </c>
      <c r="D313" s="635">
        <f t="shared" si="26"/>
        <v>0</v>
      </c>
      <c r="E313" s="635">
        <f t="shared" si="27"/>
        <v>0</v>
      </c>
      <c r="F313" s="635">
        <f t="shared" si="28"/>
        <v>0</v>
      </c>
      <c r="G313" s="635">
        <f t="shared" si="29"/>
        <v>0</v>
      </c>
      <c r="H313" s="660">
        <v>0</v>
      </c>
      <c r="I313" s="660">
        <v>0</v>
      </c>
      <c r="J313" s="660">
        <v>0</v>
      </c>
      <c r="K313" s="660">
        <v>0</v>
      </c>
      <c r="L313" s="660">
        <v>0</v>
      </c>
      <c r="M313" s="660">
        <v>0</v>
      </c>
      <c r="N313" s="660">
        <v>0</v>
      </c>
      <c r="O313" s="660">
        <v>0</v>
      </c>
      <c r="P313" s="660">
        <v>0</v>
      </c>
      <c r="Q313" s="660">
        <v>0</v>
      </c>
      <c r="R313" s="660">
        <v>0</v>
      </c>
      <c r="S313" s="660">
        <v>0</v>
      </c>
      <c r="T313" s="660">
        <v>0</v>
      </c>
      <c r="U313" s="660">
        <v>0</v>
      </c>
      <c r="V313" s="660">
        <v>0</v>
      </c>
      <c r="W313" s="660">
        <v>0</v>
      </c>
      <c r="X313" s="660">
        <v>0</v>
      </c>
      <c r="Y313" s="660">
        <v>0</v>
      </c>
      <c r="Z313" s="660">
        <v>0</v>
      </c>
      <c r="AA313" s="661">
        <v>0</v>
      </c>
      <c r="AB313" s="660">
        <v>125946.17571371155</v>
      </c>
      <c r="AC313" s="647">
        <v>0</v>
      </c>
      <c r="AD313" s="647">
        <v>0</v>
      </c>
      <c r="AE313" s="643">
        <v>0</v>
      </c>
      <c r="AF313" s="618">
        <f t="shared" si="24"/>
        <v>0</v>
      </c>
    </row>
    <row r="314" spans="1:32" hidden="1" x14ac:dyDescent="0.25">
      <c r="A314" s="658" t="s">
        <v>483</v>
      </c>
      <c r="B314" s="659"/>
      <c r="C314" s="635">
        <f t="shared" si="25"/>
        <v>0</v>
      </c>
      <c r="D314" s="635">
        <f t="shared" si="26"/>
        <v>0</v>
      </c>
      <c r="E314" s="635">
        <f t="shared" si="27"/>
        <v>0</v>
      </c>
      <c r="F314" s="635">
        <f t="shared" si="28"/>
        <v>0</v>
      </c>
      <c r="G314" s="635">
        <f t="shared" si="29"/>
        <v>1994.9</v>
      </c>
      <c r="H314" s="660"/>
      <c r="I314" s="660"/>
      <c r="J314" s="660"/>
      <c r="K314" s="660"/>
      <c r="L314" s="660"/>
      <c r="M314" s="660"/>
      <c r="N314" s="660"/>
      <c r="O314" s="660">
        <v>0</v>
      </c>
      <c r="P314" s="660">
        <v>0</v>
      </c>
      <c r="Q314" s="660">
        <v>0</v>
      </c>
      <c r="R314" s="660">
        <v>0</v>
      </c>
      <c r="S314" s="660">
        <v>0</v>
      </c>
      <c r="T314" s="660">
        <v>0</v>
      </c>
      <c r="U314" s="660">
        <v>0</v>
      </c>
      <c r="V314" s="660">
        <v>0</v>
      </c>
      <c r="W314" s="660">
        <v>0</v>
      </c>
      <c r="X314" s="660">
        <v>0</v>
      </c>
      <c r="Y314" s="660">
        <v>0</v>
      </c>
      <c r="Z314" s="743">
        <v>0</v>
      </c>
      <c r="AA314" s="661">
        <v>1994.9</v>
      </c>
      <c r="AB314" s="744"/>
      <c r="AC314" s="647">
        <v>1994.9</v>
      </c>
      <c r="AD314" s="647">
        <v>33514.01</v>
      </c>
      <c r="AE314" s="643">
        <v>31519.11</v>
      </c>
      <c r="AF314" s="618">
        <f t="shared" si="24"/>
        <v>3.43827291718028E-6</v>
      </c>
    </row>
    <row r="315" spans="1:32" hidden="1" x14ac:dyDescent="0.25">
      <c r="A315" s="693" t="s">
        <v>851</v>
      </c>
      <c r="B315" s="694">
        <v>0</v>
      </c>
      <c r="C315" s="635">
        <f t="shared" si="25"/>
        <v>310180.51</v>
      </c>
      <c r="D315" s="635">
        <f t="shared" si="26"/>
        <v>1879734</v>
      </c>
      <c r="E315" s="635">
        <f t="shared" si="27"/>
        <v>9894948.3699999992</v>
      </c>
      <c r="F315" s="635">
        <f t="shared" si="28"/>
        <v>26124136.899999999</v>
      </c>
      <c r="G315" s="635">
        <f t="shared" si="29"/>
        <v>51377523.244655646</v>
      </c>
      <c r="H315" s="697">
        <v>0</v>
      </c>
      <c r="I315" s="697">
        <v>0</v>
      </c>
      <c r="J315" s="697">
        <v>0</v>
      </c>
      <c r="K315" s="697">
        <v>310180.51</v>
      </c>
      <c r="L315" s="697">
        <v>56193.98000000001</v>
      </c>
      <c r="M315" s="697">
        <v>292351.81999999995</v>
      </c>
      <c r="N315" s="697">
        <v>630077.96</v>
      </c>
      <c r="O315" s="697">
        <v>901110.24</v>
      </c>
      <c r="P315" s="697">
        <v>1632344.9</v>
      </c>
      <c r="Q315" s="711">
        <v>2179283.8499999996</v>
      </c>
      <c r="R315" s="697">
        <v>3383386.04</v>
      </c>
      <c r="S315" s="697">
        <v>2699933.58</v>
      </c>
      <c r="T315" s="697">
        <v>3809905.81</v>
      </c>
      <c r="U315" s="697">
        <v>4841130.8499999996</v>
      </c>
      <c r="V315" s="697">
        <v>9988277.8200000003</v>
      </c>
      <c r="W315" s="697">
        <v>7484822.4199999999</v>
      </c>
      <c r="X315" s="697">
        <v>5310522.8199999994</v>
      </c>
      <c r="Y315" s="697">
        <v>8150812.7800000003</v>
      </c>
      <c r="Z315" s="697">
        <v>9902767.5399999991</v>
      </c>
      <c r="AA315" s="697">
        <v>28013420.104655646</v>
      </c>
      <c r="AB315" s="697">
        <v>10786494.833341409</v>
      </c>
      <c r="AC315" s="697">
        <v>84576983.354655653</v>
      </c>
      <c r="AD315" s="697">
        <v>96149855.559999973</v>
      </c>
      <c r="AE315" s="697">
        <v>11572872.210000001</v>
      </c>
      <c r="AF315" s="618">
        <f t="shared" si="24"/>
        <v>0.14577109192697371</v>
      </c>
    </row>
    <row r="316" spans="1:32" hidden="1" x14ac:dyDescent="0.25">
      <c r="A316" s="699" t="s">
        <v>852</v>
      </c>
      <c r="B316" s="712"/>
      <c r="C316" s="635">
        <f t="shared" si="25"/>
        <v>0</v>
      </c>
      <c r="D316" s="635">
        <f t="shared" si="26"/>
        <v>0</v>
      </c>
      <c r="E316" s="635">
        <f t="shared" si="27"/>
        <v>0</v>
      </c>
      <c r="F316" s="635">
        <f t="shared" si="28"/>
        <v>0</v>
      </c>
      <c r="G316" s="635">
        <f t="shared" si="29"/>
        <v>0</v>
      </c>
      <c r="H316" s="745"/>
      <c r="I316" s="745"/>
      <c r="J316" s="745"/>
      <c r="K316" s="745"/>
      <c r="L316" s="745"/>
      <c r="M316" s="745"/>
      <c r="N316" s="745"/>
      <c r="O316" s="745"/>
      <c r="P316" s="745">
        <v>0</v>
      </c>
      <c r="Q316" s="746">
        <v>0</v>
      </c>
      <c r="R316" s="745">
        <v>0</v>
      </c>
      <c r="S316" s="745">
        <v>0</v>
      </c>
      <c r="T316" s="745">
        <v>0</v>
      </c>
      <c r="U316" s="745">
        <v>0</v>
      </c>
      <c r="V316" s="745">
        <v>0</v>
      </c>
      <c r="W316" s="745">
        <v>0</v>
      </c>
      <c r="X316" s="745">
        <v>0</v>
      </c>
      <c r="Y316" s="745">
        <v>0</v>
      </c>
      <c r="Z316" s="745">
        <v>0</v>
      </c>
      <c r="AA316" s="745">
        <v>0</v>
      </c>
      <c r="AB316" s="745"/>
      <c r="AC316" s="747"/>
      <c r="AD316" s="747">
        <v>0</v>
      </c>
      <c r="AE316" s="747">
        <v>0</v>
      </c>
      <c r="AF316" s="618">
        <f t="shared" si="24"/>
        <v>0</v>
      </c>
    </row>
    <row r="317" spans="1:32" hidden="1" x14ac:dyDescent="0.25">
      <c r="A317" s="634" t="s">
        <v>853</v>
      </c>
      <c r="B317" s="701" t="s">
        <v>854</v>
      </c>
      <c r="C317" s="635">
        <f t="shared" si="25"/>
        <v>6432618</v>
      </c>
      <c r="D317" s="635">
        <f t="shared" si="26"/>
        <v>12401513.17</v>
      </c>
      <c r="E317" s="635">
        <f t="shared" si="27"/>
        <v>88059.33</v>
      </c>
      <c r="F317" s="635">
        <f t="shared" si="28"/>
        <v>6436105.8999999994</v>
      </c>
      <c r="G317" s="635">
        <f t="shared" si="29"/>
        <v>5336825.87</v>
      </c>
      <c r="H317" s="662">
        <v>0</v>
      </c>
      <c r="I317" s="662">
        <v>0</v>
      </c>
      <c r="J317" s="662">
        <v>6432618</v>
      </c>
      <c r="K317" s="662">
        <v>0</v>
      </c>
      <c r="L317" s="662">
        <v>6308318.8799999999</v>
      </c>
      <c r="M317" s="662">
        <v>0</v>
      </c>
      <c r="N317" s="662">
        <v>5996309.7999999998</v>
      </c>
      <c r="O317" s="662">
        <v>96884.49</v>
      </c>
      <c r="P317" s="662">
        <v>6477.07</v>
      </c>
      <c r="Q317" s="662">
        <v>77704.3</v>
      </c>
      <c r="R317" s="662">
        <v>3877.96</v>
      </c>
      <c r="S317" s="662">
        <v>0</v>
      </c>
      <c r="T317" s="662">
        <v>6262753.7400000002</v>
      </c>
      <c r="U317" s="662">
        <v>1276.3100000000002</v>
      </c>
      <c r="V317" s="662">
        <v>163347.13</v>
      </c>
      <c r="W317" s="662">
        <v>8728.7199999999993</v>
      </c>
      <c r="X317" s="662">
        <v>269312.32</v>
      </c>
      <c r="Y317" s="662">
        <v>37732.130000000005</v>
      </c>
      <c r="Z317" s="662">
        <v>28481.96</v>
      </c>
      <c r="AA317" s="636">
        <v>5001299.46</v>
      </c>
      <c r="AB317" s="662">
        <v>663.66</v>
      </c>
      <c r="AC317" s="638">
        <v>30695122.270000003</v>
      </c>
      <c r="AD317" s="662">
        <v>30695785.93</v>
      </c>
      <c r="AE317" s="638">
        <v>663.66</v>
      </c>
      <c r="AF317" s="618">
        <f t="shared" si="24"/>
        <v>5.2904009018235644E-2</v>
      </c>
    </row>
    <row r="318" spans="1:32" hidden="1" x14ac:dyDescent="0.25">
      <c r="A318" s="715" t="s">
        <v>855</v>
      </c>
      <c r="B318" s="716" t="s">
        <v>856</v>
      </c>
      <c r="C318" s="635">
        <f t="shared" si="25"/>
        <v>6432618</v>
      </c>
      <c r="D318" s="635">
        <f t="shared" si="26"/>
        <v>12304628.68</v>
      </c>
      <c r="E318" s="635">
        <f t="shared" si="27"/>
        <v>0</v>
      </c>
      <c r="F318" s="635">
        <f t="shared" si="28"/>
        <v>6262753.3200000003</v>
      </c>
      <c r="G318" s="635">
        <f t="shared" si="29"/>
        <v>5000000</v>
      </c>
      <c r="H318" s="668">
        <v>0</v>
      </c>
      <c r="I318" s="668">
        <v>0</v>
      </c>
      <c r="J318" s="668">
        <v>6432618</v>
      </c>
      <c r="K318" s="668">
        <v>0</v>
      </c>
      <c r="L318" s="668">
        <v>6308318.8799999999</v>
      </c>
      <c r="M318" s="668">
        <v>0</v>
      </c>
      <c r="N318" s="668">
        <v>5996309.7999999998</v>
      </c>
      <c r="O318" s="668">
        <v>0</v>
      </c>
      <c r="P318" s="668">
        <v>0</v>
      </c>
      <c r="Q318" s="668">
        <v>0</v>
      </c>
      <c r="R318" s="668">
        <v>0</v>
      </c>
      <c r="S318" s="668">
        <v>0</v>
      </c>
      <c r="T318" s="668">
        <v>6262753.4400000004</v>
      </c>
      <c r="U318" s="668">
        <v>-0.12</v>
      </c>
      <c r="V318" s="668">
        <v>0</v>
      </c>
      <c r="W318" s="668">
        <v>0</v>
      </c>
      <c r="X318" s="668">
        <v>0</v>
      </c>
      <c r="Y318" s="668">
        <v>0</v>
      </c>
      <c r="Z318" s="668">
        <v>0</v>
      </c>
      <c r="AA318" s="666">
        <v>5000000</v>
      </c>
      <c r="AB318" s="668">
        <v>0</v>
      </c>
      <c r="AC318" s="643">
        <v>30000000</v>
      </c>
      <c r="AD318" s="643">
        <v>30000000</v>
      </c>
      <c r="AE318" s="718">
        <v>0</v>
      </c>
      <c r="AF318" s="618">
        <f t="shared" si="24"/>
        <v>5.170594391468665E-2</v>
      </c>
    </row>
    <row r="319" spans="1:32" hidden="1" x14ac:dyDescent="0.25">
      <c r="A319" s="715" t="s">
        <v>857</v>
      </c>
      <c r="B319" s="716" t="s">
        <v>856</v>
      </c>
      <c r="C319" s="635">
        <f t="shared" si="25"/>
        <v>6432618</v>
      </c>
      <c r="D319" s="635">
        <f t="shared" si="26"/>
        <v>12304628.68</v>
      </c>
      <c r="E319" s="635">
        <f t="shared" si="27"/>
        <v>0</v>
      </c>
      <c r="F319" s="635">
        <f t="shared" si="28"/>
        <v>6262753.3200000003</v>
      </c>
      <c r="G319" s="635">
        <f t="shared" si="29"/>
        <v>0</v>
      </c>
      <c r="H319" s="668">
        <v>0</v>
      </c>
      <c r="I319" s="668">
        <v>0</v>
      </c>
      <c r="J319" s="668">
        <v>6432618</v>
      </c>
      <c r="K319" s="668">
        <v>0</v>
      </c>
      <c r="L319" s="668">
        <v>6308318.8799999999</v>
      </c>
      <c r="M319" s="668">
        <v>0</v>
      </c>
      <c r="N319" s="668">
        <v>5996309.7999999998</v>
      </c>
      <c r="O319" s="668">
        <v>0</v>
      </c>
      <c r="P319" s="668">
        <v>0</v>
      </c>
      <c r="Q319" s="668">
        <v>0</v>
      </c>
      <c r="R319" s="668">
        <v>0</v>
      </c>
      <c r="S319" s="668">
        <v>0</v>
      </c>
      <c r="T319" s="668">
        <v>6262753.4400000004</v>
      </c>
      <c r="U319" s="668">
        <v>-0.12</v>
      </c>
      <c r="V319" s="668">
        <v>0</v>
      </c>
      <c r="W319" s="668">
        <v>0</v>
      </c>
      <c r="X319" s="668">
        <v>0</v>
      </c>
      <c r="Y319" s="668">
        <v>0</v>
      </c>
      <c r="Z319" s="668">
        <v>0</v>
      </c>
      <c r="AA319" s="666">
        <v>0</v>
      </c>
      <c r="AB319" s="668">
        <v>0</v>
      </c>
      <c r="AC319" s="643">
        <v>25000000</v>
      </c>
      <c r="AD319" s="643">
        <v>25000000</v>
      </c>
      <c r="AE319" s="718">
        <v>0</v>
      </c>
      <c r="AF319" s="618">
        <f t="shared" si="24"/>
        <v>4.3088286595572206E-2</v>
      </c>
    </row>
    <row r="320" spans="1:32" hidden="1" x14ac:dyDescent="0.25">
      <c r="A320" s="715" t="s">
        <v>858</v>
      </c>
      <c r="B320" s="716" t="s">
        <v>859</v>
      </c>
      <c r="C320" s="635">
        <f t="shared" si="25"/>
        <v>0</v>
      </c>
      <c r="D320" s="635">
        <f t="shared" si="26"/>
        <v>0</v>
      </c>
      <c r="E320" s="635">
        <f t="shared" si="27"/>
        <v>0</v>
      </c>
      <c r="F320" s="635">
        <f t="shared" si="28"/>
        <v>0</v>
      </c>
      <c r="G320" s="635">
        <f t="shared" si="29"/>
        <v>5000000</v>
      </c>
      <c r="H320" s="668"/>
      <c r="I320" s="668"/>
      <c r="J320" s="668"/>
      <c r="K320" s="668"/>
      <c r="L320" s="668"/>
      <c r="M320" s="668"/>
      <c r="N320" s="668"/>
      <c r="O320" s="668"/>
      <c r="P320" s="668"/>
      <c r="Q320" s="668"/>
      <c r="R320" s="668"/>
      <c r="S320" s="668"/>
      <c r="T320" s="668"/>
      <c r="U320" s="668"/>
      <c r="V320" s="668"/>
      <c r="W320" s="668"/>
      <c r="X320" s="668"/>
      <c r="Y320" s="668">
        <v>0</v>
      </c>
      <c r="Z320" s="668">
        <v>0</v>
      </c>
      <c r="AA320" s="666">
        <v>5000000</v>
      </c>
      <c r="AB320" s="668">
        <v>0</v>
      </c>
      <c r="AC320" s="643">
        <v>5000000</v>
      </c>
      <c r="AD320" s="643">
        <v>5000000</v>
      </c>
      <c r="AE320" s="718">
        <v>0</v>
      </c>
      <c r="AF320" s="618">
        <f t="shared" si="24"/>
        <v>8.6176573191144423E-3</v>
      </c>
    </row>
    <row r="321" spans="1:32" hidden="1" x14ac:dyDescent="0.25">
      <c r="A321" s="715" t="s">
        <v>860</v>
      </c>
      <c r="B321" s="716" t="s">
        <v>861</v>
      </c>
      <c r="C321" s="635">
        <f t="shared" si="25"/>
        <v>0</v>
      </c>
      <c r="D321" s="635">
        <f t="shared" si="26"/>
        <v>96884.49</v>
      </c>
      <c r="E321" s="635">
        <f t="shared" si="27"/>
        <v>88059.33</v>
      </c>
      <c r="F321" s="635">
        <f t="shared" si="28"/>
        <v>173352.58000000002</v>
      </c>
      <c r="G321" s="635">
        <f t="shared" si="29"/>
        <v>336825.87000000005</v>
      </c>
      <c r="H321" s="668">
        <v>0</v>
      </c>
      <c r="I321" s="668">
        <v>0</v>
      </c>
      <c r="J321" s="668">
        <v>0</v>
      </c>
      <c r="K321" s="668">
        <v>0</v>
      </c>
      <c r="L321" s="668">
        <v>0</v>
      </c>
      <c r="M321" s="668">
        <v>0</v>
      </c>
      <c r="N321" s="668">
        <v>0</v>
      </c>
      <c r="O321" s="668">
        <v>96884.49</v>
      </c>
      <c r="P321" s="668">
        <v>6477.07</v>
      </c>
      <c r="Q321" s="668">
        <v>77704.3</v>
      </c>
      <c r="R321" s="668">
        <v>3877.96</v>
      </c>
      <c r="S321" s="668">
        <v>0</v>
      </c>
      <c r="T321" s="668">
        <v>0.2999999999992724</v>
      </c>
      <c r="U321" s="668">
        <v>1276.43</v>
      </c>
      <c r="V321" s="668">
        <v>163347.13</v>
      </c>
      <c r="W321" s="668">
        <v>8728.7199999999993</v>
      </c>
      <c r="X321" s="668">
        <v>269312.32</v>
      </c>
      <c r="Y321" s="668">
        <v>37732.130000000005</v>
      </c>
      <c r="Z321" s="668">
        <v>28481.96</v>
      </c>
      <c r="AA321" s="666">
        <v>1299.46</v>
      </c>
      <c r="AB321" s="668">
        <v>0</v>
      </c>
      <c r="AC321" s="643">
        <v>695122.2699999999</v>
      </c>
      <c r="AD321" s="643">
        <v>694704.55</v>
      </c>
      <c r="AE321" s="718">
        <v>-417.72</v>
      </c>
      <c r="AF321" s="618">
        <f t="shared" si="24"/>
        <v>1.1980651035489887E-3</v>
      </c>
    </row>
    <row r="322" spans="1:32" hidden="1" x14ac:dyDescent="0.25">
      <c r="A322" s="725" t="s">
        <v>862</v>
      </c>
      <c r="B322" s="654" t="s">
        <v>863</v>
      </c>
      <c r="C322" s="635">
        <f t="shared" si="25"/>
        <v>0</v>
      </c>
      <c r="D322" s="635">
        <f t="shared" si="26"/>
        <v>96884.49</v>
      </c>
      <c r="E322" s="635">
        <f t="shared" si="27"/>
        <v>63575.68</v>
      </c>
      <c r="F322" s="635">
        <f t="shared" si="28"/>
        <v>0</v>
      </c>
      <c r="G322" s="635">
        <f t="shared" si="29"/>
        <v>0</v>
      </c>
      <c r="H322" s="649">
        <v>0</v>
      </c>
      <c r="I322" s="649">
        <v>0</v>
      </c>
      <c r="J322" s="649">
        <v>0</v>
      </c>
      <c r="K322" s="649">
        <v>0</v>
      </c>
      <c r="L322" s="649">
        <v>0</v>
      </c>
      <c r="M322" s="649">
        <v>0</v>
      </c>
      <c r="N322" s="649">
        <v>0</v>
      </c>
      <c r="O322" s="649">
        <v>96884.49</v>
      </c>
      <c r="P322" s="649">
        <v>0</v>
      </c>
      <c r="Q322" s="649">
        <v>63575.68</v>
      </c>
      <c r="R322" s="649">
        <v>0</v>
      </c>
      <c r="S322" s="649">
        <v>0</v>
      </c>
      <c r="T322" s="649">
        <v>0</v>
      </c>
      <c r="U322" s="649">
        <v>0</v>
      </c>
      <c r="V322" s="649">
        <v>0</v>
      </c>
      <c r="W322" s="649">
        <v>0</v>
      </c>
      <c r="X322" s="649">
        <v>0</v>
      </c>
      <c r="Y322" s="649">
        <v>0</v>
      </c>
      <c r="Z322" s="649">
        <v>0</v>
      </c>
      <c r="AA322" s="641">
        <v>0</v>
      </c>
      <c r="AB322" s="649">
        <v>0</v>
      </c>
      <c r="AC322" s="653">
        <v>160460.17000000001</v>
      </c>
      <c r="AD322" s="653">
        <v>160460.17000000001</v>
      </c>
      <c r="AE322" s="653">
        <v>0</v>
      </c>
      <c r="AF322" s="618">
        <f t="shared" si="24"/>
        <v>2.7655815168536955E-4</v>
      </c>
    </row>
    <row r="323" spans="1:32" hidden="1" x14ac:dyDescent="0.25">
      <c r="A323" s="725" t="s">
        <v>1291</v>
      </c>
      <c r="B323" s="654" t="s">
        <v>864</v>
      </c>
      <c r="C323" s="635">
        <f t="shared" si="25"/>
        <v>0</v>
      </c>
      <c r="D323" s="635">
        <f t="shared" si="26"/>
        <v>0</v>
      </c>
      <c r="E323" s="635">
        <f t="shared" si="27"/>
        <v>24483.649999999998</v>
      </c>
      <c r="F323" s="635">
        <f t="shared" si="28"/>
        <v>0</v>
      </c>
      <c r="G323" s="635">
        <f t="shared" si="29"/>
        <v>0</v>
      </c>
      <c r="H323" s="649"/>
      <c r="I323" s="649"/>
      <c r="J323" s="649"/>
      <c r="K323" s="649"/>
      <c r="L323" s="649"/>
      <c r="M323" s="649"/>
      <c r="N323" s="649"/>
      <c r="O323" s="649"/>
      <c r="P323" s="649">
        <v>6477.07</v>
      </c>
      <c r="Q323" s="649">
        <v>14128.619999999999</v>
      </c>
      <c r="R323" s="649">
        <v>3877.96</v>
      </c>
      <c r="S323" s="649">
        <v>0</v>
      </c>
      <c r="T323" s="649">
        <v>0</v>
      </c>
      <c r="U323" s="649">
        <v>0</v>
      </c>
      <c r="V323" s="649">
        <v>0</v>
      </c>
      <c r="W323" s="649">
        <v>0</v>
      </c>
      <c r="X323" s="649">
        <v>0</v>
      </c>
      <c r="Y323" s="649">
        <v>0</v>
      </c>
      <c r="Z323" s="649">
        <v>0</v>
      </c>
      <c r="AA323" s="641">
        <v>0</v>
      </c>
      <c r="AB323" s="649">
        <v>0</v>
      </c>
      <c r="AC323" s="653">
        <v>24483.65</v>
      </c>
      <c r="AD323" s="653">
        <v>24483.65</v>
      </c>
      <c r="AE323" s="653">
        <v>0</v>
      </c>
      <c r="AF323" s="618">
        <f t="shared" si="24"/>
        <v>4.2198341124227259E-5</v>
      </c>
    </row>
    <row r="324" spans="1:32" ht="25.5" hidden="1" x14ac:dyDescent="0.25">
      <c r="A324" s="725" t="s">
        <v>865</v>
      </c>
      <c r="B324" s="654" t="s">
        <v>866</v>
      </c>
      <c r="C324" s="635">
        <f t="shared" si="25"/>
        <v>0</v>
      </c>
      <c r="D324" s="635">
        <f t="shared" si="26"/>
        <v>0</v>
      </c>
      <c r="E324" s="635">
        <f t="shared" si="27"/>
        <v>0</v>
      </c>
      <c r="F324" s="635">
        <f t="shared" si="28"/>
        <v>164272.76</v>
      </c>
      <c r="G324" s="635">
        <f t="shared" si="29"/>
        <v>231673.24</v>
      </c>
      <c r="H324" s="649">
        <v>0</v>
      </c>
      <c r="I324" s="649">
        <v>0</v>
      </c>
      <c r="J324" s="649">
        <v>0</v>
      </c>
      <c r="K324" s="649">
        <v>0</v>
      </c>
      <c r="L324" s="649">
        <v>0</v>
      </c>
      <c r="M324" s="649">
        <v>0</v>
      </c>
      <c r="N324" s="649">
        <v>0</v>
      </c>
      <c r="O324" s="649">
        <v>0</v>
      </c>
      <c r="P324" s="649">
        <v>0</v>
      </c>
      <c r="Q324" s="649">
        <v>0</v>
      </c>
      <c r="R324" s="649">
        <v>0</v>
      </c>
      <c r="S324" s="649">
        <v>0</v>
      </c>
      <c r="T324" s="649">
        <v>0.2999999999992724</v>
      </c>
      <c r="U324" s="649">
        <v>1276.43</v>
      </c>
      <c r="V324" s="649">
        <v>162996.03</v>
      </c>
      <c r="W324" s="649">
        <v>0</v>
      </c>
      <c r="X324" s="649">
        <v>224990.94</v>
      </c>
      <c r="Y324" s="649">
        <v>6682.3</v>
      </c>
      <c r="Z324" s="649">
        <v>0</v>
      </c>
      <c r="AA324" s="641">
        <v>0</v>
      </c>
      <c r="AB324" s="649">
        <v>0</v>
      </c>
      <c r="AC324" s="653">
        <v>395946</v>
      </c>
      <c r="AD324" s="653">
        <v>389263.69999999995</v>
      </c>
      <c r="AE324" s="653">
        <v>-6682.3</v>
      </c>
      <c r="AF324" s="618">
        <f t="shared" si="24"/>
        <v>6.8242538897481738E-4</v>
      </c>
    </row>
    <row r="325" spans="1:32" hidden="1" x14ac:dyDescent="0.25">
      <c r="A325" s="725" t="s">
        <v>867</v>
      </c>
      <c r="B325" s="654" t="s">
        <v>868</v>
      </c>
      <c r="C325" s="635">
        <f t="shared" si="25"/>
        <v>0</v>
      </c>
      <c r="D325" s="635">
        <f t="shared" si="26"/>
        <v>0</v>
      </c>
      <c r="E325" s="635">
        <f t="shared" si="27"/>
        <v>0</v>
      </c>
      <c r="F325" s="635">
        <f t="shared" si="28"/>
        <v>9079.82</v>
      </c>
      <c r="G325" s="635">
        <f t="shared" si="29"/>
        <v>105152.62999999999</v>
      </c>
      <c r="H325" s="649"/>
      <c r="I325" s="649"/>
      <c r="J325" s="649"/>
      <c r="K325" s="649"/>
      <c r="L325" s="649"/>
      <c r="M325" s="649"/>
      <c r="N325" s="649"/>
      <c r="O325" s="649"/>
      <c r="P325" s="649"/>
      <c r="Q325" s="649"/>
      <c r="R325" s="649">
        <v>0</v>
      </c>
      <c r="S325" s="649">
        <v>0</v>
      </c>
      <c r="T325" s="649">
        <v>0</v>
      </c>
      <c r="U325" s="649">
        <v>0</v>
      </c>
      <c r="V325" s="649">
        <v>351.1</v>
      </c>
      <c r="W325" s="649">
        <v>8728.7199999999993</v>
      </c>
      <c r="X325" s="649">
        <v>44321.38</v>
      </c>
      <c r="Y325" s="649">
        <v>31049.83</v>
      </c>
      <c r="Z325" s="649">
        <v>28481.96</v>
      </c>
      <c r="AA325" s="641">
        <v>1299.46</v>
      </c>
      <c r="AB325" s="649">
        <v>0</v>
      </c>
      <c r="AC325" s="653">
        <v>114232.45</v>
      </c>
      <c r="AD325" s="653">
        <v>120497.03</v>
      </c>
      <c r="AE325" s="653">
        <v>6264.58</v>
      </c>
      <c r="AF325" s="618">
        <f t="shared" ref="AF325:AF388" si="30">AC325/$AC$556</f>
        <v>1.968832217645749E-4</v>
      </c>
    </row>
    <row r="326" spans="1:32" hidden="1" x14ac:dyDescent="0.25">
      <c r="A326" s="658" t="s">
        <v>481</v>
      </c>
      <c r="B326" s="659">
        <v>0</v>
      </c>
      <c r="C326" s="635">
        <f t="shared" ref="C326:C389" si="31">SUM(H326:K326)</f>
        <v>0</v>
      </c>
      <c r="D326" s="635">
        <f t="shared" ref="D326:D389" si="32">SUM(L326:O326)</f>
        <v>0</v>
      </c>
      <c r="E326" s="635">
        <f t="shared" ref="E326:E389" si="33">SUM(P326:S326)</f>
        <v>0</v>
      </c>
      <c r="F326" s="635">
        <f t="shared" ref="F326:F389" si="34">SUM(T326:W326)</f>
        <v>0</v>
      </c>
      <c r="G326" s="635">
        <f t="shared" ref="G326:G389" si="35">SUM(X326:AA326)</f>
        <v>0</v>
      </c>
      <c r="H326" s="660">
        <v>0</v>
      </c>
      <c r="I326" s="660">
        <v>0</v>
      </c>
      <c r="J326" s="660">
        <v>0</v>
      </c>
      <c r="K326" s="660">
        <v>0</v>
      </c>
      <c r="L326" s="660">
        <v>0</v>
      </c>
      <c r="M326" s="660">
        <v>0</v>
      </c>
      <c r="N326" s="660">
        <v>0</v>
      </c>
      <c r="O326" s="660">
        <v>0</v>
      </c>
      <c r="P326" s="660">
        <v>0</v>
      </c>
      <c r="Q326" s="660">
        <v>0</v>
      </c>
      <c r="R326" s="660">
        <v>0</v>
      </c>
      <c r="S326" s="660">
        <v>0</v>
      </c>
      <c r="T326" s="660">
        <v>0</v>
      </c>
      <c r="U326" s="660">
        <v>0</v>
      </c>
      <c r="V326" s="660">
        <v>0</v>
      </c>
      <c r="W326" s="660">
        <v>0</v>
      </c>
      <c r="X326" s="660">
        <v>0</v>
      </c>
      <c r="Y326" s="660">
        <v>0</v>
      </c>
      <c r="Z326" s="660">
        <v>0</v>
      </c>
      <c r="AA326" s="661">
        <v>0</v>
      </c>
      <c r="AB326" s="660"/>
      <c r="AC326" s="647">
        <v>0</v>
      </c>
      <c r="AD326" s="647">
        <v>0</v>
      </c>
      <c r="AE326" s="643">
        <v>0</v>
      </c>
      <c r="AF326" s="618">
        <f t="shared" si="30"/>
        <v>0</v>
      </c>
    </row>
    <row r="327" spans="1:32" ht="25.5" hidden="1" x14ac:dyDescent="0.25">
      <c r="A327" s="658" t="s">
        <v>482</v>
      </c>
      <c r="B327" s="659">
        <v>0</v>
      </c>
      <c r="C327" s="635">
        <f t="shared" si="31"/>
        <v>0</v>
      </c>
      <c r="D327" s="635">
        <f t="shared" si="32"/>
        <v>0</v>
      </c>
      <c r="E327" s="635">
        <f t="shared" si="33"/>
        <v>0</v>
      </c>
      <c r="F327" s="635">
        <f t="shared" si="34"/>
        <v>0</v>
      </c>
      <c r="G327" s="635">
        <f t="shared" si="35"/>
        <v>0</v>
      </c>
      <c r="H327" s="660">
        <v>0</v>
      </c>
      <c r="I327" s="660">
        <v>0</v>
      </c>
      <c r="J327" s="660">
        <v>0</v>
      </c>
      <c r="K327" s="660">
        <v>0</v>
      </c>
      <c r="L327" s="660">
        <v>0</v>
      </c>
      <c r="M327" s="660">
        <v>0</v>
      </c>
      <c r="N327" s="660">
        <v>0</v>
      </c>
      <c r="O327" s="660">
        <v>0</v>
      </c>
      <c r="P327" s="660">
        <v>0</v>
      </c>
      <c r="Q327" s="660">
        <v>0</v>
      </c>
      <c r="R327" s="660">
        <v>0</v>
      </c>
      <c r="S327" s="660">
        <v>0</v>
      </c>
      <c r="T327" s="660">
        <v>0</v>
      </c>
      <c r="U327" s="660">
        <v>0</v>
      </c>
      <c r="V327" s="660">
        <v>0</v>
      </c>
      <c r="W327" s="660">
        <v>0</v>
      </c>
      <c r="X327" s="660">
        <v>0</v>
      </c>
      <c r="Y327" s="660">
        <v>0</v>
      </c>
      <c r="Z327" s="660">
        <v>0</v>
      </c>
      <c r="AA327" s="661">
        <v>0</v>
      </c>
      <c r="AB327" s="660">
        <v>663.66</v>
      </c>
      <c r="AC327" s="647">
        <v>0</v>
      </c>
      <c r="AD327" s="647">
        <v>0</v>
      </c>
      <c r="AE327" s="643">
        <v>0</v>
      </c>
      <c r="AF327" s="618">
        <f t="shared" si="30"/>
        <v>0</v>
      </c>
    </row>
    <row r="328" spans="1:32" hidden="1" x14ac:dyDescent="0.25">
      <c r="A328" s="658" t="s">
        <v>483</v>
      </c>
      <c r="B328" s="659"/>
      <c r="C328" s="635">
        <f t="shared" si="31"/>
        <v>0</v>
      </c>
      <c r="D328" s="635">
        <f t="shared" si="32"/>
        <v>0</v>
      </c>
      <c r="E328" s="635">
        <f t="shared" si="33"/>
        <v>0</v>
      </c>
      <c r="F328" s="635">
        <f t="shared" si="34"/>
        <v>0</v>
      </c>
      <c r="G328" s="635">
        <f t="shared" si="35"/>
        <v>0</v>
      </c>
      <c r="H328" s="660">
        <v>0</v>
      </c>
      <c r="I328" s="660">
        <v>0</v>
      </c>
      <c r="J328" s="660">
        <v>0</v>
      </c>
      <c r="K328" s="660">
        <v>0</v>
      </c>
      <c r="L328" s="660">
        <v>0</v>
      </c>
      <c r="M328" s="660">
        <v>0</v>
      </c>
      <c r="N328" s="660">
        <v>0</v>
      </c>
      <c r="O328" s="660">
        <v>0</v>
      </c>
      <c r="P328" s="660">
        <v>0</v>
      </c>
      <c r="Q328" s="660">
        <v>0</v>
      </c>
      <c r="R328" s="660">
        <v>0</v>
      </c>
      <c r="S328" s="660">
        <v>0</v>
      </c>
      <c r="T328" s="660">
        <v>0</v>
      </c>
      <c r="U328" s="660">
        <v>0</v>
      </c>
      <c r="V328" s="660">
        <v>0</v>
      </c>
      <c r="W328" s="660">
        <v>0</v>
      </c>
      <c r="X328" s="660">
        <v>0</v>
      </c>
      <c r="Y328" s="660">
        <v>0</v>
      </c>
      <c r="Z328" s="660">
        <v>0</v>
      </c>
      <c r="AA328" s="661">
        <v>0</v>
      </c>
      <c r="AB328" s="660"/>
      <c r="AC328" s="647">
        <v>0</v>
      </c>
      <c r="AD328" s="647">
        <v>1081.3800000000001</v>
      </c>
      <c r="AE328" s="643">
        <v>1081.3800000000001</v>
      </c>
      <c r="AF328" s="618">
        <f t="shared" si="30"/>
        <v>0</v>
      </c>
    </row>
    <row r="329" spans="1:32" hidden="1" x14ac:dyDescent="0.25">
      <c r="A329" s="634" t="s">
        <v>869</v>
      </c>
      <c r="B329" s="701" t="s">
        <v>870</v>
      </c>
      <c r="C329" s="635">
        <f t="shared" si="31"/>
        <v>72951.899999999994</v>
      </c>
      <c r="D329" s="635">
        <f t="shared" si="32"/>
        <v>337818.59</v>
      </c>
      <c r="E329" s="635">
        <f t="shared" si="33"/>
        <v>128518</v>
      </c>
      <c r="F329" s="635">
        <f t="shared" si="34"/>
        <v>9601.77</v>
      </c>
      <c r="G329" s="635">
        <f t="shared" si="35"/>
        <v>3861272.5248484854</v>
      </c>
      <c r="H329" s="662">
        <v>0</v>
      </c>
      <c r="I329" s="662">
        <v>72951.899999999994</v>
      </c>
      <c r="J329" s="662">
        <v>0</v>
      </c>
      <c r="K329" s="662">
        <v>0</v>
      </c>
      <c r="L329" s="662">
        <v>145919.41</v>
      </c>
      <c r="M329" s="662">
        <v>21777.63</v>
      </c>
      <c r="N329" s="662">
        <v>72852.55</v>
      </c>
      <c r="O329" s="662">
        <v>97269</v>
      </c>
      <c r="P329" s="662">
        <v>0</v>
      </c>
      <c r="Q329" s="662">
        <v>124018</v>
      </c>
      <c r="R329" s="662">
        <v>4500</v>
      </c>
      <c r="S329" s="662">
        <v>0</v>
      </c>
      <c r="T329" s="662">
        <v>0</v>
      </c>
      <c r="U329" s="662">
        <v>0</v>
      </c>
      <c r="V329" s="662">
        <v>0</v>
      </c>
      <c r="W329" s="662">
        <v>9601.77</v>
      </c>
      <c r="X329" s="662">
        <v>59146.33</v>
      </c>
      <c r="Y329" s="662">
        <v>473355.7</v>
      </c>
      <c r="Z329" s="662">
        <v>1245018.2200000002</v>
      </c>
      <c r="AA329" s="636">
        <v>2083752.2748484849</v>
      </c>
      <c r="AB329" s="662">
        <v>143515.61515151459</v>
      </c>
      <c r="AC329" s="638">
        <v>4410162.7848484851</v>
      </c>
      <c r="AD329" s="662">
        <v>4553678.3999999994</v>
      </c>
      <c r="AE329" s="638">
        <v>143515.62</v>
      </c>
      <c r="AF329" s="618">
        <f t="shared" si="30"/>
        <v>7.6010543202671352E-3</v>
      </c>
    </row>
    <row r="330" spans="1:32" ht="25.5" hidden="1" x14ac:dyDescent="0.25">
      <c r="A330" s="634" t="s">
        <v>871</v>
      </c>
      <c r="B330" s="701" t="s">
        <v>872</v>
      </c>
      <c r="C330" s="635">
        <f t="shared" si="31"/>
        <v>0</v>
      </c>
      <c r="D330" s="635">
        <f t="shared" si="32"/>
        <v>187900</v>
      </c>
      <c r="E330" s="635">
        <f t="shared" si="33"/>
        <v>59809.48</v>
      </c>
      <c r="F330" s="635">
        <f t="shared" si="34"/>
        <v>1270194.0299999998</v>
      </c>
      <c r="G330" s="635">
        <f t="shared" si="35"/>
        <v>6155432.7487878781</v>
      </c>
      <c r="H330" s="662">
        <v>0</v>
      </c>
      <c r="I330" s="662">
        <v>0</v>
      </c>
      <c r="J330" s="662">
        <v>0</v>
      </c>
      <c r="K330" s="662">
        <v>0</v>
      </c>
      <c r="L330" s="662">
        <v>0</v>
      </c>
      <c r="M330" s="662">
        <v>0</v>
      </c>
      <c r="N330" s="662">
        <v>0</v>
      </c>
      <c r="O330" s="662">
        <v>187900</v>
      </c>
      <c r="P330" s="662">
        <v>545</v>
      </c>
      <c r="Q330" s="663">
        <v>0</v>
      </c>
      <c r="R330" s="662">
        <v>34824.480000000003</v>
      </c>
      <c r="S330" s="662">
        <v>24440</v>
      </c>
      <c r="T330" s="662">
        <v>0</v>
      </c>
      <c r="U330" s="662">
        <v>574350.42999999993</v>
      </c>
      <c r="V330" s="662">
        <v>519230.2</v>
      </c>
      <c r="W330" s="662">
        <v>176613.40000000002</v>
      </c>
      <c r="X330" s="662">
        <v>1139896.3999999999</v>
      </c>
      <c r="Y330" s="662">
        <v>427739.08</v>
      </c>
      <c r="Z330" s="662">
        <v>2406299.96</v>
      </c>
      <c r="AA330" s="636">
        <v>2181497.3087878786</v>
      </c>
      <c r="AB330" s="662">
        <v>1252451.9693939402</v>
      </c>
      <c r="AC330" s="638">
        <v>7673336.2587878788</v>
      </c>
      <c r="AD330" s="662">
        <v>8925788.2300000004</v>
      </c>
      <c r="AE330" s="638">
        <v>1252451.97</v>
      </c>
      <c r="AF330" s="618">
        <f t="shared" si="30"/>
        <v>1.3225236474513917E-2</v>
      </c>
    </row>
    <row r="331" spans="1:32" hidden="1" x14ac:dyDescent="0.25">
      <c r="A331" s="715" t="s">
        <v>873</v>
      </c>
      <c r="B331" s="716" t="s">
        <v>874</v>
      </c>
      <c r="C331" s="635">
        <f t="shared" si="31"/>
        <v>0</v>
      </c>
      <c r="D331" s="635">
        <f t="shared" si="32"/>
        <v>0</v>
      </c>
      <c r="E331" s="635">
        <f t="shared" si="33"/>
        <v>0</v>
      </c>
      <c r="F331" s="635">
        <f t="shared" si="34"/>
        <v>247157.44999999998</v>
      </c>
      <c r="G331" s="635">
        <f t="shared" si="35"/>
        <v>2411646.8269696971</v>
      </c>
      <c r="H331" s="668">
        <v>0</v>
      </c>
      <c r="I331" s="668">
        <v>0</v>
      </c>
      <c r="J331" s="668">
        <v>0</v>
      </c>
      <c r="K331" s="668">
        <v>0</v>
      </c>
      <c r="L331" s="668">
        <v>0</v>
      </c>
      <c r="M331" s="668">
        <v>0</v>
      </c>
      <c r="N331" s="668">
        <v>0</v>
      </c>
      <c r="O331" s="668">
        <v>0</v>
      </c>
      <c r="P331" s="668">
        <v>0</v>
      </c>
      <c r="Q331" s="668">
        <v>0</v>
      </c>
      <c r="R331" s="668">
        <v>0</v>
      </c>
      <c r="S331" s="668">
        <v>0</v>
      </c>
      <c r="T331" s="668">
        <v>0</v>
      </c>
      <c r="U331" s="668">
        <v>0</v>
      </c>
      <c r="V331" s="668">
        <v>247157.44999999998</v>
      </c>
      <c r="W331" s="668">
        <v>0</v>
      </c>
      <c r="X331" s="668">
        <v>38061.410000000003</v>
      </c>
      <c r="Y331" s="668">
        <v>261149.93</v>
      </c>
      <c r="Z331" s="668">
        <v>710510.26</v>
      </c>
      <c r="AA331" s="666">
        <v>1401925.226969697</v>
      </c>
      <c r="AB331" s="668">
        <v>35099.763030303147</v>
      </c>
      <c r="AC331" s="643">
        <v>2658804.2769696973</v>
      </c>
      <c r="AD331" s="643">
        <v>3118279.17</v>
      </c>
      <c r="AE331" s="718">
        <v>459474.89</v>
      </c>
      <c r="AF331" s="618">
        <f t="shared" si="30"/>
        <v>4.5825328275041384E-3</v>
      </c>
    </row>
    <row r="332" spans="1:32" hidden="1" x14ac:dyDescent="0.25">
      <c r="A332" s="748" t="s">
        <v>875</v>
      </c>
      <c r="B332" s="656" t="s">
        <v>876</v>
      </c>
      <c r="C332" s="635">
        <f t="shared" si="31"/>
        <v>0</v>
      </c>
      <c r="D332" s="635">
        <f t="shared" si="32"/>
        <v>0</v>
      </c>
      <c r="E332" s="635">
        <f t="shared" si="33"/>
        <v>0</v>
      </c>
      <c r="F332" s="635">
        <f t="shared" si="34"/>
        <v>247157.44999999998</v>
      </c>
      <c r="G332" s="635">
        <f t="shared" si="35"/>
        <v>1035832.6618181819</v>
      </c>
      <c r="H332" s="648">
        <v>0</v>
      </c>
      <c r="I332" s="648">
        <v>0</v>
      </c>
      <c r="J332" s="648">
        <v>0</v>
      </c>
      <c r="K332" s="648">
        <v>0</v>
      </c>
      <c r="L332" s="648">
        <v>0</v>
      </c>
      <c r="M332" s="648">
        <v>0</v>
      </c>
      <c r="N332" s="648">
        <v>0</v>
      </c>
      <c r="O332" s="648">
        <v>0</v>
      </c>
      <c r="P332" s="648">
        <v>0</v>
      </c>
      <c r="Q332" s="648">
        <v>0</v>
      </c>
      <c r="R332" s="648">
        <v>0</v>
      </c>
      <c r="S332" s="648">
        <v>0</v>
      </c>
      <c r="T332" s="648">
        <v>0</v>
      </c>
      <c r="U332" s="648">
        <v>0</v>
      </c>
      <c r="V332" s="648">
        <v>247157.44999999998</v>
      </c>
      <c r="W332" s="648">
        <v>0</v>
      </c>
      <c r="X332" s="648">
        <v>38061.410000000003</v>
      </c>
      <c r="Y332" s="648">
        <v>261149.93</v>
      </c>
      <c r="Z332" s="648">
        <v>204831.44</v>
      </c>
      <c r="AA332" s="641">
        <v>531789.88181818184</v>
      </c>
      <c r="AB332" s="648">
        <v>33313.838181818108</v>
      </c>
      <c r="AC332" s="643">
        <v>1282990.1118181818</v>
      </c>
      <c r="AD332" s="643">
        <v>1186317.8700000001</v>
      </c>
      <c r="AE332" s="643">
        <v>-96672.24</v>
      </c>
      <c r="AF332" s="618">
        <f t="shared" si="30"/>
        <v>2.2112738254922819E-3</v>
      </c>
    </row>
    <row r="333" spans="1:32" hidden="1" x14ac:dyDescent="0.25">
      <c r="A333" s="748" t="s">
        <v>877</v>
      </c>
      <c r="B333" s="656" t="s">
        <v>876</v>
      </c>
      <c r="C333" s="635">
        <f t="shared" si="31"/>
        <v>0</v>
      </c>
      <c r="D333" s="635">
        <f t="shared" si="32"/>
        <v>0</v>
      </c>
      <c r="E333" s="635">
        <f t="shared" si="33"/>
        <v>0</v>
      </c>
      <c r="F333" s="635">
        <f t="shared" si="34"/>
        <v>247157.44999999998</v>
      </c>
      <c r="G333" s="635">
        <f t="shared" si="35"/>
        <v>121175.18000000001</v>
      </c>
      <c r="H333" s="648">
        <v>0</v>
      </c>
      <c r="I333" s="648">
        <v>0</v>
      </c>
      <c r="J333" s="648">
        <v>0</v>
      </c>
      <c r="K333" s="648">
        <v>0</v>
      </c>
      <c r="L333" s="648">
        <v>0</v>
      </c>
      <c r="M333" s="648">
        <v>0</v>
      </c>
      <c r="N333" s="648">
        <v>0</v>
      </c>
      <c r="O333" s="648">
        <v>0</v>
      </c>
      <c r="P333" s="648">
        <v>0</v>
      </c>
      <c r="Q333" s="648">
        <v>0</v>
      </c>
      <c r="R333" s="648">
        <v>0</v>
      </c>
      <c r="S333" s="648">
        <v>0</v>
      </c>
      <c r="T333" s="648">
        <v>0</v>
      </c>
      <c r="U333" s="648">
        <v>0</v>
      </c>
      <c r="V333" s="648">
        <v>247157.44999999998</v>
      </c>
      <c r="W333" s="648">
        <v>0</v>
      </c>
      <c r="X333" s="648">
        <v>38061.410000000003</v>
      </c>
      <c r="Y333" s="648">
        <v>83113.77</v>
      </c>
      <c r="Z333" s="648">
        <v>0</v>
      </c>
      <c r="AA333" s="641">
        <v>0</v>
      </c>
      <c r="AB333" s="648">
        <v>0</v>
      </c>
      <c r="AC333" s="643">
        <v>368332.63</v>
      </c>
      <c r="AD333" s="643">
        <v>369378.03</v>
      </c>
      <c r="AE333" s="643">
        <v>1045.4000000000001</v>
      </c>
      <c r="AF333" s="618">
        <f t="shared" si="30"/>
        <v>6.3483287695763433E-4</v>
      </c>
    </row>
    <row r="334" spans="1:32" hidden="1" x14ac:dyDescent="0.25">
      <c r="A334" s="748" t="s">
        <v>878</v>
      </c>
      <c r="B334" s="656" t="s">
        <v>876</v>
      </c>
      <c r="C334" s="635">
        <f t="shared" si="31"/>
        <v>0</v>
      </c>
      <c r="D334" s="635">
        <f t="shared" si="32"/>
        <v>0</v>
      </c>
      <c r="E334" s="635">
        <f t="shared" si="33"/>
        <v>0</v>
      </c>
      <c r="F334" s="635">
        <f t="shared" si="34"/>
        <v>0</v>
      </c>
      <c r="G334" s="635">
        <f t="shared" si="35"/>
        <v>109490.45999999999</v>
      </c>
      <c r="H334" s="648">
        <v>0</v>
      </c>
      <c r="I334" s="648">
        <v>0</v>
      </c>
      <c r="J334" s="648">
        <v>0</v>
      </c>
      <c r="K334" s="648">
        <v>0</v>
      </c>
      <c r="L334" s="648">
        <v>0</v>
      </c>
      <c r="M334" s="648">
        <v>0</v>
      </c>
      <c r="N334" s="648">
        <v>0</v>
      </c>
      <c r="O334" s="648">
        <v>0</v>
      </c>
      <c r="P334" s="648">
        <v>0</v>
      </c>
      <c r="Q334" s="648">
        <v>0</v>
      </c>
      <c r="R334" s="648">
        <v>0</v>
      </c>
      <c r="S334" s="648">
        <v>0</v>
      </c>
      <c r="T334" s="648">
        <v>0</v>
      </c>
      <c r="U334" s="648">
        <v>0</v>
      </c>
      <c r="V334" s="648">
        <v>0</v>
      </c>
      <c r="W334" s="648">
        <v>0</v>
      </c>
      <c r="X334" s="648">
        <v>0</v>
      </c>
      <c r="Y334" s="648">
        <v>0</v>
      </c>
      <c r="Z334" s="648">
        <v>0</v>
      </c>
      <c r="AA334" s="641">
        <v>109490.45999999999</v>
      </c>
      <c r="AB334" s="648">
        <v>2832.3700000000099</v>
      </c>
      <c r="AC334" s="643">
        <v>109490.45999999999</v>
      </c>
      <c r="AD334" s="643">
        <v>112322.83</v>
      </c>
      <c r="AE334" s="643">
        <v>2832.37</v>
      </c>
      <c r="AF334" s="618">
        <f t="shared" si="30"/>
        <v>1.8871025279844139E-4</v>
      </c>
    </row>
    <row r="335" spans="1:32" hidden="1" x14ac:dyDescent="0.25">
      <c r="A335" s="748" t="s">
        <v>879</v>
      </c>
      <c r="B335" s="656" t="s">
        <v>876</v>
      </c>
      <c r="C335" s="635">
        <f t="shared" si="31"/>
        <v>0</v>
      </c>
      <c r="D335" s="635">
        <f t="shared" si="32"/>
        <v>0</v>
      </c>
      <c r="E335" s="635">
        <f t="shared" si="33"/>
        <v>0</v>
      </c>
      <c r="F335" s="635">
        <f t="shared" si="34"/>
        <v>0</v>
      </c>
      <c r="G335" s="635">
        <f t="shared" si="35"/>
        <v>52673.70636363636</v>
      </c>
      <c r="H335" s="648">
        <v>0</v>
      </c>
      <c r="I335" s="648">
        <v>0</v>
      </c>
      <c r="J335" s="648">
        <v>0</v>
      </c>
      <c r="K335" s="648">
        <v>0</v>
      </c>
      <c r="L335" s="648">
        <v>0</v>
      </c>
      <c r="M335" s="648">
        <v>0</v>
      </c>
      <c r="N335" s="648">
        <v>0</v>
      </c>
      <c r="O335" s="648">
        <v>0</v>
      </c>
      <c r="P335" s="648">
        <v>0</v>
      </c>
      <c r="Q335" s="648">
        <v>0</v>
      </c>
      <c r="R335" s="648">
        <v>0</v>
      </c>
      <c r="S335" s="648">
        <v>0</v>
      </c>
      <c r="T335" s="648">
        <v>0</v>
      </c>
      <c r="U335" s="648">
        <v>0</v>
      </c>
      <c r="V335" s="648">
        <v>0</v>
      </c>
      <c r="W335" s="648">
        <v>0</v>
      </c>
      <c r="X335" s="648">
        <v>0</v>
      </c>
      <c r="Y335" s="648">
        <v>10506.07</v>
      </c>
      <c r="Z335" s="648">
        <v>0</v>
      </c>
      <c r="AA335" s="641">
        <v>42167.63636363636</v>
      </c>
      <c r="AB335" s="648">
        <v>-0.40636363635712769</v>
      </c>
      <c r="AC335" s="643">
        <v>52673.70636363636</v>
      </c>
      <c r="AD335" s="643">
        <v>49335.3</v>
      </c>
      <c r="AE335" s="643">
        <v>-3338.41</v>
      </c>
      <c r="AF335" s="618">
        <f t="shared" si="30"/>
        <v>9.0784790233895156E-5</v>
      </c>
    </row>
    <row r="336" spans="1:32" hidden="1" x14ac:dyDescent="0.25">
      <c r="A336" s="748" t="s">
        <v>880</v>
      </c>
      <c r="B336" s="656" t="s">
        <v>876</v>
      </c>
      <c r="C336" s="635">
        <f t="shared" si="31"/>
        <v>0</v>
      </c>
      <c r="D336" s="635">
        <f t="shared" si="32"/>
        <v>0</v>
      </c>
      <c r="E336" s="635">
        <f t="shared" si="33"/>
        <v>0</v>
      </c>
      <c r="F336" s="635">
        <f t="shared" si="34"/>
        <v>0</v>
      </c>
      <c r="G336" s="635">
        <f t="shared" si="35"/>
        <v>299304.03000000003</v>
      </c>
      <c r="H336" s="648">
        <v>0</v>
      </c>
      <c r="I336" s="648">
        <v>0</v>
      </c>
      <c r="J336" s="648">
        <v>0</v>
      </c>
      <c r="K336" s="648">
        <v>0</v>
      </c>
      <c r="L336" s="648">
        <v>0</v>
      </c>
      <c r="M336" s="648">
        <v>0</v>
      </c>
      <c r="N336" s="648">
        <v>0</v>
      </c>
      <c r="O336" s="648">
        <v>0</v>
      </c>
      <c r="P336" s="648">
        <v>0</v>
      </c>
      <c r="Q336" s="648">
        <v>0</v>
      </c>
      <c r="R336" s="648">
        <v>0</v>
      </c>
      <c r="S336" s="648">
        <v>0</v>
      </c>
      <c r="T336" s="648">
        <v>0</v>
      </c>
      <c r="U336" s="648">
        <v>0</v>
      </c>
      <c r="V336" s="648">
        <v>0</v>
      </c>
      <c r="W336" s="648">
        <v>0</v>
      </c>
      <c r="X336" s="648">
        <v>0</v>
      </c>
      <c r="Y336" s="648">
        <v>0</v>
      </c>
      <c r="Z336" s="648">
        <v>52120.91</v>
      </c>
      <c r="AA336" s="641">
        <v>247183.12</v>
      </c>
      <c r="AB336" s="648">
        <v>30481.819999999949</v>
      </c>
      <c r="AC336" s="643">
        <v>299304.03000000003</v>
      </c>
      <c r="AD336" s="643">
        <v>203651.83000000002</v>
      </c>
      <c r="AE336" s="643">
        <v>-95652.2</v>
      </c>
      <c r="AF336" s="618">
        <f t="shared" si="30"/>
        <v>5.1585991295398977E-4</v>
      </c>
    </row>
    <row r="337" spans="1:32" hidden="1" x14ac:dyDescent="0.25">
      <c r="A337" s="748" t="s">
        <v>881</v>
      </c>
      <c r="B337" s="656" t="s">
        <v>876</v>
      </c>
      <c r="C337" s="635">
        <f t="shared" si="31"/>
        <v>0</v>
      </c>
      <c r="D337" s="635">
        <f t="shared" si="32"/>
        <v>0</v>
      </c>
      <c r="E337" s="635">
        <f t="shared" si="33"/>
        <v>0</v>
      </c>
      <c r="F337" s="635">
        <f t="shared" si="34"/>
        <v>0</v>
      </c>
      <c r="G337" s="635">
        <f t="shared" si="35"/>
        <v>453189.28545454546</v>
      </c>
      <c r="H337" s="648">
        <v>0</v>
      </c>
      <c r="I337" s="648">
        <v>0</v>
      </c>
      <c r="J337" s="648">
        <v>0</v>
      </c>
      <c r="K337" s="648">
        <v>0</v>
      </c>
      <c r="L337" s="648">
        <v>0</v>
      </c>
      <c r="M337" s="648">
        <v>0</v>
      </c>
      <c r="N337" s="648">
        <v>0</v>
      </c>
      <c r="O337" s="648">
        <v>0</v>
      </c>
      <c r="P337" s="648">
        <v>0</v>
      </c>
      <c r="Q337" s="648">
        <v>0</v>
      </c>
      <c r="R337" s="648">
        <v>0</v>
      </c>
      <c r="S337" s="648">
        <v>0</v>
      </c>
      <c r="T337" s="648">
        <v>0</v>
      </c>
      <c r="U337" s="648">
        <v>0</v>
      </c>
      <c r="V337" s="648">
        <v>0</v>
      </c>
      <c r="W337" s="648">
        <v>0</v>
      </c>
      <c r="X337" s="648">
        <v>0</v>
      </c>
      <c r="Y337" s="648">
        <v>167530.09</v>
      </c>
      <c r="Z337" s="648">
        <v>152710.53</v>
      </c>
      <c r="AA337" s="641">
        <v>132948.66545454547</v>
      </c>
      <c r="AB337" s="648">
        <v>5.4545454506296664E-2</v>
      </c>
      <c r="AC337" s="643">
        <v>453189.28545454546</v>
      </c>
      <c r="AD337" s="643">
        <v>451629.88</v>
      </c>
      <c r="AE337" s="643">
        <v>-1559.41</v>
      </c>
      <c r="AF337" s="618">
        <f t="shared" si="30"/>
        <v>7.8108599254832147E-4</v>
      </c>
    </row>
    <row r="338" spans="1:32" hidden="1" x14ac:dyDescent="0.25">
      <c r="A338" s="748" t="s">
        <v>882</v>
      </c>
      <c r="B338" s="656" t="s">
        <v>883</v>
      </c>
      <c r="C338" s="635">
        <f t="shared" si="31"/>
        <v>0</v>
      </c>
      <c r="D338" s="635">
        <f t="shared" si="32"/>
        <v>0</v>
      </c>
      <c r="E338" s="635">
        <f t="shared" si="33"/>
        <v>0</v>
      </c>
      <c r="F338" s="635">
        <f t="shared" si="34"/>
        <v>0</v>
      </c>
      <c r="G338" s="635">
        <f t="shared" si="35"/>
        <v>1375814.1651515153</v>
      </c>
      <c r="H338" s="648">
        <v>0</v>
      </c>
      <c r="I338" s="648">
        <v>0</v>
      </c>
      <c r="J338" s="648">
        <v>0</v>
      </c>
      <c r="K338" s="648">
        <v>0</v>
      </c>
      <c r="L338" s="648">
        <v>0</v>
      </c>
      <c r="M338" s="648">
        <v>0</v>
      </c>
      <c r="N338" s="648">
        <v>0</v>
      </c>
      <c r="O338" s="648">
        <v>0</v>
      </c>
      <c r="P338" s="648">
        <v>0</v>
      </c>
      <c r="Q338" s="648">
        <v>0</v>
      </c>
      <c r="R338" s="648">
        <v>0</v>
      </c>
      <c r="S338" s="648">
        <v>0</v>
      </c>
      <c r="T338" s="648">
        <v>0</v>
      </c>
      <c r="U338" s="648">
        <v>0</v>
      </c>
      <c r="V338" s="648">
        <v>0</v>
      </c>
      <c r="W338" s="648">
        <v>0</v>
      </c>
      <c r="X338" s="648">
        <v>0</v>
      </c>
      <c r="Y338" s="648">
        <v>0</v>
      </c>
      <c r="Z338" s="657">
        <v>505678.82</v>
      </c>
      <c r="AA338" s="641">
        <v>870135.34515151521</v>
      </c>
      <c r="AB338" s="648">
        <v>1785.9248484850395</v>
      </c>
      <c r="AC338" s="643">
        <v>1375814.1651515153</v>
      </c>
      <c r="AD338" s="643">
        <v>1931961.2999999998</v>
      </c>
      <c r="AE338" s="643">
        <v>556147.13</v>
      </c>
      <c r="AF338" s="618">
        <f t="shared" si="30"/>
        <v>2.3712590020118561E-3</v>
      </c>
    </row>
    <row r="339" spans="1:32" hidden="1" x14ac:dyDescent="0.25">
      <c r="A339" s="715" t="s">
        <v>884</v>
      </c>
      <c r="B339" s="716" t="s">
        <v>885</v>
      </c>
      <c r="C339" s="635">
        <f t="shared" si="31"/>
        <v>0</v>
      </c>
      <c r="D339" s="635">
        <f t="shared" si="32"/>
        <v>187900</v>
      </c>
      <c r="E339" s="635">
        <f t="shared" si="33"/>
        <v>24985</v>
      </c>
      <c r="F339" s="635">
        <f t="shared" si="34"/>
        <v>0</v>
      </c>
      <c r="G339" s="635">
        <f t="shared" si="35"/>
        <v>1186045.7336363636</v>
      </c>
      <c r="H339" s="668">
        <v>0</v>
      </c>
      <c r="I339" s="668">
        <v>0</v>
      </c>
      <c r="J339" s="668">
        <v>0</v>
      </c>
      <c r="K339" s="668">
        <v>0</v>
      </c>
      <c r="L339" s="668">
        <v>0</v>
      </c>
      <c r="M339" s="668">
        <v>0</v>
      </c>
      <c r="N339" s="668">
        <v>0</v>
      </c>
      <c r="O339" s="668">
        <v>187900</v>
      </c>
      <c r="P339" s="668">
        <v>545</v>
      </c>
      <c r="Q339" s="668">
        <v>0</v>
      </c>
      <c r="R339" s="668">
        <v>0</v>
      </c>
      <c r="S339" s="668">
        <v>24440</v>
      </c>
      <c r="T339" s="668">
        <v>0</v>
      </c>
      <c r="U339" s="668">
        <v>0</v>
      </c>
      <c r="V339" s="668">
        <v>0</v>
      </c>
      <c r="W339" s="668">
        <v>0</v>
      </c>
      <c r="X339" s="668">
        <v>1101834.99</v>
      </c>
      <c r="Y339" s="668">
        <v>0</v>
      </c>
      <c r="Z339" s="668">
        <v>0</v>
      </c>
      <c r="AA339" s="666">
        <v>84210.743636363637</v>
      </c>
      <c r="AB339" s="668">
        <v>0.25636363636294845</v>
      </c>
      <c r="AC339" s="643">
        <v>1398930.7336363636</v>
      </c>
      <c r="AD339" s="643">
        <v>1395827.9899999998</v>
      </c>
      <c r="AE339" s="718">
        <v>-3102.74</v>
      </c>
      <c r="AF339" s="618">
        <f t="shared" si="30"/>
        <v>2.4111011351311087E-3</v>
      </c>
    </row>
    <row r="340" spans="1:32" ht="25.5" hidden="1" x14ac:dyDescent="0.25">
      <c r="A340" s="748" t="s">
        <v>886</v>
      </c>
      <c r="B340" s="640" t="s">
        <v>887</v>
      </c>
      <c r="C340" s="635">
        <f t="shared" si="31"/>
        <v>0</v>
      </c>
      <c r="D340" s="635">
        <f t="shared" si="32"/>
        <v>187900</v>
      </c>
      <c r="E340" s="635">
        <f t="shared" si="33"/>
        <v>545</v>
      </c>
      <c r="F340" s="635">
        <f t="shared" si="34"/>
        <v>0</v>
      </c>
      <c r="G340" s="635">
        <f t="shared" si="35"/>
        <v>0</v>
      </c>
      <c r="H340" s="648">
        <v>0</v>
      </c>
      <c r="I340" s="648">
        <v>0</v>
      </c>
      <c r="J340" s="648">
        <v>0</v>
      </c>
      <c r="K340" s="648">
        <v>0</v>
      </c>
      <c r="L340" s="648">
        <v>0</v>
      </c>
      <c r="M340" s="648">
        <v>0</v>
      </c>
      <c r="N340" s="648">
        <v>0</v>
      </c>
      <c r="O340" s="648">
        <v>187900</v>
      </c>
      <c r="P340" s="648">
        <v>545</v>
      </c>
      <c r="Q340" s="648">
        <v>0</v>
      </c>
      <c r="R340" s="648">
        <v>0</v>
      </c>
      <c r="S340" s="648">
        <v>0</v>
      </c>
      <c r="T340" s="648">
        <v>0</v>
      </c>
      <c r="U340" s="648">
        <v>0</v>
      </c>
      <c r="V340" s="648">
        <v>0</v>
      </c>
      <c r="W340" s="648">
        <v>0</v>
      </c>
      <c r="X340" s="648">
        <v>0</v>
      </c>
      <c r="Y340" s="648">
        <v>0</v>
      </c>
      <c r="Z340" s="648">
        <v>0</v>
      </c>
      <c r="AA340" s="641">
        <v>0</v>
      </c>
      <c r="AB340" s="648">
        <v>0</v>
      </c>
      <c r="AC340" s="647">
        <v>188445</v>
      </c>
      <c r="AD340" s="647">
        <v>188445</v>
      </c>
      <c r="AE340" s="647">
        <v>0</v>
      </c>
      <c r="AF340" s="618">
        <f t="shared" si="30"/>
        <v>3.2479088670010417E-4</v>
      </c>
    </row>
    <row r="341" spans="1:32" ht="25.5" hidden="1" x14ac:dyDescent="0.25">
      <c r="A341" s="748" t="s">
        <v>888</v>
      </c>
      <c r="B341" s="640" t="s">
        <v>889</v>
      </c>
      <c r="C341" s="635">
        <f t="shared" si="31"/>
        <v>0</v>
      </c>
      <c r="D341" s="635">
        <f t="shared" si="32"/>
        <v>0</v>
      </c>
      <c r="E341" s="635">
        <f t="shared" si="33"/>
        <v>24440</v>
      </c>
      <c r="F341" s="635">
        <f t="shared" si="34"/>
        <v>0</v>
      </c>
      <c r="G341" s="635">
        <f t="shared" si="35"/>
        <v>0</v>
      </c>
      <c r="H341" s="648"/>
      <c r="I341" s="648"/>
      <c r="J341" s="648"/>
      <c r="K341" s="648"/>
      <c r="L341" s="648"/>
      <c r="M341" s="648"/>
      <c r="N341" s="648"/>
      <c r="O341" s="648"/>
      <c r="P341" s="648"/>
      <c r="Q341" s="648"/>
      <c r="R341" s="648">
        <v>0</v>
      </c>
      <c r="S341" s="648">
        <v>24440</v>
      </c>
      <c r="T341" s="648">
        <v>0</v>
      </c>
      <c r="U341" s="648">
        <v>0</v>
      </c>
      <c r="V341" s="648">
        <v>0</v>
      </c>
      <c r="W341" s="648">
        <v>0</v>
      </c>
      <c r="X341" s="648">
        <v>0</v>
      </c>
      <c r="Y341" s="648">
        <v>0</v>
      </c>
      <c r="Z341" s="648">
        <v>0</v>
      </c>
      <c r="AA341" s="641">
        <v>0</v>
      </c>
      <c r="AB341" s="648">
        <v>0</v>
      </c>
      <c r="AC341" s="647">
        <v>24440</v>
      </c>
      <c r="AD341" s="647">
        <v>24440</v>
      </c>
      <c r="AE341" s="647">
        <v>0</v>
      </c>
      <c r="AF341" s="618">
        <f t="shared" si="30"/>
        <v>4.2123108975831393E-5</v>
      </c>
    </row>
    <row r="342" spans="1:32" hidden="1" x14ac:dyDescent="0.25">
      <c r="A342" s="748" t="s">
        <v>890</v>
      </c>
      <c r="B342" s="640" t="s">
        <v>891</v>
      </c>
      <c r="C342" s="635">
        <f t="shared" si="31"/>
        <v>0</v>
      </c>
      <c r="D342" s="635">
        <f t="shared" si="32"/>
        <v>0</v>
      </c>
      <c r="E342" s="635">
        <f t="shared" si="33"/>
        <v>0</v>
      </c>
      <c r="F342" s="635">
        <f t="shared" si="34"/>
        <v>0</v>
      </c>
      <c r="G342" s="635">
        <f t="shared" si="35"/>
        <v>1186045.7336363636</v>
      </c>
      <c r="H342" s="648">
        <v>0</v>
      </c>
      <c r="I342" s="648">
        <v>0</v>
      </c>
      <c r="J342" s="648">
        <v>0</v>
      </c>
      <c r="K342" s="648">
        <v>0</v>
      </c>
      <c r="L342" s="648">
        <v>0</v>
      </c>
      <c r="M342" s="648">
        <v>0</v>
      </c>
      <c r="N342" s="648">
        <v>0</v>
      </c>
      <c r="O342" s="648">
        <v>0</v>
      </c>
      <c r="P342" s="648">
        <v>0</v>
      </c>
      <c r="Q342" s="648">
        <v>0</v>
      </c>
      <c r="R342" s="648">
        <v>0</v>
      </c>
      <c r="S342" s="648">
        <v>0</v>
      </c>
      <c r="T342" s="648">
        <v>0</v>
      </c>
      <c r="U342" s="648">
        <v>0</v>
      </c>
      <c r="V342" s="648">
        <v>0</v>
      </c>
      <c r="W342" s="648">
        <v>0</v>
      </c>
      <c r="X342" s="648">
        <v>1101834.99</v>
      </c>
      <c r="Y342" s="648">
        <v>0</v>
      </c>
      <c r="Z342" s="648">
        <v>0</v>
      </c>
      <c r="AA342" s="641">
        <v>84210.743636363637</v>
      </c>
      <c r="AB342" s="648">
        <v>0.25636363636294845</v>
      </c>
      <c r="AC342" s="647">
        <v>1186045.7336363636</v>
      </c>
      <c r="AD342" s="647">
        <v>1182942.9899999998</v>
      </c>
      <c r="AE342" s="647">
        <v>-3102.74</v>
      </c>
      <c r="AF342" s="618">
        <f t="shared" si="30"/>
        <v>2.0441871394551734E-3</v>
      </c>
    </row>
    <row r="343" spans="1:32" hidden="1" x14ac:dyDescent="0.25">
      <c r="A343" s="748" t="s">
        <v>892</v>
      </c>
      <c r="B343" s="640" t="s">
        <v>893</v>
      </c>
      <c r="C343" s="635">
        <f t="shared" si="31"/>
        <v>0</v>
      </c>
      <c r="D343" s="635">
        <f t="shared" si="32"/>
        <v>0</v>
      </c>
      <c r="E343" s="635">
        <f t="shared" si="33"/>
        <v>0</v>
      </c>
      <c r="F343" s="635">
        <f t="shared" si="34"/>
        <v>0</v>
      </c>
      <c r="G343" s="635">
        <f t="shared" si="35"/>
        <v>84210.743636363637</v>
      </c>
      <c r="H343" s="648">
        <v>0</v>
      </c>
      <c r="I343" s="648">
        <v>0</v>
      </c>
      <c r="J343" s="648">
        <v>0</v>
      </c>
      <c r="K343" s="648">
        <v>0</v>
      </c>
      <c r="L343" s="648">
        <v>0</v>
      </c>
      <c r="M343" s="648">
        <v>0</v>
      </c>
      <c r="N343" s="648">
        <v>0</v>
      </c>
      <c r="O343" s="648">
        <v>0</v>
      </c>
      <c r="P343" s="648">
        <v>0</v>
      </c>
      <c r="Q343" s="648">
        <v>0</v>
      </c>
      <c r="R343" s="648">
        <v>0</v>
      </c>
      <c r="S343" s="648">
        <v>0</v>
      </c>
      <c r="T343" s="648">
        <v>0</v>
      </c>
      <c r="U343" s="648">
        <v>0</v>
      </c>
      <c r="V343" s="648">
        <v>0</v>
      </c>
      <c r="W343" s="648">
        <v>0</v>
      </c>
      <c r="X343" s="648">
        <v>0</v>
      </c>
      <c r="Y343" s="648">
        <v>0</v>
      </c>
      <c r="Z343" s="657">
        <v>0</v>
      </c>
      <c r="AA343" s="641">
        <v>84210.743636363637</v>
      </c>
      <c r="AB343" s="648">
        <v>0.25636363636294845</v>
      </c>
      <c r="AC343" s="647">
        <v>84210.743636363637</v>
      </c>
      <c r="AD343" s="647">
        <v>81108</v>
      </c>
      <c r="AE343" s="647">
        <v>-3102.74</v>
      </c>
      <c r="AF343" s="618">
        <f t="shared" si="30"/>
        <v>1.451398662491958E-4</v>
      </c>
    </row>
    <row r="344" spans="1:32" hidden="1" x14ac:dyDescent="0.25">
      <c r="A344" s="748" t="s">
        <v>894</v>
      </c>
      <c r="B344" s="640" t="s">
        <v>895</v>
      </c>
      <c r="C344" s="635">
        <f t="shared" si="31"/>
        <v>0</v>
      </c>
      <c r="D344" s="635">
        <f t="shared" si="32"/>
        <v>0</v>
      </c>
      <c r="E344" s="635">
        <f t="shared" si="33"/>
        <v>0</v>
      </c>
      <c r="F344" s="635">
        <f t="shared" si="34"/>
        <v>0</v>
      </c>
      <c r="G344" s="635">
        <f t="shared" si="35"/>
        <v>1101834.99</v>
      </c>
      <c r="H344" s="648">
        <v>0</v>
      </c>
      <c r="I344" s="648">
        <v>0</v>
      </c>
      <c r="J344" s="648">
        <v>0</v>
      </c>
      <c r="K344" s="648">
        <v>0</v>
      </c>
      <c r="L344" s="648">
        <v>0</v>
      </c>
      <c r="M344" s="648">
        <v>0</v>
      </c>
      <c r="N344" s="648">
        <v>0</v>
      </c>
      <c r="O344" s="648">
        <v>0</v>
      </c>
      <c r="P344" s="648">
        <v>0</v>
      </c>
      <c r="Q344" s="648">
        <v>0</v>
      </c>
      <c r="R344" s="648">
        <v>0</v>
      </c>
      <c r="S344" s="648">
        <v>0</v>
      </c>
      <c r="T344" s="648">
        <v>0</v>
      </c>
      <c r="U344" s="648">
        <v>0</v>
      </c>
      <c r="V344" s="648">
        <v>0</v>
      </c>
      <c r="W344" s="648">
        <v>0</v>
      </c>
      <c r="X344" s="648">
        <v>1101834.99</v>
      </c>
      <c r="Y344" s="648">
        <v>0</v>
      </c>
      <c r="Z344" s="648">
        <v>0</v>
      </c>
      <c r="AA344" s="641">
        <v>0</v>
      </c>
      <c r="AB344" s="648">
        <v>0</v>
      </c>
      <c r="AC344" s="647">
        <v>1101834.99</v>
      </c>
      <c r="AD344" s="647">
        <v>1101834.9899999998</v>
      </c>
      <c r="AE344" s="647">
        <v>0</v>
      </c>
      <c r="AF344" s="618">
        <f t="shared" si="30"/>
        <v>1.8990472732059774E-3</v>
      </c>
    </row>
    <row r="345" spans="1:32" ht="25.5" hidden="1" x14ac:dyDescent="0.25">
      <c r="A345" s="748" t="s">
        <v>888</v>
      </c>
      <c r="B345" s="640" t="s">
        <v>896</v>
      </c>
      <c r="C345" s="635">
        <f t="shared" si="31"/>
        <v>0</v>
      </c>
      <c r="D345" s="635">
        <f t="shared" si="32"/>
        <v>0</v>
      </c>
      <c r="E345" s="635">
        <f t="shared" si="33"/>
        <v>0</v>
      </c>
      <c r="F345" s="635">
        <f t="shared" si="34"/>
        <v>0</v>
      </c>
      <c r="G345" s="635">
        <f t="shared" si="35"/>
        <v>0</v>
      </c>
      <c r="H345" s="648">
        <v>0</v>
      </c>
      <c r="I345" s="648">
        <v>0</v>
      </c>
      <c r="J345" s="648">
        <v>0</v>
      </c>
      <c r="K345" s="648">
        <v>0</v>
      </c>
      <c r="L345" s="648">
        <v>0</v>
      </c>
      <c r="M345" s="648">
        <v>0</v>
      </c>
      <c r="N345" s="648">
        <v>0</v>
      </c>
      <c r="O345" s="648">
        <v>0</v>
      </c>
      <c r="P345" s="648">
        <v>0</v>
      </c>
      <c r="Q345" s="648">
        <v>0</v>
      </c>
      <c r="R345" s="648">
        <v>0</v>
      </c>
      <c r="S345" s="648">
        <v>0</v>
      </c>
      <c r="T345" s="648">
        <v>0</v>
      </c>
      <c r="U345" s="648">
        <v>0</v>
      </c>
      <c r="V345" s="648">
        <v>0</v>
      </c>
      <c r="W345" s="648">
        <v>0</v>
      </c>
      <c r="X345" s="648">
        <v>0</v>
      </c>
      <c r="Y345" s="648">
        <v>0</v>
      </c>
      <c r="Z345" s="648">
        <v>0</v>
      </c>
      <c r="AA345" s="641">
        <v>0</v>
      </c>
      <c r="AB345" s="648">
        <v>0</v>
      </c>
      <c r="AC345" s="647">
        <v>0</v>
      </c>
      <c r="AD345" s="647">
        <v>0</v>
      </c>
      <c r="AE345" s="647">
        <v>0</v>
      </c>
      <c r="AF345" s="618">
        <f t="shared" si="30"/>
        <v>0</v>
      </c>
    </row>
    <row r="346" spans="1:32" hidden="1" x14ac:dyDescent="0.25">
      <c r="A346" s="715" t="s">
        <v>897</v>
      </c>
      <c r="B346" s="716" t="s">
        <v>898</v>
      </c>
      <c r="C346" s="635">
        <f t="shared" si="31"/>
        <v>0</v>
      </c>
      <c r="D346" s="635">
        <f t="shared" si="32"/>
        <v>0</v>
      </c>
      <c r="E346" s="635">
        <f t="shared" si="33"/>
        <v>0</v>
      </c>
      <c r="F346" s="635">
        <f t="shared" si="34"/>
        <v>997785.11</v>
      </c>
      <c r="G346" s="635">
        <f t="shared" si="35"/>
        <v>2509168.7981818179</v>
      </c>
      <c r="H346" s="668">
        <v>0</v>
      </c>
      <c r="I346" s="668">
        <v>0</v>
      </c>
      <c r="J346" s="668">
        <v>0</v>
      </c>
      <c r="K346" s="668">
        <v>0</v>
      </c>
      <c r="L346" s="668">
        <v>0</v>
      </c>
      <c r="M346" s="668">
        <v>0</v>
      </c>
      <c r="N346" s="668">
        <v>0</v>
      </c>
      <c r="O346" s="668">
        <v>0</v>
      </c>
      <c r="P346" s="668">
        <v>0</v>
      </c>
      <c r="Q346" s="668">
        <v>0</v>
      </c>
      <c r="R346" s="668">
        <v>0</v>
      </c>
      <c r="S346" s="668">
        <v>0</v>
      </c>
      <c r="T346" s="668">
        <v>0</v>
      </c>
      <c r="U346" s="668">
        <v>562601.36</v>
      </c>
      <c r="V346" s="668">
        <v>272072.75</v>
      </c>
      <c r="W346" s="668">
        <v>163111</v>
      </c>
      <c r="X346" s="668">
        <v>0</v>
      </c>
      <c r="Y346" s="668">
        <v>166589.15000000002</v>
      </c>
      <c r="Z346" s="668">
        <v>1695789.7000000002</v>
      </c>
      <c r="AA346" s="666">
        <v>646789.94818181801</v>
      </c>
      <c r="AB346" s="668">
        <v>0.11000000055810233</v>
      </c>
      <c r="AC346" s="643">
        <v>3506953.9081818182</v>
      </c>
      <c r="AD346" s="643">
        <v>4297785.1100000003</v>
      </c>
      <c r="AE346" s="718">
        <v>790831.2</v>
      </c>
      <c r="AF346" s="618">
        <f t="shared" si="30"/>
        <v>6.0443454029280082E-3</v>
      </c>
    </row>
    <row r="347" spans="1:32" hidden="1" x14ac:dyDescent="0.25">
      <c r="A347" s="725" t="s">
        <v>899</v>
      </c>
      <c r="B347" s="749" t="s">
        <v>900</v>
      </c>
      <c r="C347" s="635">
        <f t="shared" si="31"/>
        <v>0</v>
      </c>
      <c r="D347" s="635">
        <f t="shared" si="32"/>
        <v>0</v>
      </c>
      <c r="E347" s="635">
        <f t="shared" si="33"/>
        <v>0</v>
      </c>
      <c r="F347" s="635">
        <f t="shared" si="34"/>
        <v>997785.11</v>
      </c>
      <c r="G347" s="635">
        <f t="shared" si="35"/>
        <v>64617.93</v>
      </c>
      <c r="H347" s="648">
        <v>0</v>
      </c>
      <c r="I347" s="648">
        <v>0</v>
      </c>
      <c r="J347" s="648">
        <v>0</v>
      </c>
      <c r="K347" s="648">
        <v>0</v>
      </c>
      <c r="L347" s="648">
        <v>0</v>
      </c>
      <c r="M347" s="648">
        <v>0</v>
      </c>
      <c r="N347" s="648">
        <v>0</v>
      </c>
      <c r="O347" s="648">
        <v>0</v>
      </c>
      <c r="P347" s="648">
        <v>0</v>
      </c>
      <c r="Q347" s="648">
        <v>0</v>
      </c>
      <c r="R347" s="648">
        <v>0</v>
      </c>
      <c r="S347" s="648">
        <v>0</v>
      </c>
      <c r="T347" s="648">
        <v>0</v>
      </c>
      <c r="U347" s="648">
        <v>562601.36</v>
      </c>
      <c r="V347" s="648">
        <v>272072.75</v>
      </c>
      <c r="W347" s="648">
        <v>163111</v>
      </c>
      <c r="X347" s="648">
        <v>0</v>
      </c>
      <c r="Y347" s="648">
        <v>58982.69</v>
      </c>
      <c r="Z347" s="648">
        <v>13.1</v>
      </c>
      <c r="AA347" s="641">
        <v>5622.14</v>
      </c>
      <c r="AB347" s="648">
        <v>0.11000000009244104</v>
      </c>
      <c r="AC347" s="643">
        <v>1062403.04</v>
      </c>
      <c r="AD347" s="643">
        <v>997785.11</v>
      </c>
      <c r="AE347" s="643">
        <v>-64617.93</v>
      </c>
      <c r="AF347" s="618">
        <f t="shared" si="30"/>
        <v>1.8310850667010866E-3</v>
      </c>
    </row>
    <row r="348" spans="1:32" hidden="1" x14ac:dyDescent="0.25">
      <c r="A348" s="725" t="s">
        <v>901</v>
      </c>
      <c r="B348" s="749" t="s">
        <v>902</v>
      </c>
      <c r="C348" s="635">
        <f t="shared" si="31"/>
        <v>0</v>
      </c>
      <c r="D348" s="635">
        <f t="shared" si="32"/>
        <v>0</v>
      </c>
      <c r="E348" s="635">
        <f t="shared" si="33"/>
        <v>0</v>
      </c>
      <c r="F348" s="635">
        <f t="shared" si="34"/>
        <v>0</v>
      </c>
      <c r="G348" s="635">
        <f t="shared" si="35"/>
        <v>2444550.8681818182</v>
      </c>
      <c r="H348" s="648">
        <v>0</v>
      </c>
      <c r="I348" s="648">
        <v>0</v>
      </c>
      <c r="J348" s="648">
        <v>0</v>
      </c>
      <c r="K348" s="648">
        <v>0</v>
      </c>
      <c r="L348" s="648">
        <v>0</v>
      </c>
      <c r="M348" s="648">
        <v>0</v>
      </c>
      <c r="N348" s="648">
        <v>0</v>
      </c>
      <c r="O348" s="648">
        <v>0</v>
      </c>
      <c r="P348" s="648">
        <v>0</v>
      </c>
      <c r="Q348" s="648">
        <v>0</v>
      </c>
      <c r="R348" s="648">
        <v>0</v>
      </c>
      <c r="S348" s="648">
        <v>0</v>
      </c>
      <c r="T348" s="648">
        <v>0</v>
      </c>
      <c r="U348" s="648">
        <v>0</v>
      </c>
      <c r="V348" s="648">
        <v>0</v>
      </c>
      <c r="W348" s="648">
        <v>0</v>
      </c>
      <c r="X348" s="648">
        <v>0</v>
      </c>
      <c r="Y348" s="648">
        <v>107606.46</v>
      </c>
      <c r="Z348" s="657">
        <v>1695776.6</v>
      </c>
      <c r="AA348" s="641">
        <v>641167.80818181788</v>
      </c>
      <c r="AB348" s="648">
        <v>4.6566128730773926E-10</v>
      </c>
      <c r="AC348" s="643">
        <v>2444550.8681818182</v>
      </c>
      <c r="AD348" s="643">
        <v>3300000</v>
      </c>
      <c r="AE348" s="643">
        <v>855449.13</v>
      </c>
      <c r="AF348" s="618">
        <f t="shared" si="30"/>
        <v>4.2132603362269212E-3</v>
      </c>
    </row>
    <row r="349" spans="1:32" hidden="1" x14ac:dyDescent="0.25">
      <c r="A349" s="715" t="s">
        <v>903</v>
      </c>
      <c r="B349" s="716" t="s">
        <v>904</v>
      </c>
      <c r="C349" s="635">
        <f t="shared" si="31"/>
        <v>0</v>
      </c>
      <c r="D349" s="635">
        <f t="shared" si="32"/>
        <v>0</v>
      </c>
      <c r="E349" s="635">
        <f t="shared" si="33"/>
        <v>34824.480000000003</v>
      </c>
      <c r="F349" s="635">
        <f t="shared" si="34"/>
        <v>25251.47</v>
      </c>
      <c r="G349" s="635">
        <f t="shared" si="35"/>
        <v>46786.66</v>
      </c>
      <c r="H349" s="668">
        <v>0</v>
      </c>
      <c r="I349" s="668">
        <v>0</v>
      </c>
      <c r="J349" s="668">
        <v>0</v>
      </c>
      <c r="K349" s="668">
        <v>0</v>
      </c>
      <c r="L349" s="668">
        <v>0</v>
      </c>
      <c r="M349" s="668">
        <v>0</v>
      </c>
      <c r="N349" s="668">
        <v>0</v>
      </c>
      <c r="O349" s="668">
        <v>0</v>
      </c>
      <c r="P349" s="668">
        <v>0</v>
      </c>
      <c r="Q349" s="668">
        <v>0</v>
      </c>
      <c r="R349" s="668">
        <v>34824.480000000003</v>
      </c>
      <c r="S349" s="668">
        <v>0</v>
      </c>
      <c r="T349" s="668">
        <v>0</v>
      </c>
      <c r="U349" s="668">
        <v>11749.07</v>
      </c>
      <c r="V349" s="668">
        <v>0</v>
      </c>
      <c r="W349" s="668">
        <v>13502.4</v>
      </c>
      <c r="X349" s="668">
        <v>0</v>
      </c>
      <c r="Y349" s="668">
        <v>0</v>
      </c>
      <c r="Z349" s="750">
        <v>0</v>
      </c>
      <c r="AA349" s="666">
        <v>46786.66</v>
      </c>
      <c r="AB349" s="668">
        <v>934.30999999999767</v>
      </c>
      <c r="AC349" s="643">
        <v>106862.61</v>
      </c>
      <c r="AD349" s="643">
        <v>109877.15</v>
      </c>
      <c r="AE349" s="718">
        <v>3014.54</v>
      </c>
      <c r="AF349" s="618">
        <f t="shared" si="30"/>
        <v>1.8418107064123443E-4</v>
      </c>
    </row>
    <row r="350" spans="1:32" hidden="1" x14ac:dyDescent="0.25">
      <c r="A350" s="658" t="s">
        <v>481</v>
      </c>
      <c r="B350" s="659">
        <v>0</v>
      </c>
      <c r="C350" s="635">
        <f t="shared" si="31"/>
        <v>0</v>
      </c>
      <c r="D350" s="635">
        <f t="shared" si="32"/>
        <v>0</v>
      </c>
      <c r="E350" s="635">
        <f t="shared" si="33"/>
        <v>0</v>
      </c>
      <c r="F350" s="635">
        <f t="shared" si="34"/>
        <v>0</v>
      </c>
      <c r="G350" s="635">
        <f t="shared" si="35"/>
        <v>0</v>
      </c>
      <c r="H350" s="660">
        <v>0</v>
      </c>
      <c r="I350" s="660">
        <v>0</v>
      </c>
      <c r="J350" s="660">
        <v>0</v>
      </c>
      <c r="K350" s="660">
        <v>0</v>
      </c>
      <c r="L350" s="660">
        <v>0</v>
      </c>
      <c r="M350" s="660">
        <v>0</v>
      </c>
      <c r="N350" s="660">
        <v>0</v>
      </c>
      <c r="O350" s="660">
        <v>0</v>
      </c>
      <c r="P350" s="660">
        <v>0</v>
      </c>
      <c r="Q350" s="660">
        <v>0</v>
      </c>
      <c r="R350" s="660">
        <v>0</v>
      </c>
      <c r="S350" s="660">
        <v>0</v>
      </c>
      <c r="T350" s="660">
        <v>0</v>
      </c>
      <c r="U350" s="660">
        <v>0</v>
      </c>
      <c r="V350" s="660">
        <v>0</v>
      </c>
      <c r="W350" s="660">
        <v>0</v>
      </c>
      <c r="X350" s="660">
        <v>0</v>
      </c>
      <c r="Y350" s="660">
        <v>0</v>
      </c>
      <c r="Z350" s="660">
        <v>0</v>
      </c>
      <c r="AA350" s="661">
        <v>0</v>
      </c>
      <c r="AB350" s="660">
        <v>0</v>
      </c>
      <c r="AC350" s="647">
        <v>0</v>
      </c>
      <c r="AD350" s="647">
        <v>0</v>
      </c>
      <c r="AE350" s="643">
        <v>0</v>
      </c>
      <c r="AF350" s="618">
        <f t="shared" si="30"/>
        <v>0</v>
      </c>
    </row>
    <row r="351" spans="1:32" ht="25.5" hidden="1" x14ac:dyDescent="0.25">
      <c r="A351" s="658" t="s">
        <v>482</v>
      </c>
      <c r="B351" s="659">
        <v>0</v>
      </c>
      <c r="C351" s="635">
        <f t="shared" si="31"/>
        <v>0</v>
      </c>
      <c r="D351" s="635">
        <f t="shared" si="32"/>
        <v>0</v>
      </c>
      <c r="E351" s="635">
        <f t="shared" si="33"/>
        <v>0</v>
      </c>
      <c r="F351" s="635">
        <f t="shared" si="34"/>
        <v>0</v>
      </c>
      <c r="G351" s="635">
        <f t="shared" si="35"/>
        <v>0</v>
      </c>
      <c r="H351" s="660">
        <v>0</v>
      </c>
      <c r="I351" s="660">
        <v>0</v>
      </c>
      <c r="J351" s="660">
        <v>0</v>
      </c>
      <c r="K351" s="660">
        <v>0</v>
      </c>
      <c r="L351" s="660">
        <v>0</v>
      </c>
      <c r="M351" s="660">
        <v>0</v>
      </c>
      <c r="N351" s="660">
        <v>0</v>
      </c>
      <c r="O351" s="660">
        <v>0</v>
      </c>
      <c r="P351" s="660">
        <v>0</v>
      </c>
      <c r="Q351" s="660">
        <v>0</v>
      </c>
      <c r="R351" s="660">
        <v>0</v>
      </c>
      <c r="S351" s="660">
        <v>0</v>
      </c>
      <c r="T351" s="660">
        <v>0</v>
      </c>
      <c r="U351" s="660">
        <v>0</v>
      </c>
      <c r="V351" s="660">
        <v>0</v>
      </c>
      <c r="W351" s="660">
        <v>0</v>
      </c>
      <c r="X351" s="660">
        <v>0</v>
      </c>
      <c r="Y351" s="660">
        <v>0</v>
      </c>
      <c r="Z351" s="660">
        <v>0</v>
      </c>
      <c r="AA351" s="661">
        <v>0</v>
      </c>
      <c r="AB351" s="660">
        <v>1216417.53</v>
      </c>
      <c r="AC351" s="647">
        <v>0</v>
      </c>
      <c r="AD351" s="647">
        <v>0</v>
      </c>
      <c r="AE351" s="643">
        <v>0</v>
      </c>
      <c r="AF351" s="618">
        <f t="shared" si="30"/>
        <v>0</v>
      </c>
    </row>
    <row r="352" spans="1:32" hidden="1" x14ac:dyDescent="0.25">
      <c r="A352" s="658" t="s">
        <v>483</v>
      </c>
      <c r="B352" s="659"/>
      <c r="C352" s="635">
        <f t="shared" si="31"/>
        <v>0</v>
      </c>
      <c r="D352" s="635">
        <f t="shared" si="32"/>
        <v>0</v>
      </c>
      <c r="E352" s="635">
        <f t="shared" si="33"/>
        <v>0</v>
      </c>
      <c r="F352" s="635">
        <f t="shared" si="34"/>
        <v>0</v>
      </c>
      <c r="G352" s="635">
        <f t="shared" si="35"/>
        <v>1784.73</v>
      </c>
      <c r="H352" s="660">
        <v>0</v>
      </c>
      <c r="I352" s="660">
        <v>0</v>
      </c>
      <c r="J352" s="660">
        <v>0</v>
      </c>
      <c r="K352" s="660">
        <v>0</v>
      </c>
      <c r="L352" s="660">
        <v>0</v>
      </c>
      <c r="M352" s="660">
        <v>0</v>
      </c>
      <c r="N352" s="660">
        <v>0</v>
      </c>
      <c r="O352" s="660">
        <v>0</v>
      </c>
      <c r="P352" s="660">
        <v>0</v>
      </c>
      <c r="Q352" s="660">
        <v>0</v>
      </c>
      <c r="R352" s="660">
        <v>0</v>
      </c>
      <c r="S352" s="660">
        <v>0</v>
      </c>
      <c r="T352" s="660">
        <v>0</v>
      </c>
      <c r="U352" s="660">
        <v>0</v>
      </c>
      <c r="V352" s="660">
        <v>0</v>
      </c>
      <c r="W352" s="660">
        <v>0</v>
      </c>
      <c r="X352" s="660">
        <v>0</v>
      </c>
      <c r="Y352" s="660">
        <v>0</v>
      </c>
      <c r="Z352" s="660">
        <v>0</v>
      </c>
      <c r="AA352" s="661">
        <v>1784.73</v>
      </c>
      <c r="AB352" s="660"/>
      <c r="AC352" s="647">
        <v>1784.73</v>
      </c>
      <c r="AD352" s="647">
        <v>4018.81</v>
      </c>
      <c r="AE352" s="643">
        <v>2234.08</v>
      </c>
      <c r="AF352" s="618">
        <f t="shared" si="30"/>
        <v>3.0760383094286235E-6</v>
      </c>
    </row>
    <row r="353" spans="1:32" hidden="1" x14ac:dyDescent="0.25">
      <c r="A353" s="693" t="s">
        <v>905</v>
      </c>
      <c r="B353" s="694">
        <v>0</v>
      </c>
      <c r="C353" s="635">
        <f t="shared" si="31"/>
        <v>6505569.9000000004</v>
      </c>
      <c r="D353" s="635">
        <f t="shared" si="32"/>
        <v>12927231.76</v>
      </c>
      <c r="E353" s="635">
        <f t="shared" si="33"/>
        <v>276386.81</v>
      </c>
      <c r="F353" s="635">
        <f t="shared" si="34"/>
        <v>7715901.7000000002</v>
      </c>
      <c r="G353" s="635">
        <f t="shared" si="35"/>
        <v>15353531.143636363</v>
      </c>
      <c r="H353" s="697">
        <v>0</v>
      </c>
      <c r="I353" s="697">
        <v>72951.899999999994</v>
      </c>
      <c r="J353" s="697">
        <v>6432618</v>
      </c>
      <c r="K353" s="697">
        <v>0</v>
      </c>
      <c r="L353" s="697">
        <v>6454238.29</v>
      </c>
      <c r="M353" s="697">
        <v>21777.63</v>
      </c>
      <c r="N353" s="697">
        <v>6069162.3499999996</v>
      </c>
      <c r="O353" s="697">
        <v>382053.49</v>
      </c>
      <c r="P353" s="697">
        <v>7022.07</v>
      </c>
      <c r="Q353" s="711">
        <v>201722.3</v>
      </c>
      <c r="R353" s="697">
        <v>43202.44</v>
      </c>
      <c r="S353" s="697">
        <v>24440</v>
      </c>
      <c r="T353" s="697">
        <v>6262753.7400000002</v>
      </c>
      <c r="U353" s="697">
        <v>575626.74</v>
      </c>
      <c r="V353" s="697">
        <v>682577.33000000007</v>
      </c>
      <c r="W353" s="697">
        <v>194943.89</v>
      </c>
      <c r="X353" s="697">
        <v>1468355.05</v>
      </c>
      <c r="Y353" s="697">
        <v>938826.90999999992</v>
      </c>
      <c r="Z353" s="697">
        <v>3679800.14</v>
      </c>
      <c r="AA353" s="697">
        <v>9266549.043636363</v>
      </c>
      <c r="AB353" s="697">
        <v>1396631.2445454546</v>
      </c>
      <c r="AC353" s="697">
        <v>42778621.313636363</v>
      </c>
      <c r="AD353" s="697">
        <v>44175252.559999995</v>
      </c>
      <c r="AE353" s="697">
        <v>1396631.25</v>
      </c>
      <c r="AF353" s="618">
        <f t="shared" si="30"/>
        <v>7.3730299813016695E-2</v>
      </c>
    </row>
    <row r="354" spans="1:32" hidden="1" x14ac:dyDescent="0.25">
      <c r="A354" s="699" t="s">
        <v>906</v>
      </c>
      <c r="B354" s="712"/>
      <c r="C354" s="635">
        <f t="shared" si="31"/>
        <v>0</v>
      </c>
      <c r="D354" s="635">
        <f t="shared" si="32"/>
        <v>0</v>
      </c>
      <c r="E354" s="635">
        <f t="shared" si="33"/>
        <v>0</v>
      </c>
      <c r="F354" s="635">
        <f t="shared" si="34"/>
        <v>0</v>
      </c>
      <c r="G354" s="635">
        <f t="shared" si="35"/>
        <v>0</v>
      </c>
      <c r="H354" s="745"/>
      <c r="I354" s="745"/>
      <c r="J354" s="745"/>
      <c r="K354" s="745"/>
      <c r="L354" s="745"/>
      <c r="M354" s="745"/>
      <c r="N354" s="745"/>
      <c r="O354" s="745"/>
      <c r="P354" s="745">
        <v>0</v>
      </c>
      <c r="Q354" s="746">
        <v>0</v>
      </c>
      <c r="R354" s="745">
        <v>0</v>
      </c>
      <c r="S354" s="745">
        <v>0</v>
      </c>
      <c r="T354" s="745">
        <v>0</v>
      </c>
      <c r="U354" s="745">
        <v>0</v>
      </c>
      <c r="V354" s="745">
        <v>0</v>
      </c>
      <c r="W354" s="745">
        <v>0</v>
      </c>
      <c r="X354" s="745">
        <v>0</v>
      </c>
      <c r="Y354" s="745">
        <v>0</v>
      </c>
      <c r="Z354" s="745">
        <v>0</v>
      </c>
      <c r="AA354" s="745">
        <v>0</v>
      </c>
      <c r="AB354" s="745"/>
      <c r="AC354" s="747"/>
      <c r="AD354" s="747">
        <v>0</v>
      </c>
      <c r="AE354" s="747">
        <v>0</v>
      </c>
      <c r="AF354" s="618">
        <f t="shared" si="30"/>
        <v>0</v>
      </c>
    </row>
    <row r="355" spans="1:32" hidden="1" x14ac:dyDescent="0.25">
      <c r="A355" s="634" t="s">
        <v>907</v>
      </c>
      <c r="B355" s="701" t="s">
        <v>908</v>
      </c>
      <c r="C355" s="635">
        <f t="shared" si="31"/>
        <v>275639.84999999998</v>
      </c>
      <c r="D355" s="635">
        <f t="shared" si="32"/>
        <v>1246427.4533666666</v>
      </c>
      <c r="E355" s="635">
        <f t="shared" si="33"/>
        <v>1697123.78</v>
      </c>
      <c r="F355" s="635">
        <f t="shared" si="34"/>
        <v>1301645.9899999998</v>
      </c>
      <c r="G355" s="635">
        <f t="shared" si="35"/>
        <v>505984.33999999997</v>
      </c>
      <c r="H355" s="662">
        <v>0</v>
      </c>
      <c r="I355" s="662">
        <v>0</v>
      </c>
      <c r="J355" s="662">
        <v>123111.64</v>
      </c>
      <c r="K355" s="662">
        <v>152528.21</v>
      </c>
      <c r="L355" s="662">
        <v>75872.929999999993</v>
      </c>
      <c r="M355" s="662">
        <v>549408.76336666662</v>
      </c>
      <c r="N355" s="662">
        <v>202659.38000000003</v>
      </c>
      <c r="O355" s="662">
        <v>418486.38000000006</v>
      </c>
      <c r="P355" s="662">
        <v>420556.77</v>
      </c>
      <c r="Q355" s="663">
        <v>373080.10000000003</v>
      </c>
      <c r="R355" s="662">
        <v>297775.99</v>
      </c>
      <c r="S355" s="662">
        <v>605710.91999999993</v>
      </c>
      <c r="T355" s="662">
        <v>593224.44999999995</v>
      </c>
      <c r="U355" s="662">
        <v>550910.71999999997</v>
      </c>
      <c r="V355" s="662">
        <v>131059.63</v>
      </c>
      <c r="W355" s="662">
        <v>26451.19</v>
      </c>
      <c r="X355" s="662">
        <v>118489.66999999998</v>
      </c>
      <c r="Y355" s="662">
        <v>4014.41</v>
      </c>
      <c r="Z355" s="662">
        <v>269312.64000000001</v>
      </c>
      <c r="AA355" s="636">
        <v>114167.62</v>
      </c>
      <c r="AB355" s="662">
        <v>-1105.2299999998772</v>
      </c>
      <c r="AC355" s="638">
        <v>5025651.1000000006</v>
      </c>
      <c r="AD355" s="662">
        <v>4924858.6300000008</v>
      </c>
      <c r="AE355" s="638">
        <v>-100792.47</v>
      </c>
      <c r="AF355" s="618">
        <f t="shared" si="30"/>
        <v>8.6618677970461098E-3</v>
      </c>
    </row>
    <row r="356" spans="1:32" hidden="1" x14ac:dyDescent="0.25">
      <c r="A356" s="664" t="s">
        <v>909</v>
      </c>
      <c r="B356" s="665" t="s">
        <v>910</v>
      </c>
      <c r="C356" s="635">
        <f t="shared" si="31"/>
        <v>223381.52</v>
      </c>
      <c r="D356" s="635">
        <f t="shared" si="32"/>
        <v>247020.33000000002</v>
      </c>
      <c r="E356" s="635">
        <f t="shared" si="33"/>
        <v>244667.1</v>
      </c>
      <c r="F356" s="635">
        <f t="shared" si="34"/>
        <v>0</v>
      </c>
      <c r="G356" s="635">
        <f t="shared" si="35"/>
        <v>0</v>
      </c>
      <c r="H356" s="666">
        <v>0</v>
      </c>
      <c r="I356" s="666">
        <v>0</v>
      </c>
      <c r="J356" s="666">
        <v>107290</v>
      </c>
      <c r="K356" s="666">
        <v>116091.51999999999</v>
      </c>
      <c r="L356" s="666">
        <v>41761.929999999993</v>
      </c>
      <c r="M356" s="666">
        <v>88618.55</v>
      </c>
      <c r="N356" s="666">
        <v>66626.8</v>
      </c>
      <c r="O356" s="666">
        <v>50013.05</v>
      </c>
      <c r="P356" s="666">
        <v>209134</v>
      </c>
      <c r="Q356" s="681">
        <v>35533.1</v>
      </c>
      <c r="R356" s="666">
        <v>0</v>
      </c>
      <c r="S356" s="666">
        <v>0</v>
      </c>
      <c r="T356" s="666">
        <v>0</v>
      </c>
      <c r="U356" s="666">
        <v>0</v>
      </c>
      <c r="V356" s="666">
        <v>0</v>
      </c>
      <c r="W356" s="666">
        <v>0</v>
      </c>
      <c r="X356" s="666">
        <v>0</v>
      </c>
      <c r="Y356" s="666">
        <v>0</v>
      </c>
      <c r="Z356" s="666">
        <v>0</v>
      </c>
      <c r="AA356" s="666">
        <v>0</v>
      </c>
      <c r="AB356" s="666">
        <v>0</v>
      </c>
      <c r="AC356" s="643">
        <v>715068.95</v>
      </c>
      <c r="AD356" s="643">
        <v>715068.95</v>
      </c>
      <c r="AE356" s="718">
        <v>0</v>
      </c>
      <c r="AF356" s="618">
        <f t="shared" si="30"/>
        <v>1.2324438341277956E-3</v>
      </c>
    </row>
    <row r="357" spans="1:32" hidden="1" x14ac:dyDescent="0.25">
      <c r="A357" s="702" t="s">
        <v>911</v>
      </c>
      <c r="B357" s="640" t="s">
        <v>910</v>
      </c>
      <c r="C357" s="635">
        <f t="shared" si="31"/>
        <v>107290</v>
      </c>
      <c r="D357" s="635">
        <f t="shared" si="32"/>
        <v>0</v>
      </c>
      <c r="E357" s="635">
        <f t="shared" si="33"/>
        <v>0</v>
      </c>
      <c r="F357" s="635">
        <f t="shared" si="34"/>
        <v>0</v>
      </c>
      <c r="G357" s="635">
        <f t="shared" si="35"/>
        <v>0</v>
      </c>
      <c r="H357" s="641">
        <v>0</v>
      </c>
      <c r="I357" s="641">
        <v>0</v>
      </c>
      <c r="J357" s="641">
        <v>107290</v>
      </c>
      <c r="K357" s="641">
        <v>0</v>
      </c>
      <c r="L357" s="641">
        <v>50469.45</v>
      </c>
      <c r="M357" s="641">
        <v>-50469.45</v>
      </c>
      <c r="N357" s="641">
        <v>0</v>
      </c>
      <c r="O357" s="641">
        <v>0</v>
      </c>
      <c r="P357" s="641">
        <v>0</v>
      </c>
      <c r="Q357" s="641">
        <v>0</v>
      </c>
      <c r="R357" s="641">
        <v>0</v>
      </c>
      <c r="S357" s="641">
        <v>0</v>
      </c>
      <c r="T357" s="641">
        <v>0</v>
      </c>
      <c r="U357" s="641">
        <v>0</v>
      </c>
      <c r="V357" s="641">
        <v>0</v>
      </c>
      <c r="W357" s="641">
        <v>0</v>
      </c>
      <c r="X357" s="641">
        <v>0</v>
      </c>
      <c r="Y357" s="641">
        <v>0</v>
      </c>
      <c r="Z357" s="641">
        <v>0</v>
      </c>
      <c r="AA357" s="641">
        <v>0</v>
      </c>
      <c r="AB357" s="641">
        <v>0</v>
      </c>
      <c r="AC357" s="643">
        <v>107290</v>
      </c>
      <c r="AD357" s="643">
        <v>107290</v>
      </c>
      <c r="AE357" s="718">
        <v>0</v>
      </c>
      <c r="AF357" s="618">
        <f t="shared" si="30"/>
        <v>1.849176907535577E-4</v>
      </c>
    </row>
    <row r="358" spans="1:32" hidden="1" x14ac:dyDescent="0.25">
      <c r="A358" s="644" t="s">
        <v>912</v>
      </c>
      <c r="B358" s="640" t="s">
        <v>910</v>
      </c>
      <c r="C358" s="635">
        <f t="shared" si="31"/>
        <v>0</v>
      </c>
      <c r="D358" s="635">
        <f t="shared" si="32"/>
        <v>255727.84999999998</v>
      </c>
      <c r="E358" s="635">
        <f t="shared" si="33"/>
        <v>101613.1</v>
      </c>
      <c r="F358" s="635">
        <f t="shared" si="34"/>
        <v>0</v>
      </c>
      <c r="G358" s="635">
        <f t="shared" si="35"/>
        <v>0</v>
      </c>
      <c r="H358" s="641">
        <v>0</v>
      </c>
      <c r="I358" s="641">
        <v>0</v>
      </c>
      <c r="J358" s="641">
        <v>0</v>
      </c>
      <c r="K358" s="641">
        <v>0</v>
      </c>
      <c r="L358" s="641">
        <v>0</v>
      </c>
      <c r="M358" s="641">
        <v>139088</v>
      </c>
      <c r="N358" s="641">
        <v>66626.8</v>
      </c>
      <c r="O358" s="641">
        <v>50013.05</v>
      </c>
      <c r="P358" s="641">
        <v>66080</v>
      </c>
      <c r="Q358" s="641">
        <v>35533.1</v>
      </c>
      <c r="R358" s="641">
        <v>0</v>
      </c>
      <c r="S358" s="641">
        <v>0</v>
      </c>
      <c r="T358" s="641">
        <v>0</v>
      </c>
      <c r="U358" s="641">
        <v>0</v>
      </c>
      <c r="V358" s="641">
        <v>0</v>
      </c>
      <c r="W358" s="641">
        <v>0</v>
      </c>
      <c r="X358" s="641">
        <v>0</v>
      </c>
      <c r="Y358" s="641">
        <v>0</v>
      </c>
      <c r="Z358" s="641">
        <v>0</v>
      </c>
      <c r="AA358" s="641">
        <v>0</v>
      </c>
      <c r="AB358" s="641">
        <v>0</v>
      </c>
      <c r="AC358" s="643">
        <v>357340.95</v>
      </c>
      <c r="AD358" s="643">
        <v>357340.95</v>
      </c>
      <c r="AE358" s="718">
        <v>0</v>
      </c>
      <c r="AF358" s="618">
        <f t="shared" si="30"/>
        <v>6.158883706373616E-4</v>
      </c>
    </row>
    <row r="359" spans="1:32" hidden="1" x14ac:dyDescent="0.25">
      <c r="A359" s="702" t="s">
        <v>913</v>
      </c>
      <c r="B359" s="640" t="s">
        <v>910</v>
      </c>
      <c r="C359" s="635">
        <f t="shared" si="31"/>
        <v>116091.51999999999</v>
      </c>
      <c r="D359" s="635">
        <f t="shared" si="32"/>
        <v>-8707.52</v>
      </c>
      <c r="E359" s="635">
        <f t="shared" si="33"/>
        <v>0</v>
      </c>
      <c r="F359" s="635">
        <f t="shared" si="34"/>
        <v>0</v>
      </c>
      <c r="G359" s="635">
        <f t="shared" si="35"/>
        <v>0</v>
      </c>
      <c r="H359" s="641">
        <v>0</v>
      </c>
      <c r="I359" s="641">
        <v>0</v>
      </c>
      <c r="J359" s="641">
        <v>0</v>
      </c>
      <c r="K359" s="641">
        <v>116091.51999999999</v>
      </c>
      <c r="L359" s="641">
        <v>-8707.52</v>
      </c>
      <c r="M359" s="641">
        <v>0</v>
      </c>
      <c r="N359" s="641">
        <v>0</v>
      </c>
      <c r="O359" s="641">
        <v>0</v>
      </c>
      <c r="P359" s="641">
        <v>0</v>
      </c>
      <c r="Q359" s="641">
        <v>0</v>
      </c>
      <c r="R359" s="641">
        <v>0</v>
      </c>
      <c r="S359" s="641">
        <v>0</v>
      </c>
      <c r="T359" s="641">
        <v>0</v>
      </c>
      <c r="U359" s="641">
        <v>0</v>
      </c>
      <c r="V359" s="641">
        <v>0</v>
      </c>
      <c r="W359" s="641">
        <v>0</v>
      </c>
      <c r="X359" s="641">
        <v>0</v>
      </c>
      <c r="Y359" s="641">
        <v>0</v>
      </c>
      <c r="Z359" s="641">
        <v>0</v>
      </c>
      <c r="AA359" s="641">
        <v>0</v>
      </c>
      <c r="AB359" s="641">
        <v>0</v>
      </c>
      <c r="AC359" s="643">
        <v>107384</v>
      </c>
      <c r="AD359" s="643">
        <v>107384</v>
      </c>
      <c r="AE359" s="718">
        <v>0</v>
      </c>
      <c r="AF359" s="618">
        <f t="shared" si="30"/>
        <v>1.8507970271115703E-4</v>
      </c>
    </row>
    <row r="360" spans="1:32" hidden="1" x14ac:dyDescent="0.25">
      <c r="A360" s="702" t="s">
        <v>914</v>
      </c>
      <c r="B360" s="640" t="s">
        <v>910</v>
      </c>
      <c r="C360" s="635">
        <f t="shared" si="31"/>
        <v>0</v>
      </c>
      <c r="D360" s="635">
        <f t="shared" si="32"/>
        <v>0</v>
      </c>
      <c r="E360" s="635">
        <f t="shared" si="33"/>
        <v>143054</v>
      </c>
      <c r="F360" s="635">
        <f t="shared" si="34"/>
        <v>0</v>
      </c>
      <c r="G360" s="635">
        <f t="shared" si="35"/>
        <v>0</v>
      </c>
      <c r="H360" s="641">
        <v>0</v>
      </c>
      <c r="I360" s="641">
        <v>0</v>
      </c>
      <c r="J360" s="641">
        <v>0</v>
      </c>
      <c r="K360" s="641">
        <v>0</v>
      </c>
      <c r="L360" s="641">
        <v>0</v>
      </c>
      <c r="M360" s="641">
        <v>0</v>
      </c>
      <c r="N360" s="641">
        <v>0</v>
      </c>
      <c r="O360" s="641">
        <v>0</v>
      </c>
      <c r="P360" s="641">
        <v>143054</v>
      </c>
      <c r="Q360" s="641">
        <v>0</v>
      </c>
      <c r="R360" s="641">
        <v>0</v>
      </c>
      <c r="S360" s="641">
        <v>0</v>
      </c>
      <c r="T360" s="641">
        <v>0</v>
      </c>
      <c r="U360" s="641">
        <v>0</v>
      </c>
      <c r="V360" s="641">
        <v>0</v>
      </c>
      <c r="W360" s="641">
        <v>0</v>
      </c>
      <c r="X360" s="641">
        <v>0</v>
      </c>
      <c r="Y360" s="641">
        <v>0</v>
      </c>
      <c r="Z360" s="641">
        <v>0</v>
      </c>
      <c r="AA360" s="641">
        <v>0</v>
      </c>
      <c r="AB360" s="641">
        <v>0</v>
      </c>
      <c r="AC360" s="643">
        <v>143054</v>
      </c>
      <c r="AD360" s="643">
        <v>143054</v>
      </c>
      <c r="AE360" s="718">
        <v>0</v>
      </c>
      <c r="AF360" s="618">
        <f t="shared" si="30"/>
        <v>2.4655807002571946E-4</v>
      </c>
    </row>
    <row r="361" spans="1:32" hidden="1" x14ac:dyDescent="0.25">
      <c r="A361" s="702" t="s">
        <v>915</v>
      </c>
      <c r="B361" s="640" t="s">
        <v>910</v>
      </c>
      <c r="C361" s="635">
        <f t="shared" si="31"/>
        <v>0</v>
      </c>
      <c r="D361" s="635">
        <f t="shared" si="32"/>
        <v>0</v>
      </c>
      <c r="E361" s="635">
        <f t="shared" si="33"/>
        <v>0</v>
      </c>
      <c r="F361" s="635">
        <f t="shared" si="34"/>
        <v>0</v>
      </c>
      <c r="G361" s="635">
        <f t="shared" si="35"/>
        <v>0</v>
      </c>
      <c r="H361" s="641">
        <v>0</v>
      </c>
      <c r="I361" s="641">
        <v>0</v>
      </c>
      <c r="J361" s="641">
        <v>0</v>
      </c>
      <c r="K361" s="641">
        <v>0</v>
      </c>
      <c r="L361" s="641">
        <v>0</v>
      </c>
      <c r="M361" s="641">
        <v>0</v>
      </c>
      <c r="N361" s="641">
        <v>0</v>
      </c>
      <c r="O361" s="641">
        <v>0</v>
      </c>
      <c r="P361" s="641">
        <v>0</v>
      </c>
      <c r="Q361" s="641">
        <v>0</v>
      </c>
      <c r="R361" s="641">
        <v>0</v>
      </c>
      <c r="S361" s="641">
        <v>0</v>
      </c>
      <c r="T361" s="641">
        <v>0</v>
      </c>
      <c r="U361" s="641">
        <v>0</v>
      </c>
      <c r="V361" s="641">
        <v>0</v>
      </c>
      <c r="W361" s="641">
        <v>0</v>
      </c>
      <c r="X361" s="641">
        <v>0</v>
      </c>
      <c r="Y361" s="641">
        <v>0</v>
      </c>
      <c r="Z361" s="641">
        <v>0</v>
      </c>
      <c r="AA361" s="641">
        <v>0</v>
      </c>
      <c r="AB361" s="641">
        <v>0</v>
      </c>
      <c r="AC361" s="643">
        <v>0</v>
      </c>
      <c r="AD361" s="643">
        <v>0</v>
      </c>
      <c r="AE361" s="718">
        <v>0</v>
      </c>
      <c r="AF361" s="618">
        <f t="shared" si="30"/>
        <v>0</v>
      </c>
    </row>
    <row r="362" spans="1:32" ht="25.5" hidden="1" x14ac:dyDescent="0.25">
      <c r="A362" s="664" t="s">
        <v>916</v>
      </c>
      <c r="B362" s="665" t="s">
        <v>917</v>
      </c>
      <c r="C362" s="635">
        <f t="shared" si="31"/>
        <v>0</v>
      </c>
      <c r="D362" s="635">
        <f t="shared" si="32"/>
        <v>192413.98</v>
      </c>
      <c r="E362" s="635">
        <f t="shared" si="33"/>
        <v>132633.14000000001</v>
      </c>
      <c r="F362" s="635">
        <f t="shared" si="34"/>
        <v>53977.79</v>
      </c>
      <c r="G362" s="635">
        <f t="shared" si="35"/>
        <v>9835.4599999999991</v>
      </c>
      <c r="H362" s="668">
        <v>0</v>
      </c>
      <c r="I362" s="668">
        <v>0</v>
      </c>
      <c r="J362" s="668">
        <v>0</v>
      </c>
      <c r="K362" s="668">
        <v>0</v>
      </c>
      <c r="L362" s="668">
        <v>22840.09</v>
      </c>
      <c r="M362" s="668">
        <v>51811.5</v>
      </c>
      <c r="N362" s="668">
        <v>77880.070000000007</v>
      </c>
      <c r="O362" s="668">
        <v>39882.32</v>
      </c>
      <c r="P362" s="668">
        <v>45767.54</v>
      </c>
      <c r="Q362" s="669">
        <v>19515.349999999999</v>
      </c>
      <c r="R362" s="668">
        <v>19088.7</v>
      </c>
      <c r="S362" s="668">
        <v>48261.55</v>
      </c>
      <c r="T362" s="668">
        <v>6743.14</v>
      </c>
      <c r="U362" s="668">
        <v>9910.5400000000009</v>
      </c>
      <c r="V362" s="668">
        <v>36648.9</v>
      </c>
      <c r="W362" s="668">
        <v>675.21</v>
      </c>
      <c r="X362" s="668">
        <v>9835.4599999999991</v>
      </c>
      <c r="Y362" s="668">
        <v>0</v>
      </c>
      <c r="Z362" s="668">
        <v>0</v>
      </c>
      <c r="AA362" s="666">
        <v>0</v>
      </c>
      <c r="AB362" s="668">
        <v>-0.26000000000931323</v>
      </c>
      <c r="AC362" s="647">
        <v>388860.37</v>
      </c>
      <c r="AD362" s="647">
        <v>388860.11</v>
      </c>
      <c r="AE362" s="718">
        <v>-0.26</v>
      </c>
      <c r="AF362" s="618">
        <f t="shared" si="30"/>
        <v>6.7021308272880993E-4</v>
      </c>
    </row>
    <row r="363" spans="1:32" hidden="1" x14ac:dyDescent="0.25">
      <c r="A363" s="702" t="s">
        <v>918</v>
      </c>
      <c r="B363" s="656" t="s">
        <v>917</v>
      </c>
      <c r="C363" s="635">
        <f t="shared" si="31"/>
        <v>0</v>
      </c>
      <c r="D363" s="635">
        <f t="shared" si="32"/>
        <v>31381.61</v>
      </c>
      <c r="E363" s="635">
        <f t="shared" si="33"/>
        <v>36188.909999999996</v>
      </c>
      <c r="F363" s="635">
        <f t="shared" si="34"/>
        <v>3416.28</v>
      </c>
      <c r="G363" s="635">
        <f t="shared" si="35"/>
        <v>0</v>
      </c>
      <c r="H363" s="645">
        <v>0</v>
      </c>
      <c r="I363" s="645">
        <v>0</v>
      </c>
      <c r="J363" s="645">
        <v>0</v>
      </c>
      <c r="K363" s="645">
        <v>0</v>
      </c>
      <c r="L363" s="645">
        <v>0</v>
      </c>
      <c r="M363" s="645">
        <v>21079.5</v>
      </c>
      <c r="N363" s="645">
        <v>3832.28</v>
      </c>
      <c r="O363" s="645">
        <v>6469.83</v>
      </c>
      <c r="P363" s="645">
        <v>20195.55</v>
      </c>
      <c r="Q363" s="645">
        <v>15151.47</v>
      </c>
      <c r="R363" s="645">
        <v>841.89</v>
      </c>
      <c r="S363" s="645">
        <v>0</v>
      </c>
      <c r="T363" s="645">
        <v>0</v>
      </c>
      <c r="U363" s="645">
        <v>3416.28</v>
      </c>
      <c r="V363" s="645">
        <v>0</v>
      </c>
      <c r="W363" s="645">
        <v>0</v>
      </c>
      <c r="X363" s="645">
        <v>0</v>
      </c>
      <c r="Y363" s="645">
        <v>0</v>
      </c>
      <c r="Z363" s="645">
        <v>0</v>
      </c>
      <c r="AA363" s="641">
        <v>0</v>
      </c>
      <c r="AB363" s="645">
        <v>0</v>
      </c>
      <c r="AC363" s="643">
        <v>70986.8</v>
      </c>
      <c r="AD363" s="643">
        <v>70986.8</v>
      </c>
      <c r="AE363" s="718">
        <v>0</v>
      </c>
      <c r="AF363" s="618">
        <f t="shared" si="30"/>
        <v>1.2234798331610261E-4</v>
      </c>
    </row>
    <row r="364" spans="1:32" ht="25.5" hidden="1" x14ac:dyDescent="0.25">
      <c r="A364" s="702" t="s">
        <v>919</v>
      </c>
      <c r="B364" s="656" t="s">
        <v>917</v>
      </c>
      <c r="C364" s="635">
        <f t="shared" si="31"/>
        <v>0</v>
      </c>
      <c r="D364" s="635">
        <f t="shared" si="32"/>
        <v>161032.37</v>
      </c>
      <c r="E364" s="635">
        <f t="shared" si="33"/>
        <v>53987.360000000001</v>
      </c>
      <c r="F364" s="635">
        <f t="shared" si="34"/>
        <v>15165.91</v>
      </c>
      <c r="G364" s="635">
        <f t="shared" si="35"/>
        <v>0</v>
      </c>
      <c r="H364" s="645">
        <v>0</v>
      </c>
      <c r="I364" s="645">
        <v>0</v>
      </c>
      <c r="J364" s="645">
        <v>0</v>
      </c>
      <c r="K364" s="645">
        <v>0</v>
      </c>
      <c r="L364" s="645">
        <v>22840.09</v>
      </c>
      <c r="M364" s="645">
        <v>30732</v>
      </c>
      <c r="N364" s="645">
        <v>74047.790000000008</v>
      </c>
      <c r="O364" s="645">
        <v>33412.49</v>
      </c>
      <c r="P364" s="645">
        <v>25571.989999999998</v>
      </c>
      <c r="Q364" s="645">
        <v>3144.82</v>
      </c>
      <c r="R364" s="645">
        <v>19465.870000000003</v>
      </c>
      <c r="S364" s="645">
        <v>5804.68</v>
      </c>
      <c r="T364" s="645">
        <v>1088.3499999999999</v>
      </c>
      <c r="U364" s="645">
        <v>6494.26</v>
      </c>
      <c r="V364" s="645">
        <v>7583.2999999999993</v>
      </c>
      <c r="W364" s="645">
        <v>0</v>
      </c>
      <c r="X364" s="645">
        <v>0</v>
      </c>
      <c r="Y364" s="645">
        <v>0</v>
      </c>
      <c r="Z364" s="645">
        <v>0</v>
      </c>
      <c r="AA364" s="641">
        <v>0</v>
      </c>
      <c r="AB364" s="645">
        <v>-0.26000000000931323</v>
      </c>
      <c r="AC364" s="643">
        <v>230185.64</v>
      </c>
      <c r="AD364" s="643">
        <v>230185.38</v>
      </c>
      <c r="AE364" s="718">
        <v>-0.26</v>
      </c>
      <c r="AF364" s="618">
        <f t="shared" si="30"/>
        <v>3.967321930602084E-4</v>
      </c>
    </row>
    <row r="365" spans="1:32" ht="25.5" hidden="1" x14ac:dyDescent="0.25">
      <c r="A365" s="702" t="s">
        <v>920</v>
      </c>
      <c r="B365" s="656" t="s">
        <v>917</v>
      </c>
      <c r="C365" s="635">
        <f t="shared" si="31"/>
        <v>0</v>
      </c>
      <c r="D365" s="635">
        <f t="shared" si="32"/>
        <v>0</v>
      </c>
      <c r="E365" s="635">
        <f t="shared" si="33"/>
        <v>42456.87</v>
      </c>
      <c r="F365" s="635">
        <f t="shared" si="34"/>
        <v>35395.599999999999</v>
      </c>
      <c r="G365" s="635">
        <f t="shared" si="35"/>
        <v>9835.4599999999991</v>
      </c>
      <c r="H365" s="645">
        <v>0</v>
      </c>
      <c r="I365" s="645">
        <v>0</v>
      </c>
      <c r="J365" s="645">
        <v>0</v>
      </c>
      <c r="K365" s="645">
        <v>0</v>
      </c>
      <c r="L365" s="645">
        <v>0</v>
      </c>
      <c r="M365" s="645">
        <v>0</v>
      </c>
      <c r="N365" s="645">
        <v>0</v>
      </c>
      <c r="O365" s="645">
        <v>0</v>
      </c>
      <c r="P365" s="645">
        <v>0</v>
      </c>
      <c r="Q365" s="645">
        <v>1219.06</v>
      </c>
      <c r="R365" s="645">
        <v>-1219.06</v>
      </c>
      <c r="S365" s="645">
        <v>42456.87</v>
      </c>
      <c r="T365" s="645">
        <v>5654.7900000000009</v>
      </c>
      <c r="U365" s="645">
        <v>0</v>
      </c>
      <c r="V365" s="645">
        <v>29065.600000000002</v>
      </c>
      <c r="W365" s="645">
        <v>675.21</v>
      </c>
      <c r="X365" s="645">
        <v>9835.4599999999991</v>
      </c>
      <c r="Y365" s="645">
        <v>0</v>
      </c>
      <c r="Z365" s="645">
        <v>0</v>
      </c>
      <c r="AA365" s="641">
        <v>0</v>
      </c>
      <c r="AB365" s="645">
        <v>0</v>
      </c>
      <c r="AC365" s="643">
        <v>87687.93</v>
      </c>
      <c r="AD365" s="643">
        <v>87687.93</v>
      </c>
      <c r="AE365" s="718">
        <v>0</v>
      </c>
      <c r="AF365" s="618">
        <f t="shared" si="30"/>
        <v>1.5113290635249894E-4</v>
      </c>
    </row>
    <row r="366" spans="1:32" hidden="1" x14ac:dyDescent="0.25">
      <c r="A366" s="664" t="s">
        <v>921</v>
      </c>
      <c r="B366" s="665" t="s">
        <v>917</v>
      </c>
      <c r="C366" s="635">
        <f t="shared" si="31"/>
        <v>0</v>
      </c>
      <c r="D366" s="635">
        <f t="shared" si="32"/>
        <v>0</v>
      </c>
      <c r="E366" s="635">
        <f t="shared" si="33"/>
        <v>0</v>
      </c>
      <c r="F366" s="635">
        <f t="shared" si="34"/>
        <v>0</v>
      </c>
      <c r="G366" s="635">
        <f t="shared" si="35"/>
        <v>0</v>
      </c>
      <c r="H366" s="668">
        <v>0</v>
      </c>
      <c r="I366" s="668">
        <v>0</v>
      </c>
      <c r="J366" s="668">
        <v>0</v>
      </c>
      <c r="K366" s="668">
        <v>0</v>
      </c>
      <c r="L366" s="668">
        <v>0</v>
      </c>
      <c r="M366" s="668">
        <v>0</v>
      </c>
      <c r="N366" s="668">
        <v>0</v>
      </c>
      <c r="O366" s="668">
        <v>0</v>
      </c>
      <c r="P366" s="668">
        <v>0</v>
      </c>
      <c r="Q366" s="668">
        <v>0</v>
      </c>
      <c r="R366" s="668">
        <v>0</v>
      </c>
      <c r="S366" s="668">
        <v>0</v>
      </c>
      <c r="T366" s="668">
        <v>0</v>
      </c>
      <c r="U366" s="668">
        <v>0</v>
      </c>
      <c r="V366" s="668">
        <v>0</v>
      </c>
      <c r="W366" s="668">
        <v>0</v>
      </c>
      <c r="X366" s="668">
        <v>0</v>
      </c>
      <c r="Y366" s="668">
        <v>0</v>
      </c>
      <c r="Z366" s="668">
        <v>0</v>
      </c>
      <c r="AA366" s="666">
        <v>0</v>
      </c>
      <c r="AB366" s="668">
        <v>0</v>
      </c>
      <c r="AC366" s="647">
        <v>0</v>
      </c>
      <c r="AD366" s="647">
        <v>0</v>
      </c>
      <c r="AE366" s="718">
        <v>0</v>
      </c>
      <c r="AF366" s="618">
        <f t="shared" si="30"/>
        <v>0</v>
      </c>
    </row>
    <row r="367" spans="1:32" hidden="1" x14ac:dyDescent="0.25">
      <c r="A367" s="667" t="s">
        <v>922</v>
      </c>
      <c r="B367" s="665" t="s">
        <v>923</v>
      </c>
      <c r="C367" s="635">
        <f t="shared" si="31"/>
        <v>0</v>
      </c>
      <c r="D367" s="635">
        <f t="shared" si="32"/>
        <v>749216.65336666664</v>
      </c>
      <c r="E367" s="635">
        <f t="shared" si="33"/>
        <v>1267381.6299999999</v>
      </c>
      <c r="F367" s="635">
        <f t="shared" si="34"/>
        <v>1193652.04</v>
      </c>
      <c r="G367" s="635">
        <f t="shared" si="35"/>
        <v>485874.89999999997</v>
      </c>
      <c r="H367" s="668">
        <v>0</v>
      </c>
      <c r="I367" s="668">
        <v>0</v>
      </c>
      <c r="J367" s="668">
        <v>0</v>
      </c>
      <c r="K367" s="668">
        <v>0</v>
      </c>
      <c r="L367" s="668">
        <v>0</v>
      </c>
      <c r="M367" s="668">
        <v>389219.62336666661</v>
      </c>
      <c r="N367" s="668">
        <v>49393.51</v>
      </c>
      <c r="O367" s="668">
        <v>310603.52000000002</v>
      </c>
      <c r="P367" s="668">
        <v>153698.85999999999</v>
      </c>
      <c r="Q367" s="669">
        <v>309110.59000000003</v>
      </c>
      <c r="R367" s="668">
        <v>260927.67</v>
      </c>
      <c r="S367" s="668">
        <v>543644.51</v>
      </c>
      <c r="T367" s="668">
        <v>575300.29999999993</v>
      </c>
      <c r="U367" s="668">
        <v>534043.97</v>
      </c>
      <c r="V367" s="668">
        <v>84307.76999999999</v>
      </c>
      <c r="W367" s="668">
        <v>0</v>
      </c>
      <c r="X367" s="668">
        <v>104131.01999999999</v>
      </c>
      <c r="Y367" s="668">
        <v>0</v>
      </c>
      <c r="Z367" s="668">
        <v>267801.09000000003</v>
      </c>
      <c r="AA367" s="666">
        <v>113942.79</v>
      </c>
      <c r="AB367" s="668">
        <v>3.0000000129803084E-2</v>
      </c>
      <c r="AC367" s="647">
        <v>3696125.2199999997</v>
      </c>
      <c r="AD367" s="647">
        <v>3583305.99</v>
      </c>
      <c r="AE367" s="718">
        <v>-112819.23</v>
      </c>
      <c r="AF367" s="618">
        <f t="shared" si="30"/>
        <v>6.3703881108992944E-3</v>
      </c>
    </row>
    <row r="368" spans="1:32" ht="25.5" hidden="1" x14ac:dyDescent="0.25">
      <c r="A368" s="702" t="s">
        <v>924</v>
      </c>
      <c r="B368" s="656" t="s">
        <v>925</v>
      </c>
      <c r="C368" s="635">
        <f t="shared" si="31"/>
        <v>0</v>
      </c>
      <c r="D368" s="635">
        <f t="shared" si="32"/>
        <v>524170.12</v>
      </c>
      <c r="E368" s="635">
        <f t="shared" si="33"/>
        <v>1044185.05</v>
      </c>
      <c r="F368" s="635">
        <f t="shared" si="34"/>
        <v>1106916.75</v>
      </c>
      <c r="G368" s="635">
        <f t="shared" si="35"/>
        <v>0</v>
      </c>
      <c r="H368" s="645">
        <v>0</v>
      </c>
      <c r="I368" s="645">
        <v>0</v>
      </c>
      <c r="J368" s="645">
        <v>0</v>
      </c>
      <c r="K368" s="645">
        <v>0</v>
      </c>
      <c r="L368" s="645">
        <v>0</v>
      </c>
      <c r="M368" s="645">
        <v>257757</v>
      </c>
      <c r="N368" s="645">
        <v>-2164.9</v>
      </c>
      <c r="O368" s="645">
        <v>268578.02</v>
      </c>
      <c r="P368" s="645">
        <v>0</v>
      </c>
      <c r="Q368" s="677">
        <v>266580.38</v>
      </c>
      <c r="R368" s="645">
        <v>260927.67</v>
      </c>
      <c r="S368" s="645">
        <v>516677</v>
      </c>
      <c r="T368" s="645">
        <v>537397.94999999995</v>
      </c>
      <c r="U368" s="645">
        <v>525376.24</v>
      </c>
      <c r="V368" s="645">
        <v>44142.559999999998</v>
      </c>
      <c r="W368" s="645">
        <v>0</v>
      </c>
      <c r="X368" s="645">
        <v>0</v>
      </c>
      <c r="Y368" s="645">
        <v>0</v>
      </c>
      <c r="Z368" s="645">
        <v>0</v>
      </c>
      <c r="AA368" s="641">
        <v>0</v>
      </c>
      <c r="AB368" s="645">
        <v>-0.10999999986961484</v>
      </c>
      <c r="AC368" s="647">
        <v>2675271.92</v>
      </c>
      <c r="AD368" s="647">
        <v>2675271.81</v>
      </c>
      <c r="AE368" s="718">
        <v>-0.11</v>
      </c>
      <c r="AF368" s="618">
        <f t="shared" si="30"/>
        <v>4.6109153284018684E-3</v>
      </c>
    </row>
    <row r="369" spans="1:32" hidden="1" x14ac:dyDescent="0.25">
      <c r="A369" s="725" t="s">
        <v>926</v>
      </c>
      <c r="B369" s="654" t="s">
        <v>925</v>
      </c>
      <c r="C369" s="635">
        <f t="shared" si="31"/>
        <v>0</v>
      </c>
      <c r="D369" s="635">
        <f t="shared" si="32"/>
        <v>255592.1</v>
      </c>
      <c r="E369" s="635">
        <f t="shared" si="33"/>
        <v>0</v>
      </c>
      <c r="F369" s="635">
        <f t="shared" si="34"/>
        <v>0</v>
      </c>
      <c r="G369" s="635">
        <f t="shared" si="35"/>
        <v>0</v>
      </c>
      <c r="H369" s="677">
        <v>0</v>
      </c>
      <c r="I369" s="677">
        <v>0</v>
      </c>
      <c r="J369" s="677">
        <v>0</v>
      </c>
      <c r="K369" s="677">
        <v>0</v>
      </c>
      <c r="L369" s="677">
        <v>0</v>
      </c>
      <c r="M369" s="677">
        <v>257757</v>
      </c>
      <c r="N369" s="677">
        <v>-2164.9</v>
      </c>
      <c r="O369" s="677">
        <v>0</v>
      </c>
      <c r="P369" s="677">
        <v>0</v>
      </c>
      <c r="Q369" s="677">
        <v>0</v>
      </c>
      <c r="R369" s="677">
        <v>0</v>
      </c>
      <c r="S369" s="677">
        <v>0</v>
      </c>
      <c r="T369" s="677">
        <v>0</v>
      </c>
      <c r="U369" s="677">
        <v>0</v>
      </c>
      <c r="V369" s="677">
        <v>0</v>
      </c>
      <c r="W369" s="677">
        <v>0</v>
      </c>
      <c r="X369" s="677">
        <v>0</v>
      </c>
      <c r="Y369" s="677">
        <v>0</v>
      </c>
      <c r="Z369" s="677">
        <v>0</v>
      </c>
      <c r="AA369" s="641">
        <v>0</v>
      </c>
      <c r="AB369" s="677">
        <v>0</v>
      </c>
      <c r="AC369" s="672">
        <v>255592.1</v>
      </c>
      <c r="AD369" s="672">
        <v>255592.1</v>
      </c>
      <c r="AE369" s="727">
        <v>0</v>
      </c>
      <c r="AF369" s="618">
        <f t="shared" si="30"/>
        <v>4.4052102625456605E-4</v>
      </c>
    </row>
    <row r="370" spans="1:32" hidden="1" x14ac:dyDescent="0.25">
      <c r="A370" s="725" t="s">
        <v>927</v>
      </c>
      <c r="B370" s="654" t="s">
        <v>925</v>
      </c>
      <c r="C370" s="635">
        <f t="shared" si="31"/>
        <v>0</v>
      </c>
      <c r="D370" s="635">
        <f t="shared" si="32"/>
        <v>268578.02</v>
      </c>
      <c r="E370" s="635">
        <f t="shared" si="33"/>
        <v>0</v>
      </c>
      <c r="F370" s="635">
        <f t="shared" si="34"/>
        <v>268698.69999999995</v>
      </c>
      <c r="G370" s="635">
        <f t="shared" si="35"/>
        <v>0</v>
      </c>
      <c r="H370" s="677">
        <v>0</v>
      </c>
      <c r="I370" s="677">
        <v>0</v>
      </c>
      <c r="J370" s="677">
        <v>0</v>
      </c>
      <c r="K370" s="677">
        <v>0</v>
      </c>
      <c r="L370" s="677">
        <v>0</v>
      </c>
      <c r="M370" s="677">
        <v>0</v>
      </c>
      <c r="N370" s="677">
        <v>0</v>
      </c>
      <c r="O370" s="677">
        <v>268578.02</v>
      </c>
      <c r="P370" s="677">
        <v>0</v>
      </c>
      <c r="Q370" s="677">
        <v>0</v>
      </c>
      <c r="R370" s="677">
        <v>0</v>
      </c>
      <c r="S370" s="677">
        <v>0</v>
      </c>
      <c r="T370" s="677">
        <v>268698.69999999995</v>
      </c>
      <c r="U370" s="677">
        <v>0</v>
      </c>
      <c r="V370" s="677">
        <v>0</v>
      </c>
      <c r="W370" s="677">
        <v>0</v>
      </c>
      <c r="X370" s="677">
        <v>0</v>
      </c>
      <c r="Y370" s="677">
        <v>0</v>
      </c>
      <c r="Z370" s="677">
        <v>0</v>
      </c>
      <c r="AA370" s="641">
        <v>0</v>
      </c>
      <c r="AB370" s="677">
        <v>0</v>
      </c>
      <c r="AC370" s="672">
        <v>537276.72</v>
      </c>
      <c r="AD370" s="672">
        <v>537276.72</v>
      </c>
      <c r="AE370" s="727">
        <v>0</v>
      </c>
      <c r="AF370" s="618">
        <f t="shared" si="30"/>
        <v>9.2601333169956002E-4</v>
      </c>
    </row>
    <row r="371" spans="1:32" ht="25.5" hidden="1" x14ac:dyDescent="0.25">
      <c r="A371" s="725" t="s">
        <v>928</v>
      </c>
      <c r="B371" s="654" t="s">
        <v>925</v>
      </c>
      <c r="C371" s="635">
        <f t="shared" si="31"/>
        <v>0</v>
      </c>
      <c r="D371" s="635">
        <f t="shared" si="32"/>
        <v>0</v>
      </c>
      <c r="E371" s="635">
        <f t="shared" si="33"/>
        <v>1044185.05</v>
      </c>
      <c r="F371" s="635">
        <f t="shared" si="34"/>
        <v>575529.69999999995</v>
      </c>
      <c r="G371" s="635">
        <f t="shared" si="35"/>
        <v>0</v>
      </c>
      <c r="H371" s="677">
        <v>0</v>
      </c>
      <c r="I371" s="677">
        <v>0</v>
      </c>
      <c r="J371" s="677">
        <v>0</v>
      </c>
      <c r="K371" s="677">
        <v>0</v>
      </c>
      <c r="L371" s="677">
        <v>0</v>
      </c>
      <c r="M371" s="677">
        <v>0</v>
      </c>
      <c r="N371" s="677">
        <v>0</v>
      </c>
      <c r="O371" s="677">
        <v>0</v>
      </c>
      <c r="P371" s="677">
        <v>0</v>
      </c>
      <c r="Q371" s="677">
        <v>266580.38</v>
      </c>
      <c r="R371" s="677">
        <v>260927.67</v>
      </c>
      <c r="S371" s="677">
        <v>516677</v>
      </c>
      <c r="T371" s="677">
        <v>268699.02</v>
      </c>
      <c r="U371" s="677">
        <v>262688.12</v>
      </c>
      <c r="V371" s="677">
        <v>44142.559999999998</v>
      </c>
      <c r="W371" s="677">
        <v>0</v>
      </c>
      <c r="X371" s="677">
        <v>0</v>
      </c>
      <c r="Y371" s="677">
        <v>0</v>
      </c>
      <c r="Z371" s="677">
        <v>0</v>
      </c>
      <c r="AA371" s="641">
        <v>0</v>
      </c>
      <c r="AB371" s="677">
        <v>0.12000000011175871</v>
      </c>
      <c r="AC371" s="672">
        <v>1619714.75</v>
      </c>
      <c r="AD371" s="672">
        <v>1619714.87</v>
      </c>
      <c r="AE371" s="727">
        <v>0.12</v>
      </c>
      <c r="AF371" s="618">
        <f t="shared" si="30"/>
        <v>2.7916293340430236E-3</v>
      </c>
    </row>
    <row r="372" spans="1:32" hidden="1" x14ac:dyDescent="0.25">
      <c r="A372" s="725" t="s">
        <v>929</v>
      </c>
      <c r="B372" s="654" t="s">
        <v>925</v>
      </c>
      <c r="C372" s="635">
        <f t="shared" si="31"/>
        <v>0</v>
      </c>
      <c r="D372" s="635">
        <f t="shared" si="32"/>
        <v>0</v>
      </c>
      <c r="E372" s="635">
        <f t="shared" si="33"/>
        <v>0</v>
      </c>
      <c r="F372" s="635">
        <f t="shared" si="34"/>
        <v>262688.34999999998</v>
      </c>
      <c r="G372" s="635">
        <f t="shared" si="35"/>
        <v>0</v>
      </c>
      <c r="H372" s="677">
        <v>0</v>
      </c>
      <c r="I372" s="677">
        <v>0</v>
      </c>
      <c r="J372" s="677">
        <v>0</v>
      </c>
      <c r="K372" s="677">
        <v>0</v>
      </c>
      <c r="L372" s="677">
        <v>0</v>
      </c>
      <c r="M372" s="677">
        <v>0</v>
      </c>
      <c r="N372" s="677">
        <v>0</v>
      </c>
      <c r="O372" s="677">
        <v>0</v>
      </c>
      <c r="P372" s="677">
        <v>0</v>
      </c>
      <c r="Q372" s="677">
        <v>0</v>
      </c>
      <c r="R372" s="677">
        <v>0</v>
      </c>
      <c r="S372" s="677">
        <v>0</v>
      </c>
      <c r="T372" s="677">
        <v>0.22999999999956344</v>
      </c>
      <c r="U372" s="677">
        <v>262688.12</v>
      </c>
      <c r="V372" s="677">
        <v>0</v>
      </c>
      <c r="W372" s="677">
        <v>0</v>
      </c>
      <c r="X372" s="677">
        <v>0</v>
      </c>
      <c r="Y372" s="677">
        <v>0</v>
      </c>
      <c r="Z372" s="677">
        <v>0</v>
      </c>
      <c r="AA372" s="641">
        <v>0</v>
      </c>
      <c r="AB372" s="677">
        <v>-0.22999999998137355</v>
      </c>
      <c r="AC372" s="672">
        <v>262688.34999999998</v>
      </c>
      <c r="AD372" s="672">
        <v>262688.12</v>
      </c>
      <c r="AE372" s="727">
        <v>-0.23</v>
      </c>
      <c r="AF372" s="618">
        <f t="shared" si="30"/>
        <v>4.5275163640471917E-4</v>
      </c>
    </row>
    <row r="373" spans="1:32" hidden="1" x14ac:dyDescent="0.25">
      <c r="A373" s="751" t="s">
        <v>1271</v>
      </c>
      <c r="B373" s="656" t="s">
        <v>930</v>
      </c>
      <c r="C373" s="635">
        <f t="shared" si="31"/>
        <v>0</v>
      </c>
      <c r="D373" s="635">
        <f t="shared" si="32"/>
        <v>225046.53336666661</v>
      </c>
      <c r="E373" s="635">
        <f t="shared" si="33"/>
        <v>57316.44</v>
      </c>
      <c r="F373" s="635">
        <f t="shared" si="34"/>
        <v>0</v>
      </c>
      <c r="G373" s="635">
        <f t="shared" si="35"/>
        <v>113942.79</v>
      </c>
      <c r="H373" s="645">
        <v>0</v>
      </c>
      <c r="I373" s="645">
        <v>0</v>
      </c>
      <c r="J373" s="645">
        <v>0</v>
      </c>
      <c r="K373" s="645">
        <v>0</v>
      </c>
      <c r="L373" s="645">
        <v>0</v>
      </c>
      <c r="M373" s="645">
        <v>131462.62336666661</v>
      </c>
      <c r="N373" s="645">
        <v>51558.41</v>
      </c>
      <c r="O373" s="645">
        <v>42025.5</v>
      </c>
      <c r="P373" s="645">
        <v>15399.23</v>
      </c>
      <c r="Q373" s="645">
        <v>41917.21</v>
      </c>
      <c r="R373" s="645">
        <v>0</v>
      </c>
      <c r="S373" s="645">
        <v>0</v>
      </c>
      <c r="T373" s="645">
        <v>0</v>
      </c>
      <c r="U373" s="645">
        <v>0</v>
      </c>
      <c r="V373" s="645">
        <v>0</v>
      </c>
      <c r="W373" s="645">
        <v>0</v>
      </c>
      <c r="X373" s="645">
        <v>0</v>
      </c>
      <c r="Y373" s="645">
        <v>0</v>
      </c>
      <c r="Z373" s="645">
        <v>0</v>
      </c>
      <c r="AA373" s="641">
        <v>113942.79</v>
      </c>
      <c r="AB373" s="645">
        <v>-0.25999999996565748</v>
      </c>
      <c r="AC373" s="672">
        <v>396305.75999999995</v>
      </c>
      <c r="AD373" s="672">
        <v>282362.96999999997</v>
      </c>
      <c r="AE373" s="718">
        <v>-113942.79</v>
      </c>
      <c r="AF373" s="618">
        <f t="shared" si="30"/>
        <v>6.830454466542422E-4</v>
      </c>
    </row>
    <row r="374" spans="1:32" hidden="1" x14ac:dyDescent="0.25">
      <c r="A374" s="702" t="s">
        <v>931</v>
      </c>
      <c r="B374" s="656" t="s">
        <v>932</v>
      </c>
      <c r="C374" s="635">
        <f t="shared" si="31"/>
        <v>0</v>
      </c>
      <c r="D374" s="635">
        <f t="shared" si="32"/>
        <v>0</v>
      </c>
      <c r="E374" s="635">
        <f t="shared" si="33"/>
        <v>138912.63</v>
      </c>
      <c r="F374" s="635">
        <f t="shared" si="34"/>
        <v>0</v>
      </c>
      <c r="G374" s="635">
        <f t="shared" si="35"/>
        <v>0</v>
      </c>
      <c r="H374" s="645">
        <v>0</v>
      </c>
      <c r="I374" s="645">
        <v>0</v>
      </c>
      <c r="J374" s="645">
        <v>0</v>
      </c>
      <c r="K374" s="645">
        <v>0</v>
      </c>
      <c r="L374" s="645">
        <v>0</v>
      </c>
      <c r="M374" s="645">
        <v>0</v>
      </c>
      <c r="N374" s="645">
        <v>0</v>
      </c>
      <c r="O374" s="645">
        <v>0</v>
      </c>
      <c r="P374" s="645">
        <v>138299.63</v>
      </c>
      <c r="Q374" s="645">
        <v>613</v>
      </c>
      <c r="R374" s="645">
        <v>0</v>
      </c>
      <c r="S374" s="645">
        <v>0</v>
      </c>
      <c r="T374" s="645">
        <v>0</v>
      </c>
      <c r="U374" s="645">
        <v>0</v>
      </c>
      <c r="V374" s="645">
        <v>0</v>
      </c>
      <c r="W374" s="645">
        <v>0</v>
      </c>
      <c r="X374" s="645">
        <v>0</v>
      </c>
      <c r="Y374" s="645">
        <v>0</v>
      </c>
      <c r="Z374" s="645">
        <v>0</v>
      </c>
      <c r="AA374" s="641">
        <v>0</v>
      </c>
      <c r="AB374" s="645">
        <v>0</v>
      </c>
      <c r="AC374" s="647">
        <v>138912.63</v>
      </c>
      <c r="AD374" s="647">
        <v>138912.63</v>
      </c>
      <c r="AE374" s="718">
        <v>0</v>
      </c>
      <c r="AF374" s="618">
        <f t="shared" si="30"/>
        <v>2.3942028852738727E-4</v>
      </c>
    </row>
    <row r="375" spans="1:32" ht="25.5" hidden="1" x14ac:dyDescent="0.25">
      <c r="A375" s="702" t="s">
        <v>933</v>
      </c>
      <c r="B375" s="656" t="s">
        <v>934</v>
      </c>
      <c r="C375" s="635">
        <f t="shared" si="31"/>
        <v>0</v>
      </c>
      <c r="D375" s="635">
        <f t="shared" si="32"/>
        <v>0</v>
      </c>
      <c r="E375" s="635">
        <f t="shared" si="33"/>
        <v>23017.63</v>
      </c>
      <c r="F375" s="635">
        <f t="shared" si="34"/>
        <v>84168.889999999985</v>
      </c>
      <c r="G375" s="635">
        <f t="shared" si="35"/>
        <v>318423.68000000005</v>
      </c>
      <c r="H375" s="645">
        <v>0</v>
      </c>
      <c r="I375" s="645">
        <v>0</v>
      </c>
      <c r="J375" s="645">
        <v>0</v>
      </c>
      <c r="K375" s="645">
        <v>0</v>
      </c>
      <c r="L375" s="645">
        <v>0</v>
      </c>
      <c r="M375" s="645">
        <v>0</v>
      </c>
      <c r="N375" s="645">
        <v>0</v>
      </c>
      <c r="O375" s="645">
        <v>0</v>
      </c>
      <c r="P375" s="645">
        <v>0</v>
      </c>
      <c r="Q375" s="645">
        <v>0</v>
      </c>
      <c r="R375" s="645">
        <v>0</v>
      </c>
      <c r="S375" s="645">
        <v>23017.63</v>
      </c>
      <c r="T375" s="645">
        <v>35335.949999999997</v>
      </c>
      <c r="U375" s="645">
        <v>8667.73</v>
      </c>
      <c r="V375" s="645">
        <v>40165.21</v>
      </c>
      <c r="W375" s="645">
        <v>0</v>
      </c>
      <c r="X375" s="645">
        <v>50622.59</v>
      </c>
      <c r="Y375" s="645">
        <v>0</v>
      </c>
      <c r="Z375" s="645">
        <v>267801.09000000003</v>
      </c>
      <c r="AA375" s="641">
        <v>0</v>
      </c>
      <c r="AB375" s="645">
        <v>0.3999999999650754</v>
      </c>
      <c r="AC375" s="647">
        <v>425610.2</v>
      </c>
      <c r="AD375" s="647">
        <v>426733.87</v>
      </c>
      <c r="AE375" s="718">
        <v>1123.67</v>
      </c>
      <c r="AF375" s="618">
        <f t="shared" si="30"/>
        <v>7.3355257102395224E-4</v>
      </c>
    </row>
    <row r="376" spans="1:32" hidden="1" x14ac:dyDescent="0.25">
      <c r="A376" s="702" t="s">
        <v>935</v>
      </c>
      <c r="B376" s="656" t="s">
        <v>936</v>
      </c>
      <c r="C376" s="635">
        <f t="shared" si="31"/>
        <v>0</v>
      </c>
      <c r="D376" s="635">
        <f t="shared" si="32"/>
        <v>0</v>
      </c>
      <c r="E376" s="635">
        <f t="shared" si="33"/>
        <v>3949.88</v>
      </c>
      <c r="F376" s="635">
        <f t="shared" si="34"/>
        <v>2566.4</v>
      </c>
      <c r="G376" s="635">
        <f t="shared" si="35"/>
        <v>0</v>
      </c>
      <c r="H376" s="645"/>
      <c r="I376" s="645"/>
      <c r="J376" s="645"/>
      <c r="K376" s="645"/>
      <c r="L376" s="645"/>
      <c r="M376" s="645"/>
      <c r="N376" s="645"/>
      <c r="O376" s="645"/>
      <c r="P376" s="645">
        <v>0</v>
      </c>
      <c r="Q376" s="645">
        <v>0</v>
      </c>
      <c r="R376" s="645">
        <v>0</v>
      </c>
      <c r="S376" s="645">
        <v>3949.88</v>
      </c>
      <c r="T376" s="645">
        <v>2566.4</v>
      </c>
      <c r="U376" s="645">
        <v>0</v>
      </c>
      <c r="V376" s="645">
        <v>0</v>
      </c>
      <c r="W376" s="645">
        <v>0</v>
      </c>
      <c r="X376" s="645">
        <v>0</v>
      </c>
      <c r="Y376" s="645">
        <v>0</v>
      </c>
      <c r="Z376" s="645">
        <v>0</v>
      </c>
      <c r="AA376" s="641">
        <v>0</v>
      </c>
      <c r="AB376" s="645">
        <v>0</v>
      </c>
      <c r="AC376" s="647">
        <v>6516.28</v>
      </c>
      <c r="AD376" s="647">
        <v>6516.28</v>
      </c>
      <c r="AE376" s="718">
        <v>0</v>
      </c>
      <c r="AF376" s="618">
        <f t="shared" si="30"/>
        <v>1.123101360707981E-5</v>
      </c>
    </row>
    <row r="377" spans="1:32" hidden="1" x14ac:dyDescent="0.25">
      <c r="A377" s="702" t="s">
        <v>937</v>
      </c>
      <c r="B377" s="656" t="s">
        <v>938</v>
      </c>
      <c r="C377" s="635">
        <f t="shared" si="31"/>
        <v>0</v>
      </c>
      <c r="D377" s="635">
        <f t="shared" si="32"/>
        <v>0</v>
      </c>
      <c r="E377" s="635">
        <f t="shared" si="33"/>
        <v>0</v>
      </c>
      <c r="F377" s="635">
        <f t="shared" si="34"/>
        <v>0</v>
      </c>
      <c r="G377" s="635">
        <f t="shared" si="35"/>
        <v>53508.43</v>
      </c>
      <c r="H377" s="645"/>
      <c r="I377" s="645"/>
      <c r="J377" s="645"/>
      <c r="K377" s="645"/>
      <c r="L377" s="645"/>
      <c r="M377" s="645"/>
      <c r="N377" s="645"/>
      <c r="O377" s="645"/>
      <c r="P377" s="645">
        <v>0</v>
      </c>
      <c r="Q377" s="645">
        <v>0</v>
      </c>
      <c r="R377" s="645">
        <v>0</v>
      </c>
      <c r="S377" s="645">
        <v>0</v>
      </c>
      <c r="T377" s="645">
        <v>0</v>
      </c>
      <c r="U377" s="645">
        <v>0</v>
      </c>
      <c r="V377" s="645">
        <v>0</v>
      </c>
      <c r="W377" s="645">
        <v>0</v>
      </c>
      <c r="X377" s="645">
        <v>53508.43</v>
      </c>
      <c r="Y377" s="645">
        <v>0</v>
      </c>
      <c r="Z377" s="645">
        <v>0</v>
      </c>
      <c r="AA377" s="641">
        <v>0</v>
      </c>
      <c r="AB377" s="645">
        <v>0</v>
      </c>
      <c r="AC377" s="647">
        <v>53508.43</v>
      </c>
      <c r="AD377" s="647">
        <v>53508.43</v>
      </c>
      <c r="AE377" s="718">
        <v>0</v>
      </c>
      <c r="AF377" s="618">
        <f t="shared" si="30"/>
        <v>9.2223462684764553E-5</v>
      </c>
    </row>
    <row r="378" spans="1:32" hidden="1" x14ac:dyDescent="0.25">
      <c r="A378" s="667" t="s">
        <v>939</v>
      </c>
      <c r="B378" s="665" t="s">
        <v>940</v>
      </c>
      <c r="C378" s="635">
        <f t="shared" si="31"/>
        <v>52258.33</v>
      </c>
      <c r="D378" s="635">
        <f t="shared" si="32"/>
        <v>57776.49</v>
      </c>
      <c r="E378" s="635">
        <f t="shared" si="33"/>
        <v>52441.91</v>
      </c>
      <c r="F378" s="635">
        <f t="shared" si="34"/>
        <v>54016.159999999996</v>
      </c>
      <c r="G378" s="635">
        <f t="shared" si="35"/>
        <v>10273.980000000005</v>
      </c>
      <c r="H378" s="668">
        <v>0</v>
      </c>
      <c r="I378" s="668">
        <v>0</v>
      </c>
      <c r="J378" s="668">
        <v>15821.64</v>
      </c>
      <c r="K378" s="668">
        <v>36436.69</v>
      </c>
      <c r="L378" s="668">
        <v>11270.91</v>
      </c>
      <c r="M378" s="668">
        <v>19759.09</v>
      </c>
      <c r="N378" s="668">
        <v>8759</v>
      </c>
      <c r="O378" s="668">
        <v>17987.489999999998</v>
      </c>
      <c r="P378" s="668">
        <v>11956.369999999999</v>
      </c>
      <c r="Q378" s="669">
        <v>8921.06</v>
      </c>
      <c r="R378" s="668">
        <v>17759.620000000003</v>
      </c>
      <c r="S378" s="668">
        <v>13804.86</v>
      </c>
      <c r="T378" s="668">
        <v>11181.01</v>
      </c>
      <c r="U378" s="668">
        <v>6956.21</v>
      </c>
      <c r="V378" s="668">
        <v>10102.959999999999</v>
      </c>
      <c r="W378" s="668">
        <v>25775.979999999996</v>
      </c>
      <c r="X378" s="668">
        <v>4523.1900000000005</v>
      </c>
      <c r="Y378" s="668">
        <v>4014.41</v>
      </c>
      <c r="Z378" s="668">
        <v>1511.5500000000047</v>
      </c>
      <c r="AA378" s="666">
        <v>224.83000000000004</v>
      </c>
      <c r="AB378" s="668">
        <v>-1104.9999999999977</v>
      </c>
      <c r="AC378" s="647">
        <v>225596.56</v>
      </c>
      <c r="AD378" s="647">
        <v>229096.23</v>
      </c>
      <c r="AE378" s="718">
        <v>3499.67</v>
      </c>
      <c r="AF378" s="618">
        <f t="shared" si="30"/>
        <v>3.8882276929020802E-4</v>
      </c>
    </row>
    <row r="379" spans="1:32" hidden="1" x14ac:dyDescent="0.25">
      <c r="A379" s="752" t="s">
        <v>941</v>
      </c>
      <c r="B379" s="656" t="s">
        <v>942</v>
      </c>
      <c r="C379" s="635">
        <f t="shared" si="31"/>
        <v>52258.33</v>
      </c>
      <c r="D379" s="635">
        <f t="shared" si="32"/>
        <v>56098.12</v>
      </c>
      <c r="E379" s="635">
        <f t="shared" si="33"/>
        <v>50447.790000000008</v>
      </c>
      <c r="F379" s="635">
        <f t="shared" si="34"/>
        <v>51820.950000000004</v>
      </c>
      <c r="G379" s="635">
        <f t="shared" si="35"/>
        <v>10273.980000000005</v>
      </c>
      <c r="H379" s="645">
        <v>0</v>
      </c>
      <c r="I379" s="645">
        <v>0</v>
      </c>
      <c r="J379" s="645">
        <v>15821.64</v>
      </c>
      <c r="K379" s="645">
        <v>36436.69</v>
      </c>
      <c r="L379" s="645">
        <v>10510.36</v>
      </c>
      <c r="M379" s="645">
        <v>18976</v>
      </c>
      <c r="N379" s="645">
        <v>8759</v>
      </c>
      <c r="O379" s="645">
        <v>17852.760000000002</v>
      </c>
      <c r="P379" s="645">
        <v>11204.810000000001</v>
      </c>
      <c r="Q379" s="645">
        <v>8921.06</v>
      </c>
      <c r="R379" s="645">
        <v>16693.650000000001</v>
      </c>
      <c r="S379" s="645">
        <v>13628.27</v>
      </c>
      <c r="T379" s="645">
        <v>11181.01</v>
      </c>
      <c r="U379" s="753">
        <v>6108.96</v>
      </c>
      <c r="V379" s="753">
        <v>8837.26</v>
      </c>
      <c r="W379" s="753">
        <v>25693.72</v>
      </c>
      <c r="X379" s="645">
        <v>4523.1900000000005</v>
      </c>
      <c r="Y379" s="645">
        <v>4014.41</v>
      </c>
      <c r="Z379" s="646">
        <v>1511.5500000000047</v>
      </c>
      <c r="AA379" s="641">
        <v>224.83000000000004</v>
      </c>
      <c r="AB379" s="645">
        <v>-1104.9999999999977</v>
      </c>
      <c r="AC379" s="647">
        <v>219728.86000000002</v>
      </c>
      <c r="AD379" s="647">
        <v>220728.53</v>
      </c>
      <c r="AE379" s="718">
        <v>999.67</v>
      </c>
      <c r="AF379" s="618">
        <f t="shared" si="30"/>
        <v>3.7870960371993453E-4</v>
      </c>
    </row>
    <row r="380" spans="1:32" hidden="1" x14ac:dyDescent="0.25">
      <c r="A380" s="752" t="s">
        <v>943</v>
      </c>
      <c r="B380" s="656" t="s">
        <v>942</v>
      </c>
      <c r="C380" s="635">
        <f t="shared" si="31"/>
        <v>0</v>
      </c>
      <c r="D380" s="635">
        <f t="shared" si="32"/>
        <v>1678.37</v>
      </c>
      <c r="E380" s="635">
        <f t="shared" si="33"/>
        <v>1994.12</v>
      </c>
      <c r="F380" s="635">
        <f t="shared" si="34"/>
        <v>2195.21</v>
      </c>
      <c r="G380" s="635">
        <f t="shared" si="35"/>
        <v>0</v>
      </c>
      <c r="H380" s="645">
        <v>0</v>
      </c>
      <c r="I380" s="645">
        <v>0</v>
      </c>
      <c r="J380" s="645">
        <v>0</v>
      </c>
      <c r="K380" s="645">
        <v>0</v>
      </c>
      <c r="L380" s="645">
        <v>760.55</v>
      </c>
      <c r="M380" s="645">
        <v>783.09</v>
      </c>
      <c r="N380" s="645">
        <v>0</v>
      </c>
      <c r="O380" s="645">
        <v>134.72999999999999</v>
      </c>
      <c r="P380" s="645">
        <v>751.56</v>
      </c>
      <c r="Q380" s="645">
        <v>0</v>
      </c>
      <c r="R380" s="645">
        <v>1065.97</v>
      </c>
      <c r="S380" s="645">
        <v>176.59</v>
      </c>
      <c r="T380" s="645">
        <v>0</v>
      </c>
      <c r="U380" s="753">
        <v>847.25</v>
      </c>
      <c r="V380" s="753">
        <v>1265.6999999999998</v>
      </c>
      <c r="W380" s="753">
        <v>82.26</v>
      </c>
      <c r="X380" s="645">
        <v>0</v>
      </c>
      <c r="Y380" s="645">
        <v>0</v>
      </c>
      <c r="Z380" s="646">
        <v>0</v>
      </c>
      <c r="AA380" s="641">
        <v>0</v>
      </c>
      <c r="AB380" s="645">
        <v>0</v>
      </c>
      <c r="AC380" s="647">
        <v>5867.7</v>
      </c>
      <c r="AD380" s="647">
        <v>8367.7000000000007</v>
      </c>
      <c r="AE380" s="718">
        <v>2500</v>
      </c>
      <c r="AF380" s="618">
        <f t="shared" si="30"/>
        <v>1.0113165570273561E-5</v>
      </c>
    </row>
    <row r="381" spans="1:32" hidden="1" x14ac:dyDescent="0.25">
      <c r="A381" s="752" t="s">
        <v>944</v>
      </c>
      <c r="B381" s="656" t="s">
        <v>945</v>
      </c>
      <c r="C381" s="635">
        <f t="shared" si="31"/>
        <v>0</v>
      </c>
      <c r="D381" s="635">
        <f t="shared" si="32"/>
        <v>0</v>
      </c>
      <c r="E381" s="635">
        <f t="shared" si="33"/>
        <v>0</v>
      </c>
      <c r="F381" s="635">
        <f t="shared" si="34"/>
        <v>0</v>
      </c>
      <c r="G381" s="635">
        <f t="shared" si="35"/>
        <v>0</v>
      </c>
      <c r="H381" s="645">
        <v>0</v>
      </c>
      <c r="I381" s="645">
        <v>0</v>
      </c>
      <c r="J381" s="645">
        <v>0</v>
      </c>
      <c r="K381" s="645">
        <v>0</v>
      </c>
      <c r="L381" s="645">
        <v>0</v>
      </c>
      <c r="M381" s="645">
        <v>0</v>
      </c>
      <c r="N381" s="645">
        <v>0</v>
      </c>
      <c r="O381" s="645">
        <v>0</v>
      </c>
      <c r="P381" s="645">
        <v>0</v>
      </c>
      <c r="Q381" s="645">
        <v>0</v>
      </c>
      <c r="R381" s="645">
        <v>0</v>
      </c>
      <c r="S381" s="645">
        <v>0</v>
      </c>
      <c r="T381" s="645">
        <v>0</v>
      </c>
      <c r="U381" s="645">
        <v>0</v>
      </c>
      <c r="V381" s="645">
        <v>0</v>
      </c>
      <c r="W381" s="645">
        <v>0</v>
      </c>
      <c r="X381" s="645">
        <v>0</v>
      </c>
      <c r="Y381" s="645">
        <v>0</v>
      </c>
      <c r="Z381" s="645">
        <v>0</v>
      </c>
      <c r="AA381" s="641">
        <v>0</v>
      </c>
      <c r="AB381" s="645">
        <v>0</v>
      </c>
      <c r="AC381" s="647">
        <v>0</v>
      </c>
      <c r="AD381" s="647">
        <v>0</v>
      </c>
      <c r="AE381" s="718">
        <v>0</v>
      </c>
      <c r="AF381" s="618">
        <f t="shared" si="30"/>
        <v>0</v>
      </c>
    </row>
    <row r="382" spans="1:32" hidden="1" x14ac:dyDescent="0.25">
      <c r="A382" s="658" t="s">
        <v>481</v>
      </c>
      <c r="B382" s="659">
        <v>0</v>
      </c>
      <c r="C382" s="635">
        <f t="shared" si="31"/>
        <v>0</v>
      </c>
      <c r="D382" s="635">
        <f t="shared" si="32"/>
        <v>0</v>
      </c>
      <c r="E382" s="635">
        <f t="shared" si="33"/>
        <v>0</v>
      </c>
      <c r="F382" s="635">
        <f t="shared" si="34"/>
        <v>0</v>
      </c>
      <c r="G382" s="635">
        <f t="shared" si="35"/>
        <v>0</v>
      </c>
      <c r="H382" s="660">
        <v>0</v>
      </c>
      <c r="I382" s="660">
        <v>0</v>
      </c>
      <c r="J382" s="660">
        <v>0</v>
      </c>
      <c r="K382" s="660">
        <v>0</v>
      </c>
      <c r="L382" s="660">
        <v>0</v>
      </c>
      <c r="M382" s="660">
        <v>0</v>
      </c>
      <c r="N382" s="660">
        <v>0</v>
      </c>
      <c r="O382" s="660">
        <v>0</v>
      </c>
      <c r="P382" s="660">
        <v>0</v>
      </c>
      <c r="Q382" s="660">
        <v>0</v>
      </c>
      <c r="R382" s="660">
        <v>0</v>
      </c>
      <c r="S382" s="660">
        <v>0</v>
      </c>
      <c r="T382" s="660">
        <v>0</v>
      </c>
      <c r="U382" s="660">
        <v>0</v>
      </c>
      <c r="V382" s="660">
        <v>0</v>
      </c>
      <c r="W382" s="660">
        <v>0</v>
      </c>
      <c r="X382" s="660">
        <v>0</v>
      </c>
      <c r="Y382" s="660">
        <v>0</v>
      </c>
      <c r="Z382" s="660">
        <v>0</v>
      </c>
      <c r="AA382" s="661">
        <v>0</v>
      </c>
      <c r="AB382" s="660"/>
      <c r="AC382" s="647">
        <v>0</v>
      </c>
      <c r="AD382" s="647">
        <v>0</v>
      </c>
      <c r="AE382" s="643">
        <v>0</v>
      </c>
      <c r="AF382" s="618">
        <f t="shared" si="30"/>
        <v>0</v>
      </c>
    </row>
    <row r="383" spans="1:32" ht="25.5" hidden="1" x14ac:dyDescent="0.25">
      <c r="A383" s="658" t="s">
        <v>482</v>
      </c>
      <c r="B383" s="659">
        <v>0</v>
      </c>
      <c r="C383" s="635">
        <f t="shared" si="31"/>
        <v>0</v>
      </c>
      <c r="D383" s="635">
        <f t="shared" si="32"/>
        <v>0</v>
      </c>
      <c r="E383" s="635">
        <f t="shared" si="33"/>
        <v>0</v>
      </c>
      <c r="F383" s="635">
        <f t="shared" si="34"/>
        <v>0</v>
      </c>
      <c r="G383" s="635">
        <f t="shared" si="35"/>
        <v>0</v>
      </c>
      <c r="H383" s="660">
        <v>0</v>
      </c>
      <c r="I383" s="660">
        <v>0</v>
      </c>
      <c r="J383" s="660">
        <v>0</v>
      </c>
      <c r="K383" s="660">
        <v>0</v>
      </c>
      <c r="L383" s="660">
        <v>0</v>
      </c>
      <c r="M383" s="660">
        <v>0</v>
      </c>
      <c r="N383" s="660">
        <v>0</v>
      </c>
      <c r="O383" s="660">
        <v>0</v>
      </c>
      <c r="P383" s="660">
        <v>0</v>
      </c>
      <c r="Q383" s="660">
        <v>0</v>
      </c>
      <c r="R383" s="660">
        <v>0</v>
      </c>
      <c r="S383" s="660">
        <v>0</v>
      </c>
      <c r="T383" s="660">
        <v>0</v>
      </c>
      <c r="U383" s="660">
        <v>0</v>
      </c>
      <c r="V383" s="660">
        <v>0</v>
      </c>
      <c r="W383" s="660">
        <v>0</v>
      </c>
      <c r="X383" s="660">
        <v>0</v>
      </c>
      <c r="Y383" s="660">
        <v>0</v>
      </c>
      <c r="Z383" s="660">
        <v>0</v>
      </c>
      <c r="AA383" s="661">
        <v>0</v>
      </c>
      <c r="AB383" s="660">
        <v>0</v>
      </c>
      <c r="AC383" s="647">
        <v>0</v>
      </c>
      <c r="AD383" s="647">
        <v>0</v>
      </c>
      <c r="AE383" s="643">
        <v>0</v>
      </c>
      <c r="AF383" s="618">
        <f t="shared" si="30"/>
        <v>0</v>
      </c>
    </row>
    <row r="384" spans="1:32" hidden="1" x14ac:dyDescent="0.25">
      <c r="A384" s="658" t="s">
        <v>483</v>
      </c>
      <c r="B384" s="659"/>
      <c r="C384" s="635">
        <f t="shared" si="31"/>
        <v>0</v>
      </c>
      <c r="D384" s="635">
        <f t="shared" si="32"/>
        <v>0</v>
      </c>
      <c r="E384" s="635">
        <f t="shared" si="33"/>
        <v>0</v>
      </c>
      <c r="F384" s="635">
        <f t="shared" si="34"/>
        <v>0</v>
      </c>
      <c r="G384" s="635">
        <f t="shared" si="35"/>
        <v>0</v>
      </c>
      <c r="H384" s="660">
        <v>0</v>
      </c>
      <c r="I384" s="660">
        <v>0</v>
      </c>
      <c r="J384" s="660">
        <v>0</v>
      </c>
      <c r="K384" s="660">
        <v>0</v>
      </c>
      <c r="L384" s="660">
        <v>0</v>
      </c>
      <c r="M384" s="660">
        <v>0</v>
      </c>
      <c r="N384" s="660">
        <v>0</v>
      </c>
      <c r="O384" s="660">
        <v>0</v>
      </c>
      <c r="P384" s="660">
        <v>0</v>
      </c>
      <c r="Q384" s="660">
        <v>0</v>
      </c>
      <c r="R384" s="660">
        <v>0</v>
      </c>
      <c r="S384" s="660">
        <v>0</v>
      </c>
      <c r="T384" s="660">
        <v>0</v>
      </c>
      <c r="U384" s="660">
        <v>0</v>
      </c>
      <c r="V384" s="660">
        <v>0</v>
      </c>
      <c r="W384" s="660">
        <v>0</v>
      </c>
      <c r="X384" s="660">
        <v>0</v>
      </c>
      <c r="Y384" s="660">
        <v>0</v>
      </c>
      <c r="Z384" s="660">
        <v>0</v>
      </c>
      <c r="AA384" s="661">
        <v>0</v>
      </c>
      <c r="AB384" s="660"/>
      <c r="AC384" s="647">
        <v>0</v>
      </c>
      <c r="AD384" s="647">
        <v>8527.35</v>
      </c>
      <c r="AE384" s="643">
        <v>8527.35</v>
      </c>
      <c r="AF384" s="618">
        <f t="shared" si="30"/>
        <v>0</v>
      </c>
    </row>
    <row r="385" spans="1:32" hidden="1" x14ac:dyDescent="0.25">
      <c r="A385" s="634" t="s">
        <v>946</v>
      </c>
      <c r="B385" s="701" t="s">
        <v>947</v>
      </c>
      <c r="C385" s="635">
        <f t="shared" si="31"/>
        <v>376938.29000000004</v>
      </c>
      <c r="D385" s="635">
        <f t="shared" si="32"/>
        <v>1381706.2466666659</v>
      </c>
      <c r="E385" s="635">
        <f t="shared" si="33"/>
        <v>1848417.13</v>
      </c>
      <c r="F385" s="635">
        <f t="shared" si="34"/>
        <v>1276163.23</v>
      </c>
      <c r="G385" s="635">
        <f t="shared" si="35"/>
        <v>125653.61000000002</v>
      </c>
      <c r="H385" s="662">
        <v>0</v>
      </c>
      <c r="I385" s="662">
        <v>0</v>
      </c>
      <c r="J385" s="662">
        <v>174478</v>
      </c>
      <c r="K385" s="662">
        <v>202460.29</v>
      </c>
      <c r="L385" s="662">
        <v>114321.5</v>
      </c>
      <c r="M385" s="662">
        <v>577368.7566666659</v>
      </c>
      <c r="N385" s="662">
        <v>296662.36</v>
      </c>
      <c r="O385" s="662">
        <v>393353.63</v>
      </c>
      <c r="P385" s="662">
        <v>409526.77999999997</v>
      </c>
      <c r="Q385" s="663">
        <v>541698.1399999999</v>
      </c>
      <c r="R385" s="662">
        <v>347511.97000000003</v>
      </c>
      <c r="S385" s="662">
        <v>549680.23999999987</v>
      </c>
      <c r="T385" s="662">
        <v>583940.38</v>
      </c>
      <c r="U385" s="662">
        <v>574724.58000000007</v>
      </c>
      <c r="V385" s="662">
        <v>106251.03</v>
      </c>
      <c r="W385" s="662">
        <v>11247.24</v>
      </c>
      <c r="X385" s="662">
        <v>4130.45</v>
      </c>
      <c r="Y385" s="662">
        <v>4578.7700000000004</v>
      </c>
      <c r="Z385" s="662">
        <v>1587.94</v>
      </c>
      <c r="AA385" s="636">
        <v>115356.45000000001</v>
      </c>
      <c r="AB385" s="662">
        <v>-961.27000000008002</v>
      </c>
      <c r="AC385" s="638">
        <v>5007479.1100000003</v>
      </c>
      <c r="AD385" s="662">
        <v>4964828.83</v>
      </c>
      <c r="AE385" s="638">
        <v>-42650.28</v>
      </c>
      <c r="AF385" s="618">
        <f t="shared" si="30"/>
        <v>8.6305478005208342E-3</v>
      </c>
    </row>
    <row r="386" spans="1:32" hidden="1" x14ac:dyDescent="0.25">
      <c r="A386" s="667" t="s">
        <v>948</v>
      </c>
      <c r="B386" s="665" t="s">
        <v>910</v>
      </c>
      <c r="C386" s="635">
        <f t="shared" si="31"/>
        <v>336012.7</v>
      </c>
      <c r="D386" s="635">
        <f t="shared" si="32"/>
        <v>372301.32999999996</v>
      </c>
      <c r="E386" s="635">
        <f t="shared" si="33"/>
        <v>411113.70999999996</v>
      </c>
      <c r="F386" s="635">
        <f t="shared" si="34"/>
        <v>0</v>
      </c>
      <c r="G386" s="635">
        <f t="shared" si="35"/>
        <v>0</v>
      </c>
      <c r="H386" s="666">
        <v>0</v>
      </c>
      <c r="I386" s="666">
        <v>0</v>
      </c>
      <c r="J386" s="666">
        <v>167933</v>
      </c>
      <c r="K386" s="666">
        <v>168079.7</v>
      </c>
      <c r="L386" s="666">
        <v>82219.899999999994</v>
      </c>
      <c r="M386" s="666">
        <v>107498</v>
      </c>
      <c r="N386" s="666">
        <v>116937.43</v>
      </c>
      <c r="O386" s="666">
        <v>65646</v>
      </c>
      <c r="P386" s="666">
        <v>131457.35999999999</v>
      </c>
      <c r="Q386" s="681">
        <v>223659.25</v>
      </c>
      <c r="R386" s="666">
        <v>55997.1</v>
      </c>
      <c r="S386" s="666">
        <v>0</v>
      </c>
      <c r="T386" s="666">
        <v>0</v>
      </c>
      <c r="U386" s="666">
        <v>0</v>
      </c>
      <c r="V386" s="666">
        <v>0</v>
      </c>
      <c r="W386" s="666">
        <v>0</v>
      </c>
      <c r="X386" s="666">
        <v>0</v>
      </c>
      <c r="Y386" s="666">
        <v>0</v>
      </c>
      <c r="Z386" s="666">
        <v>0</v>
      </c>
      <c r="AA386" s="666">
        <v>0</v>
      </c>
      <c r="AB386" s="666">
        <v>-0.22000000008847564</v>
      </c>
      <c r="AC386" s="647">
        <v>1119427.74</v>
      </c>
      <c r="AD386" s="647">
        <v>1119427.52</v>
      </c>
      <c r="AE386" s="718">
        <v>-0.22</v>
      </c>
      <c r="AF386" s="618">
        <f t="shared" si="30"/>
        <v>1.9293689313661475E-3</v>
      </c>
    </row>
    <row r="387" spans="1:32" hidden="1" x14ac:dyDescent="0.25">
      <c r="A387" s="644" t="s">
        <v>911</v>
      </c>
      <c r="B387" s="640" t="s">
        <v>910</v>
      </c>
      <c r="C387" s="635">
        <f t="shared" si="31"/>
        <v>167933</v>
      </c>
      <c r="D387" s="635">
        <f t="shared" si="32"/>
        <v>0</v>
      </c>
      <c r="E387" s="635">
        <f t="shared" si="33"/>
        <v>0</v>
      </c>
      <c r="F387" s="635">
        <f t="shared" si="34"/>
        <v>0</v>
      </c>
      <c r="G387" s="635">
        <f t="shared" si="35"/>
        <v>0</v>
      </c>
      <c r="H387" s="641">
        <v>0</v>
      </c>
      <c r="I387" s="641">
        <v>0</v>
      </c>
      <c r="J387" s="641">
        <v>167933</v>
      </c>
      <c r="K387" s="641">
        <v>0</v>
      </c>
      <c r="L387" s="641">
        <v>0</v>
      </c>
      <c r="M387" s="641">
        <v>0</v>
      </c>
      <c r="N387" s="641">
        <v>0</v>
      </c>
      <c r="O387" s="641">
        <v>0</v>
      </c>
      <c r="P387" s="641">
        <v>0</v>
      </c>
      <c r="Q387" s="641">
        <v>0</v>
      </c>
      <c r="R387" s="641">
        <v>0</v>
      </c>
      <c r="S387" s="641">
        <v>0</v>
      </c>
      <c r="T387" s="641">
        <v>0</v>
      </c>
      <c r="U387" s="641">
        <v>0</v>
      </c>
      <c r="V387" s="641">
        <v>0</v>
      </c>
      <c r="W387" s="641">
        <v>0</v>
      </c>
      <c r="X387" s="641">
        <v>0</v>
      </c>
      <c r="Y387" s="641">
        <v>0</v>
      </c>
      <c r="Z387" s="641">
        <v>0</v>
      </c>
      <c r="AA387" s="641">
        <v>0</v>
      </c>
      <c r="AB387" s="641">
        <v>0</v>
      </c>
      <c r="AC387" s="647">
        <v>167933</v>
      </c>
      <c r="AD387" s="647">
        <v>167933</v>
      </c>
      <c r="AE387" s="718">
        <v>0</v>
      </c>
      <c r="AF387" s="618">
        <f t="shared" si="30"/>
        <v>2.8943780931416909E-4</v>
      </c>
    </row>
    <row r="388" spans="1:32" hidden="1" x14ac:dyDescent="0.25">
      <c r="A388" s="644" t="s">
        <v>949</v>
      </c>
      <c r="B388" s="640" t="s">
        <v>910</v>
      </c>
      <c r="C388" s="635">
        <f t="shared" si="31"/>
        <v>0</v>
      </c>
      <c r="D388" s="635">
        <f t="shared" si="32"/>
        <v>372301.32999999996</v>
      </c>
      <c r="E388" s="635">
        <f t="shared" si="33"/>
        <v>187203.71</v>
      </c>
      <c r="F388" s="635">
        <f t="shared" si="34"/>
        <v>0</v>
      </c>
      <c r="G388" s="635">
        <f t="shared" si="35"/>
        <v>0</v>
      </c>
      <c r="H388" s="641">
        <v>0</v>
      </c>
      <c r="I388" s="641">
        <v>0</v>
      </c>
      <c r="J388" s="641">
        <v>0</v>
      </c>
      <c r="K388" s="641">
        <v>0</v>
      </c>
      <c r="L388" s="641">
        <v>82219.899999999994</v>
      </c>
      <c r="M388" s="641">
        <v>107498</v>
      </c>
      <c r="N388" s="641">
        <v>116937.43</v>
      </c>
      <c r="O388" s="641">
        <v>65646</v>
      </c>
      <c r="P388" s="641">
        <v>131457.35999999999</v>
      </c>
      <c r="Q388" s="641">
        <v>-250.75</v>
      </c>
      <c r="R388" s="641">
        <v>55997.1</v>
      </c>
      <c r="S388" s="641">
        <v>0</v>
      </c>
      <c r="T388" s="641">
        <v>0</v>
      </c>
      <c r="U388" s="641">
        <v>0</v>
      </c>
      <c r="V388" s="641">
        <v>0</v>
      </c>
      <c r="W388" s="641">
        <v>0</v>
      </c>
      <c r="X388" s="641">
        <v>0</v>
      </c>
      <c r="Y388" s="641">
        <v>0</v>
      </c>
      <c r="Z388" s="641">
        <v>0</v>
      </c>
      <c r="AA388" s="641">
        <v>0</v>
      </c>
      <c r="AB388" s="641">
        <v>-0.22000000008847564</v>
      </c>
      <c r="AC388" s="647">
        <v>559505.04</v>
      </c>
      <c r="AD388" s="647">
        <v>559504.81999999995</v>
      </c>
      <c r="AE388" s="718">
        <v>-0.22</v>
      </c>
      <c r="AF388" s="618">
        <f t="shared" si="30"/>
        <v>9.6432454060748371E-4</v>
      </c>
    </row>
    <row r="389" spans="1:32" hidden="1" x14ac:dyDescent="0.25">
      <c r="A389" s="702" t="s">
        <v>950</v>
      </c>
      <c r="B389" s="640" t="s">
        <v>910</v>
      </c>
      <c r="C389" s="635">
        <f t="shared" si="31"/>
        <v>168079.7</v>
      </c>
      <c r="D389" s="635">
        <f t="shared" si="32"/>
        <v>0</v>
      </c>
      <c r="E389" s="635">
        <f t="shared" si="33"/>
        <v>0</v>
      </c>
      <c r="F389" s="635">
        <f t="shared" si="34"/>
        <v>0</v>
      </c>
      <c r="G389" s="635">
        <f t="shared" si="35"/>
        <v>0</v>
      </c>
      <c r="H389" s="641">
        <v>0</v>
      </c>
      <c r="I389" s="641">
        <v>0</v>
      </c>
      <c r="J389" s="641">
        <v>0</v>
      </c>
      <c r="K389" s="641">
        <v>168079.7</v>
      </c>
      <c r="L389" s="641">
        <v>0</v>
      </c>
      <c r="M389" s="641">
        <v>0</v>
      </c>
      <c r="N389" s="641">
        <v>0</v>
      </c>
      <c r="O389" s="641">
        <v>0</v>
      </c>
      <c r="P389" s="641">
        <v>0</v>
      </c>
      <c r="Q389" s="641">
        <v>0</v>
      </c>
      <c r="R389" s="641">
        <v>0</v>
      </c>
      <c r="S389" s="641">
        <v>0</v>
      </c>
      <c r="T389" s="641">
        <v>0</v>
      </c>
      <c r="U389" s="641">
        <v>0</v>
      </c>
      <c r="V389" s="641">
        <v>0</v>
      </c>
      <c r="W389" s="641">
        <v>0</v>
      </c>
      <c r="X389" s="641">
        <v>0</v>
      </c>
      <c r="Y389" s="641">
        <v>0</v>
      </c>
      <c r="Z389" s="641">
        <v>0</v>
      </c>
      <c r="AA389" s="641">
        <v>0</v>
      </c>
      <c r="AB389" s="641">
        <v>0</v>
      </c>
      <c r="AC389" s="647">
        <v>168079.7</v>
      </c>
      <c r="AD389" s="647">
        <v>168079.7</v>
      </c>
      <c r="AE389" s="718">
        <v>0</v>
      </c>
      <c r="AF389" s="618">
        <f t="shared" ref="AF389:AF440" si="36">AC389/$AC$556</f>
        <v>2.8969065137991192E-4</v>
      </c>
    </row>
    <row r="390" spans="1:32" hidden="1" x14ac:dyDescent="0.25">
      <c r="A390" s="702" t="s">
        <v>951</v>
      </c>
      <c r="B390" s="640" t="s">
        <v>910</v>
      </c>
      <c r="C390" s="635">
        <f t="shared" ref="C390:C453" si="37">SUM(H390:K390)</f>
        <v>0</v>
      </c>
      <c r="D390" s="635">
        <f t="shared" ref="D390:D453" si="38">SUM(L390:O390)</f>
        <v>0</v>
      </c>
      <c r="E390" s="635">
        <f t="shared" ref="E390:E453" si="39">SUM(P390:S390)</f>
        <v>223910</v>
      </c>
      <c r="F390" s="635">
        <f t="shared" ref="F390:F453" si="40">SUM(T390:W390)</f>
        <v>0</v>
      </c>
      <c r="G390" s="635">
        <f t="shared" ref="G390:G453" si="41">SUM(X390:AA390)</f>
        <v>0</v>
      </c>
      <c r="H390" s="641">
        <v>0</v>
      </c>
      <c r="I390" s="641">
        <v>0</v>
      </c>
      <c r="J390" s="641">
        <v>0</v>
      </c>
      <c r="K390" s="641">
        <v>0</v>
      </c>
      <c r="L390" s="641">
        <v>0</v>
      </c>
      <c r="M390" s="641">
        <v>0</v>
      </c>
      <c r="N390" s="641">
        <v>0</v>
      </c>
      <c r="O390" s="641">
        <v>0</v>
      </c>
      <c r="P390" s="641">
        <v>0</v>
      </c>
      <c r="Q390" s="641">
        <v>223910</v>
      </c>
      <c r="R390" s="641">
        <v>0</v>
      </c>
      <c r="S390" s="641">
        <v>0</v>
      </c>
      <c r="T390" s="641">
        <v>0</v>
      </c>
      <c r="U390" s="641">
        <v>0</v>
      </c>
      <c r="V390" s="641">
        <v>0</v>
      </c>
      <c r="W390" s="641">
        <v>0</v>
      </c>
      <c r="X390" s="641">
        <v>0</v>
      </c>
      <c r="Y390" s="641">
        <v>0</v>
      </c>
      <c r="Z390" s="641">
        <v>0</v>
      </c>
      <c r="AA390" s="641">
        <v>0</v>
      </c>
      <c r="AB390" s="641">
        <v>0</v>
      </c>
      <c r="AC390" s="647">
        <v>223910</v>
      </c>
      <c r="AD390" s="647">
        <v>223910</v>
      </c>
      <c r="AE390" s="718">
        <v>0</v>
      </c>
      <c r="AF390" s="618">
        <f t="shared" si="36"/>
        <v>3.8591593006458293E-4</v>
      </c>
    </row>
    <row r="391" spans="1:32" hidden="1" x14ac:dyDescent="0.25">
      <c r="A391" s="702" t="s">
        <v>915</v>
      </c>
      <c r="B391" s="640" t="s">
        <v>910</v>
      </c>
      <c r="C391" s="635">
        <f t="shared" si="37"/>
        <v>0</v>
      </c>
      <c r="D391" s="635">
        <f t="shared" si="38"/>
        <v>0</v>
      </c>
      <c r="E391" s="635">
        <f t="shared" si="39"/>
        <v>0</v>
      </c>
      <c r="F391" s="635">
        <f t="shared" si="40"/>
        <v>0</v>
      </c>
      <c r="G391" s="635">
        <f t="shared" si="41"/>
        <v>0</v>
      </c>
      <c r="H391" s="641">
        <v>0</v>
      </c>
      <c r="I391" s="641">
        <v>0</v>
      </c>
      <c r="J391" s="641">
        <v>0</v>
      </c>
      <c r="K391" s="641">
        <v>0</v>
      </c>
      <c r="L391" s="641">
        <v>0</v>
      </c>
      <c r="M391" s="641">
        <v>0</v>
      </c>
      <c r="N391" s="641">
        <v>0</v>
      </c>
      <c r="O391" s="641">
        <v>0</v>
      </c>
      <c r="P391" s="641">
        <v>0</v>
      </c>
      <c r="Q391" s="641">
        <v>0</v>
      </c>
      <c r="R391" s="641">
        <v>0</v>
      </c>
      <c r="S391" s="641">
        <v>0</v>
      </c>
      <c r="T391" s="641">
        <v>0</v>
      </c>
      <c r="U391" s="641">
        <v>0</v>
      </c>
      <c r="V391" s="641">
        <v>0</v>
      </c>
      <c r="W391" s="641">
        <v>0</v>
      </c>
      <c r="X391" s="641">
        <v>0</v>
      </c>
      <c r="Y391" s="641">
        <v>0</v>
      </c>
      <c r="Z391" s="641">
        <v>0</v>
      </c>
      <c r="AA391" s="641">
        <v>0</v>
      </c>
      <c r="AB391" s="641">
        <v>0</v>
      </c>
      <c r="AC391" s="647">
        <v>0</v>
      </c>
      <c r="AD391" s="647">
        <v>0</v>
      </c>
      <c r="AE391" s="718">
        <v>0</v>
      </c>
      <c r="AF391" s="618">
        <f t="shared" si="36"/>
        <v>0</v>
      </c>
    </row>
    <row r="392" spans="1:32" ht="25.5" hidden="1" x14ac:dyDescent="0.25">
      <c r="A392" s="664" t="s">
        <v>916</v>
      </c>
      <c r="B392" s="665" t="s">
        <v>917</v>
      </c>
      <c r="C392" s="635">
        <f t="shared" si="37"/>
        <v>0</v>
      </c>
      <c r="D392" s="635">
        <f t="shared" si="38"/>
        <v>240153.82999999929</v>
      </c>
      <c r="E392" s="635">
        <f t="shared" si="39"/>
        <v>90166.14</v>
      </c>
      <c r="F392" s="635">
        <f t="shared" si="40"/>
        <v>3362.7200000000003</v>
      </c>
      <c r="G392" s="635">
        <f t="shared" si="41"/>
        <v>0</v>
      </c>
      <c r="H392" s="668">
        <v>0</v>
      </c>
      <c r="I392" s="668">
        <v>0</v>
      </c>
      <c r="J392" s="668">
        <v>0</v>
      </c>
      <c r="K392" s="668">
        <v>0</v>
      </c>
      <c r="L392" s="668">
        <v>12259.15</v>
      </c>
      <c r="M392" s="668">
        <v>65998.129999999306</v>
      </c>
      <c r="N392" s="668">
        <v>118454.43</v>
      </c>
      <c r="O392" s="668">
        <v>43442.12</v>
      </c>
      <c r="P392" s="668">
        <v>33926.46</v>
      </c>
      <c r="Q392" s="669">
        <v>38326.229999999996</v>
      </c>
      <c r="R392" s="668">
        <v>11269.91</v>
      </c>
      <c r="S392" s="668">
        <v>6643.54</v>
      </c>
      <c r="T392" s="668">
        <v>-0.36999999999989086</v>
      </c>
      <c r="U392" s="668">
        <v>3363.09</v>
      </c>
      <c r="V392" s="668">
        <v>0</v>
      </c>
      <c r="W392" s="668">
        <v>0</v>
      </c>
      <c r="X392" s="668">
        <v>0</v>
      </c>
      <c r="Y392" s="668">
        <v>0</v>
      </c>
      <c r="Z392" s="668">
        <v>0</v>
      </c>
      <c r="AA392" s="666">
        <v>0</v>
      </c>
      <c r="AB392" s="668">
        <v>0</v>
      </c>
      <c r="AC392" s="647">
        <v>333682.69</v>
      </c>
      <c r="AD392" s="647">
        <v>333682.69</v>
      </c>
      <c r="AE392" s="718">
        <v>0</v>
      </c>
      <c r="AF392" s="618">
        <f t="shared" si="36"/>
        <v>5.7511261514805903E-4</v>
      </c>
    </row>
    <row r="393" spans="1:32" hidden="1" x14ac:dyDescent="0.25">
      <c r="A393" s="702" t="s">
        <v>952</v>
      </c>
      <c r="B393" s="656" t="s">
        <v>917</v>
      </c>
      <c r="C393" s="635">
        <f t="shared" si="37"/>
        <v>0</v>
      </c>
      <c r="D393" s="635">
        <f t="shared" si="38"/>
        <v>79930.949999999284</v>
      </c>
      <c r="E393" s="635">
        <f t="shared" si="39"/>
        <v>35914.160000000003</v>
      </c>
      <c r="F393" s="635">
        <f t="shared" si="40"/>
        <v>3363.09</v>
      </c>
      <c r="G393" s="635">
        <f t="shared" si="41"/>
        <v>0</v>
      </c>
      <c r="H393" s="645">
        <v>0</v>
      </c>
      <c r="I393" s="645">
        <v>0</v>
      </c>
      <c r="J393" s="645">
        <v>0</v>
      </c>
      <c r="K393" s="645">
        <v>0</v>
      </c>
      <c r="L393" s="645">
        <v>0</v>
      </c>
      <c r="M393" s="645">
        <v>17218.199999999299</v>
      </c>
      <c r="N393" s="645">
        <v>50081.29</v>
      </c>
      <c r="O393" s="645">
        <v>12631.46</v>
      </c>
      <c r="P393" s="645">
        <v>18470.3</v>
      </c>
      <c r="Q393" s="645">
        <v>14824.67</v>
      </c>
      <c r="R393" s="645">
        <v>4321.79</v>
      </c>
      <c r="S393" s="645">
        <v>-1702.6</v>
      </c>
      <c r="T393" s="645">
        <v>0</v>
      </c>
      <c r="U393" s="645">
        <v>3363.09</v>
      </c>
      <c r="V393" s="645">
        <v>0</v>
      </c>
      <c r="W393" s="645">
        <v>0</v>
      </c>
      <c r="X393" s="645">
        <v>0</v>
      </c>
      <c r="Y393" s="645">
        <v>0</v>
      </c>
      <c r="Z393" s="645">
        <v>0</v>
      </c>
      <c r="AA393" s="641">
        <v>0</v>
      </c>
      <c r="AB393" s="645">
        <v>0</v>
      </c>
      <c r="AC393" s="647">
        <v>119208.2</v>
      </c>
      <c r="AD393" s="647">
        <v>119208.2</v>
      </c>
      <c r="AE393" s="718">
        <v>0</v>
      </c>
      <c r="AF393" s="618">
        <f t="shared" si="36"/>
        <v>2.0545908344569164E-4</v>
      </c>
    </row>
    <row r="394" spans="1:32" ht="25.5" hidden="1" x14ac:dyDescent="0.25">
      <c r="A394" s="702" t="s">
        <v>919</v>
      </c>
      <c r="B394" s="656" t="s">
        <v>917</v>
      </c>
      <c r="C394" s="635">
        <f t="shared" si="37"/>
        <v>0</v>
      </c>
      <c r="D394" s="635">
        <f t="shared" si="38"/>
        <v>160222.88</v>
      </c>
      <c r="E394" s="635">
        <f t="shared" si="39"/>
        <v>54251.98</v>
      </c>
      <c r="F394" s="635">
        <f t="shared" si="40"/>
        <v>-0.36999999999989086</v>
      </c>
      <c r="G394" s="635">
        <f t="shared" si="41"/>
        <v>0</v>
      </c>
      <c r="H394" s="645">
        <v>0</v>
      </c>
      <c r="I394" s="645">
        <v>0</v>
      </c>
      <c r="J394" s="645">
        <v>0</v>
      </c>
      <c r="K394" s="645">
        <v>0</v>
      </c>
      <c r="L394" s="645">
        <v>12259.15</v>
      </c>
      <c r="M394" s="645">
        <v>48779.930000000008</v>
      </c>
      <c r="N394" s="645">
        <v>68373.139999999985</v>
      </c>
      <c r="O394" s="645">
        <v>30810.660000000003</v>
      </c>
      <c r="P394" s="645">
        <v>15456.16</v>
      </c>
      <c r="Q394" s="645">
        <v>23501.559999999998</v>
      </c>
      <c r="R394" s="645">
        <v>6948.1200000000008</v>
      </c>
      <c r="S394" s="645">
        <v>8346.14</v>
      </c>
      <c r="T394" s="645">
        <v>-0.36999999999989086</v>
      </c>
      <c r="U394" s="645">
        <v>0</v>
      </c>
      <c r="V394" s="645">
        <v>0</v>
      </c>
      <c r="W394" s="645">
        <v>0</v>
      </c>
      <c r="X394" s="645">
        <v>0</v>
      </c>
      <c r="Y394" s="645">
        <v>0</v>
      </c>
      <c r="Z394" s="645">
        <v>0</v>
      </c>
      <c r="AA394" s="641">
        <v>0</v>
      </c>
      <c r="AB394" s="645">
        <v>0</v>
      </c>
      <c r="AC394" s="647">
        <v>214474.49</v>
      </c>
      <c r="AD394" s="647">
        <v>214474.49</v>
      </c>
      <c r="AE394" s="718">
        <v>0</v>
      </c>
      <c r="AF394" s="618">
        <f t="shared" si="36"/>
        <v>3.6965353170236742E-4</v>
      </c>
    </row>
    <row r="395" spans="1:32" ht="25.5" hidden="1" x14ac:dyDescent="0.25">
      <c r="A395" s="702" t="s">
        <v>953</v>
      </c>
      <c r="B395" s="656" t="s">
        <v>917</v>
      </c>
      <c r="C395" s="635">
        <f t="shared" si="37"/>
        <v>0</v>
      </c>
      <c r="D395" s="635">
        <f t="shared" si="38"/>
        <v>0</v>
      </c>
      <c r="E395" s="635">
        <f t="shared" si="39"/>
        <v>0</v>
      </c>
      <c r="F395" s="635">
        <f t="shared" si="40"/>
        <v>0</v>
      </c>
      <c r="G395" s="635">
        <f t="shared" si="41"/>
        <v>0</v>
      </c>
      <c r="H395" s="645">
        <v>0</v>
      </c>
      <c r="I395" s="645">
        <v>0</v>
      </c>
      <c r="J395" s="645">
        <v>0</v>
      </c>
      <c r="K395" s="645">
        <v>0</v>
      </c>
      <c r="L395" s="645">
        <v>0</v>
      </c>
      <c r="M395" s="645">
        <v>0</v>
      </c>
      <c r="N395" s="645">
        <v>0</v>
      </c>
      <c r="O395" s="645">
        <v>0</v>
      </c>
      <c r="P395" s="645">
        <v>0</v>
      </c>
      <c r="Q395" s="645">
        <v>0</v>
      </c>
      <c r="R395" s="645">
        <v>0</v>
      </c>
      <c r="S395" s="645">
        <v>0</v>
      </c>
      <c r="T395" s="645">
        <v>0</v>
      </c>
      <c r="U395" s="645">
        <v>0</v>
      </c>
      <c r="V395" s="645">
        <v>0</v>
      </c>
      <c r="W395" s="645">
        <v>0</v>
      </c>
      <c r="X395" s="645">
        <v>0</v>
      </c>
      <c r="Y395" s="645">
        <v>0</v>
      </c>
      <c r="Z395" s="645">
        <v>0</v>
      </c>
      <c r="AA395" s="641">
        <v>0</v>
      </c>
      <c r="AB395" s="645">
        <v>0</v>
      </c>
      <c r="AC395" s="647">
        <v>0</v>
      </c>
      <c r="AD395" s="647">
        <v>0</v>
      </c>
      <c r="AE395" s="718">
        <v>0</v>
      </c>
      <c r="AF395" s="618">
        <f t="shared" si="36"/>
        <v>0</v>
      </c>
    </row>
    <row r="396" spans="1:32" ht="25.5" hidden="1" x14ac:dyDescent="0.25">
      <c r="A396" s="664" t="s">
        <v>954</v>
      </c>
      <c r="B396" s="665" t="s">
        <v>917</v>
      </c>
      <c r="C396" s="635">
        <f t="shared" si="37"/>
        <v>0</v>
      </c>
      <c r="D396" s="635">
        <f t="shared" si="38"/>
        <v>0</v>
      </c>
      <c r="E396" s="635">
        <f t="shared" si="39"/>
        <v>0</v>
      </c>
      <c r="F396" s="635">
        <f t="shared" si="40"/>
        <v>0</v>
      </c>
      <c r="G396" s="635">
        <f t="shared" si="41"/>
        <v>0</v>
      </c>
      <c r="H396" s="668">
        <v>0</v>
      </c>
      <c r="I396" s="668">
        <v>0</v>
      </c>
      <c r="J396" s="668">
        <v>0</v>
      </c>
      <c r="K396" s="668">
        <v>0</v>
      </c>
      <c r="L396" s="668">
        <v>0</v>
      </c>
      <c r="M396" s="668">
        <v>0</v>
      </c>
      <c r="N396" s="668">
        <v>0</v>
      </c>
      <c r="O396" s="668">
        <v>0</v>
      </c>
      <c r="P396" s="668">
        <v>0</v>
      </c>
      <c r="Q396" s="668">
        <v>0</v>
      </c>
      <c r="R396" s="668">
        <v>0</v>
      </c>
      <c r="S396" s="668">
        <v>0</v>
      </c>
      <c r="T396" s="668">
        <v>0</v>
      </c>
      <c r="U396" s="668">
        <v>0</v>
      </c>
      <c r="V396" s="668">
        <v>0</v>
      </c>
      <c r="W396" s="668">
        <v>0</v>
      </c>
      <c r="X396" s="668">
        <v>0</v>
      </c>
      <c r="Y396" s="668">
        <v>0</v>
      </c>
      <c r="Z396" s="668">
        <v>0</v>
      </c>
      <c r="AA396" s="666">
        <v>0</v>
      </c>
      <c r="AB396" s="668">
        <v>0</v>
      </c>
      <c r="AC396" s="647">
        <v>0</v>
      </c>
      <c r="AD396" s="647">
        <v>0</v>
      </c>
      <c r="AE396" s="718">
        <v>0</v>
      </c>
      <c r="AF396" s="618">
        <f t="shared" si="36"/>
        <v>0</v>
      </c>
    </row>
    <row r="397" spans="1:32" hidden="1" x14ac:dyDescent="0.25">
      <c r="A397" s="667" t="s">
        <v>922</v>
      </c>
      <c r="B397" s="665" t="s">
        <v>955</v>
      </c>
      <c r="C397" s="635">
        <f t="shared" si="37"/>
        <v>0</v>
      </c>
      <c r="D397" s="635">
        <f t="shared" si="38"/>
        <v>707191.12666666671</v>
      </c>
      <c r="E397" s="635">
        <f t="shared" si="39"/>
        <v>1297515.1099999999</v>
      </c>
      <c r="F397" s="635">
        <f t="shared" si="40"/>
        <v>1229146.3600000001</v>
      </c>
      <c r="G397" s="635">
        <f t="shared" si="41"/>
        <v>115105.44</v>
      </c>
      <c r="H397" s="668">
        <v>0</v>
      </c>
      <c r="I397" s="668">
        <v>0</v>
      </c>
      <c r="J397" s="668">
        <v>0</v>
      </c>
      <c r="K397" s="668">
        <v>0</v>
      </c>
      <c r="L397" s="668">
        <v>0</v>
      </c>
      <c r="M397" s="668">
        <v>389219.62666666665</v>
      </c>
      <c r="N397" s="668">
        <v>49393.5</v>
      </c>
      <c r="O397" s="668">
        <v>268578</v>
      </c>
      <c r="P397" s="668">
        <v>237954.02</v>
      </c>
      <c r="Q397" s="669">
        <v>271270.75</v>
      </c>
      <c r="R397" s="668">
        <v>264285.46000000002</v>
      </c>
      <c r="S397" s="668">
        <v>524004.88</v>
      </c>
      <c r="T397" s="668">
        <v>572396.88</v>
      </c>
      <c r="U397" s="668">
        <v>562598.34000000008</v>
      </c>
      <c r="V397" s="668">
        <v>94151.14</v>
      </c>
      <c r="W397" s="668">
        <v>0</v>
      </c>
      <c r="X397" s="668">
        <v>0</v>
      </c>
      <c r="Y397" s="668">
        <v>0</v>
      </c>
      <c r="Z397" s="668">
        <v>0</v>
      </c>
      <c r="AA397" s="666">
        <v>115105.44</v>
      </c>
      <c r="AB397" s="668">
        <v>322.76000000000931</v>
      </c>
      <c r="AC397" s="647">
        <v>3348958.04</v>
      </c>
      <c r="AD397" s="647">
        <v>3293852.11</v>
      </c>
      <c r="AE397" s="718">
        <v>-55105.93</v>
      </c>
      <c r="AF397" s="618">
        <f t="shared" si="36"/>
        <v>5.7720345529626311E-3</v>
      </c>
    </row>
    <row r="398" spans="1:32" ht="25.5" hidden="1" x14ac:dyDescent="0.25">
      <c r="A398" s="702" t="s">
        <v>956</v>
      </c>
      <c r="B398" s="656" t="s">
        <v>925</v>
      </c>
      <c r="C398" s="635">
        <f t="shared" si="37"/>
        <v>0</v>
      </c>
      <c r="D398" s="635">
        <f t="shared" si="38"/>
        <v>524170.08999999997</v>
      </c>
      <c r="E398" s="635">
        <f t="shared" si="39"/>
        <v>1055047.26</v>
      </c>
      <c r="F398" s="635">
        <f t="shared" si="40"/>
        <v>1138821.25</v>
      </c>
      <c r="G398" s="635">
        <f t="shared" si="41"/>
        <v>0</v>
      </c>
      <c r="H398" s="645">
        <v>0</v>
      </c>
      <c r="I398" s="645">
        <v>0</v>
      </c>
      <c r="J398" s="645">
        <v>0</v>
      </c>
      <c r="K398" s="645">
        <v>0</v>
      </c>
      <c r="L398" s="645">
        <v>0</v>
      </c>
      <c r="M398" s="645">
        <v>257757</v>
      </c>
      <c r="N398" s="645">
        <v>-2164.91</v>
      </c>
      <c r="O398" s="645">
        <v>268578</v>
      </c>
      <c r="P398" s="645">
        <v>0</v>
      </c>
      <c r="Q398" s="677">
        <v>270706.8</v>
      </c>
      <c r="R398" s="645">
        <v>264285.46000000002</v>
      </c>
      <c r="S398" s="645">
        <v>520055</v>
      </c>
      <c r="T398" s="645">
        <v>519641.77</v>
      </c>
      <c r="U398" s="645">
        <v>525028.34000000008</v>
      </c>
      <c r="V398" s="645">
        <v>94151.14</v>
      </c>
      <c r="W398" s="645">
        <v>0</v>
      </c>
      <c r="X398" s="645">
        <v>0</v>
      </c>
      <c r="Y398" s="645">
        <v>0</v>
      </c>
      <c r="Z398" s="645">
        <v>0</v>
      </c>
      <c r="AA398" s="641">
        <v>0</v>
      </c>
      <c r="AB398" s="645">
        <v>-0.72999999998137355</v>
      </c>
      <c r="AC398" s="647">
        <v>2718038.6</v>
      </c>
      <c r="AD398" s="647">
        <v>2718038.11</v>
      </c>
      <c r="AE398" s="718">
        <v>-0.49</v>
      </c>
      <c r="AF398" s="618">
        <f t="shared" si="36"/>
        <v>4.6846250469851141E-3</v>
      </c>
    </row>
    <row r="399" spans="1:32" hidden="1" x14ac:dyDescent="0.25">
      <c r="A399" s="725" t="s">
        <v>957</v>
      </c>
      <c r="B399" s="654" t="s">
        <v>925</v>
      </c>
      <c r="C399" s="635">
        <f t="shared" si="37"/>
        <v>0</v>
      </c>
      <c r="D399" s="635">
        <f t="shared" si="38"/>
        <v>255592.09</v>
      </c>
      <c r="E399" s="635">
        <f t="shared" si="39"/>
        <v>0</v>
      </c>
      <c r="F399" s="635">
        <f t="shared" si="40"/>
        <v>0</v>
      </c>
      <c r="G399" s="635">
        <f t="shared" si="41"/>
        <v>0</v>
      </c>
      <c r="H399" s="645">
        <v>0</v>
      </c>
      <c r="I399" s="645">
        <v>0</v>
      </c>
      <c r="J399" s="645">
        <v>0</v>
      </c>
      <c r="K399" s="645">
        <v>0</v>
      </c>
      <c r="L399" s="645">
        <v>0</v>
      </c>
      <c r="M399" s="645">
        <v>257757</v>
      </c>
      <c r="N399" s="645">
        <v>-2164.91</v>
      </c>
      <c r="O399" s="645">
        <v>0</v>
      </c>
      <c r="P399" s="645">
        <v>0</v>
      </c>
      <c r="Q399" s="645">
        <v>0</v>
      </c>
      <c r="R399" s="645">
        <v>0</v>
      </c>
      <c r="S399" s="645">
        <v>0</v>
      </c>
      <c r="T399" s="645">
        <v>0</v>
      </c>
      <c r="U399" s="645">
        <v>0</v>
      </c>
      <c r="V399" s="645">
        <v>0</v>
      </c>
      <c r="W399" s="645">
        <v>0</v>
      </c>
      <c r="X399" s="645">
        <v>0</v>
      </c>
      <c r="Y399" s="645">
        <v>0</v>
      </c>
      <c r="Z399" s="645">
        <v>0</v>
      </c>
      <c r="AA399" s="641">
        <v>0</v>
      </c>
      <c r="AB399" s="645">
        <v>-0.5</v>
      </c>
      <c r="AC399" s="672">
        <v>255592.09</v>
      </c>
      <c r="AD399" s="672">
        <v>255591.6</v>
      </c>
      <c r="AE399" s="718">
        <v>-0.49</v>
      </c>
      <c r="AF399" s="618">
        <f t="shared" si="36"/>
        <v>4.4052100901925142E-4</v>
      </c>
    </row>
    <row r="400" spans="1:32" hidden="1" x14ac:dyDescent="0.25">
      <c r="A400" s="725" t="s">
        <v>958</v>
      </c>
      <c r="B400" s="654" t="s">
        <v>925</v>
      </c>
      <c r="C400" s="635">
        <f t="shared" si="37"/>
        <v>0</v>
      </c>
      <c r="D400" s="635">
        <f t="shared" si="38"/>
        <v>268578</v>
      </c>
      <c r="E400" s="635">
        <f t="shared" si="39"/>
        <v>0</v>
      </c>
      <c r="F400" s="635">
        <f t="shared" si="40"/>
        <v>264932.68</v>
      </c>
      <c r="G400" s="635">
        <f t="shared" si="41"/>
        <v>0</v>
      </c>
      <c r="H400" s="645">
        <v>0</v>
      </c>
      <c r="I400" s="645">
        <v>0</v>
      </c>
      <c r="J400" s="645">
        <v>0</v>
      </c>
      <c r="K400" s="645">
        <v>0</v>
      </c>
      <c r="L400" s="645">
        <v>0</v>
      </c>
      <c r="M400" s="645">
        <v>0</v>
      </c>
      <c r="N400" s="645">
        <v>0</v>
      </c>
      <c r="O400" s="645">
        <v>268578</v>
      </c>
      <c r="P400" s="645">
        <v>0</v>
      </c>
      <c r="Q400" s="645">
        <v>0</v>
      </c>
      <c r="R400" s="645">
        <v>0</v>
      </c>
      <c r="S400" s="645">
        <v>0</v>
      </c>
      <c r="T400" s="645">
        <v>264932.68</v>
      </c>
      <c r="U400" s="645">
        <v>0</v>
      </c>
      <c r="V400" s="645">
        <v>0</v>
      </c>
      <c r="W400" s="645">
        <v>0</v>
      </c>
      <c r="X400" s="645">
        <v>0</v>
      </c>
      <c r="Y400" s="645">
        <v>0</v>
      </c>
      <c r="Z400" s="645">
        <v>0</v>
      </c>
      <c r="AA400" s="641">
        <v>0</v>
      </c>
      <c r="AB400" s="645">
        <v>0</v>
      </c>
      <c r="AC400" s="672">
        <v>533510.68000000005</v>
      </c>
      <c r="AD400" s="672">
        <v>533510.68000000005</v>
      </c>
      <c r="AE400" s="718">
        <v>0</v>
      </c>
      <c r="AF400" s="618">
        <f t="shared" si="36"/>
        <v>9.1952244326554459E-4</v>
      </c>
    </row>
    <row r="401" spans="1:32" ht="25.5" hidden="1" x14ac:dyDescent="0.25">
      <c r="A401" s="725" t="s">
        <v>959</v>
      </c>
      <c r="B401" s="654" t="s">
        <v>925</v>
      </c>
      <c r="C401" s="635">
        <f t="shared" si="37"/>
        <v>0</v>
      </c>
      <c r="D401" s="635">
        <f t="shared" si="38"/>
        <v>0</v>
      </c>
      <c r="E401" s="635">
        <f t="shared" si="39"/>
        <v>1055047.26</v>
      </c>
      <c r="F401" s="635">
        <f t="shared" si="40"/>
        <v>609604</v>
      </c>
      <c r="G401" s="635">
        <f t="shared" si="41"/>
        <v>0</v>
      </c>
      <c r="H401" s="645">
        <v>0</v>
      </c>
      <c r="I401" s="645">
        <v>0</v>
      </c>
      <c r="J401" s="645">
        <v>0</v>
      </c>
      <c r="K401" s="645">
        <v>0</v>
      </c>
      <c r="L401" s="645">
        <v>0</v>
      </c>
      <c r="M401" s="645">
        <v>0</v>
      </c>
      <c r="N401" s="645">
        <v>0</v>
      </c>
      <c r="O401" s="645">
        <v>0</v>
      </c>
      <c r="P401" s="645">
        <v>0</v>
      </c>
      <c r="Q401" s="645">
        <v>270706.8</v>
      </c>
      <c r="R401" s="645">
        <v>264285.46000000002</v>
      </c>
      <c r="S401" s="645">
        <v>520055</v>
      </c>
      <c r="T401" s="645">
        <v>254708.86</v>
      </c>
      <c r="U401" s="645">
        <v>260744</v>
      </c>
      <c r="V401" s="645">
        <v>94151.14</v>
      </c>
      <c r="W401" s="645">
        <v>0</v>
      </c>
      <c r="X401" s="645">
        <v>0</v>
      </c>
      <c r="Y401" s="645">
        <v>0</v>
      </c>
      <c r="Z401" s="645">
        <v>0</v>
      </c>
      <c r="AA401" s="641">
        <v>0</v>
      </c>
      <c r="AB401" s="645">
        <v>0</v>
      </c>
      <c r="AC401" s="672">
        <v>1664651.26</v>
      </c>
      <c r="AD401" s="672">
        <v>1664651.26</v>
      </c>
      <c r="AE401" s="718">
        <v>0</v>
      </c>
      <c r="AF401" s="618">
        <f t="shared" si="36"/>
        <v>2.8690788229024156E-3</v>
      </c>
    </row>
    <row r="402" spans="1:32" hidden="1" x14ac:dyDescent="0.25">
      <c r="A402" s="725" t="s">
        <v>960</v>
      </c>
      <c r="B402" s="654" t="s">
        <v>925</v>
      </c>
      <c r="C402" s="635">
        <f t="shared" si="37"/>
        <v>0</v>
      </c>
      <c r="D402" s="635">
        <f t="shared" si="38"/>
        <v>0</v>
      </c>
      <c r="E402" s="635">
        <f t="shared" si="39"/>
        <v>0</v>
      </c>
      <c r="F402" s="635">
        <f t="shared" si="40"/>
        <v>264284.57</v>
      </c>
      <c r="G402" s="635">
        <f t="shared" si="41"/>
        <v>0</v>
      </c>
      <c r="H402" s="645">
        <v>0</v>
      </c>
      <c r="I402" s="645">
        <v>0</v>
      </c>
      <c r="J402" s="645">
        <v>0</v>
      </c>
      <c r="K402" s="645">
        <v>0</v>
      </c>
      <c r="L402" s="645">
        <v>0</v>
      </c>
      <c r="M402" s="645">
        <v>0</v>
      </c>
      <c r="N402" s="645">
        <v>0</v>
      </c>
      <c r="O402" s="645">
        <v>0</v>
      </c>
      <c r="P402" s="645">
        <v>0</v>
      </c>
      <c r="Q402" s="645">
        <v>0</v>
      </c>
      <c r="R402" s="645">
        <v>0</v>
      </c>
      <c r="S402" s="645">
        <v>0</v>
      </c>
      <c r="T402" s="645">
        <v>0.22999999999956344</v>
      </c>
      <c r="U402" s="645">
        <v>264284.34000000003</v>
      </c>
      <c r="V402" s="645">
        <v>0</v>
      </c>
      <c r="W402" s="645">
        <v>0</v>
      </c>
      <c r="X402" s="645">
        <v>0</v>
      </c>
      <c r="Y402" s="645">
        <v>0</v>
      </c>
      <c r="Z402" s="645">
        <v>0</v>
      </c>
      <c r="AA402" s="641">
        <v>0</v>
      </c>
      <c r="AB402" s="645">
        <v>-0.22999999998137355</v>
      </c>
      <c r="AC402" s="672">
        <v>264284.57</v>
      </c>
      <c r="AD402" s="672">
        <v>264284.57</v>
      </c>
      <c r="AE402" s="718">
        <v>0</v>
      </c>
      <c r="AF402" s="618">
        <f t="shared" si="36"/>
        <v>4.555027717979026E-4</v>
      </c>
    </row>
    <row r="403" spans="1:32" hidden="1" x14ac:dyDescent="0.25">
      <c r="A403" s="702" t="s">
        <v>1271</v>
      </c>
      <c r="B403" s="656" t="s">
        <v>930</v>
      </c>
      <c r="C403" s="635">
        <f t="shared" si="37"/>
        <v>0</v>
      </c>
      <c r="D403" s="635">
        <f t="shared" si="38"/>
        <v>183021.03666666665</v>
      </c>
      <c r="E403" s="635">
        <f t="shared" si="39"/>
        <v>0</v>
      </c>
      <c r="F403" s="635">
        <f t="shared" si="40"/>
        <v>87758.709999999992</v>
      </c>
      <c r="G403" s="635">
        <f t="shared" si="41"/>
        <v>0</v>
      </c>
      <c r="H403" s="645">
        <v>0</v>
      </c>
      <c r="I403" s="645">
        <v>0</v>
      </c>
      <c r="J403" s="645">
        <v>0</v>
      </c>
      <c r="K403" s="645">
        <v>0</v>
      </c>
      <c r="L403" s="645">
        <v>0</v>
      </c>
      <c r="M403" s="645">
        <v>131462.62666666665</v>
      </c>
      <c r="N403" s="645">
        <v>51558.41</v>
      </c>
      <c r="O403" s="645">
        <v>0</v>
      </c>
      <c r="P403" s="645">
        <v>0</v>
      </c>
      <c r="Q403" s="645">
        <v>0</v>
      </c>
      <c r="R403" s="645">
        <v>0</v>
      </c>
      <c r="S403" s="645">
        <v>0</v>
      </c>
      <c r="T403" s="645">
        <v>50188.71</v>
      </c>
      <c r="U403" s="645">
        <v>37570</v>
      </c>
      <c r="V403" s="645">
        <v>0</v>
      </c>
      <c r="W403" s="645">
        <v>0</v>
      </c>
      <c r="X403" s="645">
        <v>0</v>
      </c>
      <c r="Y403" s="645">
        <v>0</v>
      </c>
      <c r="Z403" s="645">
        <v>0</v>
      </c>
      <c r="AA403" s="641">
        <v>0</v>
      </c>
      <c r="AB403" s="645">
        <v>0</v>
      </c>
      <c r="AC403" s="647">
        <v>270779.75</v>
      </c>
      <c r="AD403" s="647">
        <v>270779.75</v>
      </c>
      <c r="AE403" s="718">
        <v>0</v>
      </c>
      <c r="AF403" s="618">
        <f t="shared" si="36"/>
        <v>4.6669741889109571E-4</v>
      </c>
    </row>
    <row r="404" spans="1:32" hidden="1" x14ac:dyDescent="0.25">
      <c r="A404" s="702" t="s">
        <v>961</v>
      </c>
      <c r="B404" s="656" t="s">
        <v>932</v>
      </c>
      <c r="C404" s="635">
        <f t="shared" si="37"/>
        <v>0</v>
      </c>
      <c r="D404" s="635">
        <f t="shared" si="38"/>
        <v>0</v>
      </c>
      <c r="E404" s="635">
        <f t="shared" si="39"/>
        <v>238517.97</v>
      </c>
      <c r="F404" s="635">
        <f t="shared" si="40"/>
        <v>0</v>
      </c>
      <c r="G404" s="635">
        <f t="shared" si="41"/>
        <v>0</v>
      </c>
      <c r="H404" s="645">
        <v>0</v>
      </c>
      <c r="I404" s="645">
        <v>0</v>
      </c>
      <c r="J404" s="645">
        <v>0</v>
      </c>
      <c r="K404" s="645">
        <v>0</v>
      </c>
      <c r="L404" s="645">
        <v>0</v>
      </c>
      <c r="M404" s="645">
        <v>0</v>
      </c>
      <c r="N404" s="645">
        <v>0</v>
      </c>
      <c r="O404" s="645">
        <v>0</v>
      </c>
      <c r="P404" s="645">
        <v>237954.02</v>
      </c>
      <c r="Q404" s="645">
        <v>563.95000000000005</v>
      </c>
      <c r="R404" s="645">
        <v>0</v>
      </c>
      <c r="S404" s="645">
        <v>0</v>
      </c>
      <c r="T404" s="645">
        <v>0</v>
      </c>
      <c r="U404" s="645">
        <v>0</v>
      </c>
      <c r="V404" s="645">
        <v>0</v>
      </c>
      <c r="W404" s="645">
        <v>0</v>
      </c>
      <c r="X404" s="645">
        <v>0</v>
      </c>
      <c r="Y404" s="645">
        <v>0</v>
      </c>
      <c r="Z404" s="645">
        <v>0</v>
      </c>
      <c r="AA404" s="641">
        <v>0</v>
      </c>
      <c r="AB404" s="645">
        <v>0</v>
      </c>
      <c r="AC404" s="647">
        <v>238517.97</v>
      </c>
      <c r="AD404" s="647">
        <v>238517.97</v>
      </c>
      <c r="AE404" s="718">
        <v>0</v>
      </c>
      <c r="AF404" s="618">
        <f t="shared" si="36"/>
        <v>4.1109322598216377E-4</v>
      </c>
    </row>
    <row r="405" spans="1:32" hidden="1" x14ac:dyDescent="0.25">
      <c r="A405" s="702" t="s">
        <v>935</v>
      </c>
      <c r="B405" s="656" t="s">
        <v>936</v>
      </c>
      <c r="C405" s="635">
        <f t="shared" si="37"/>
        <v>0</v>
      </c>
      <c r="D405" s="635">
        <f t="shared" si="38"/>
        <v>0</v>
      </c>
      <c r="E405" s="635">
        <f t="shared" si="39"/>
        <v>3949.88</v>
      </c>
      <c r="F405" s="635">
        <f t="shared" si="40"/>
        <v>2566.4</v>
      </c>
      <c r="G405" s="635">
        <f t="shared" si="41"/>
        <v>0</v>
      </c>
      <c r="H405" s="645"/>
      <c r="I405" s="645"/>
      <c r="J405" s="645"/>
      <c r="K405" s="645"/>
      <c r="L405" s="645"/>
      <c r="M405" s="645"/>
      <c r="N405" s="645"/>
      <c r="O405" s="645"/>
      <c r="P405" s="645"/>
      <c r="Q405" s="645"/>
      <c r="R405" s="645">
        <v>0</v>
      </c>
      <c r="S405" s="645">
        <v>3949.88</v>
      </c>
      <c r="T405" s="645">
        <v>2566.4</v>
      </c>
      <c r="U405" s="645">
        <v>0</v>
      </c>
      <c r="V405" s="645">
        <v>0</v>
      </c>
      <c r="W405" s="645">
        <v>0</v>
      </c>
      <c r="X405" s="645">
        <v>0</v>
      </c>
      <c r="Y405" s="645">
        <v>0</v>
      </c>
      <c r="Z405" s="645">
        <v>0</v>
      </c>
      <c r="AA405" s="641">
        <v>0</v>
      </c>
      <c r="AB405" s="645">
        <v>0</v>
      </c>
      <c r="AC405" s="647">
        <v>6516.28</v>
      </c>
      <c r="AD405" s="647">
        <v>6516.28</v>
      </c>
      <c r="AE405" s="718">
        <v>0</v>
      </c>
      <c r="AF405" s="618">
        <f t="shared" si="36"/>
        <v>1.123101360707981E-5</v>
      </c>
    </row>
    <row r="406" spans="1:32" hidden="1" x14ac:dyDescent="0.25">
      <c r="A406" s="702" t="s">
        <v>1272</v>
      </c>
      <c r="B406" s="656" t="s">
        <v>962</v>
      </c>
      <c r="C406" s="635">
        <f t="shared" si="37"/>
        <v>0</v>
      </c>
      <c r="D406" s="635">
        <f t="shared" si="38"/>
        <v>0</v>
      </c>
      <c r="E406" s="635">
        <f t="shared" si="39"/>
        <v>0</v>
      </c>
      <c r="F406" s="635">
        <f t="shared" si="40"/>
        <v>0</v>
      </c>
      <c r="G406" s="635">
        <f t="shared" si="41"/>
        <v>115105.44</v>
      </c>
      <c r="H406" s="645"/>
      <c r="I406" s="645"/>
      <c r="J406" s="645"/>
      <c r="K406" s="645"/>
      <c r="L406" s="645"/>
      <c r="M406" s="645"/>
      <c r="N406" s="645"/>
      <c r="O406" s="645"/>
      <c r="P406" s="645"/>
      <c r="Q406" s="645"/>
      <c r="R406" s="645">
        <v>0</v>
      </c>
      <c r="S406" s="645">
        <v>0</v>
      </c>
      <c r="T406" s="645">
        <v>0</v>
      </c>
      <c r="U406" s="645">
        <v>0</v>
      </c>
      <c r="V406" s="645">
        <v>0</v>
      </c>
      <c r="W406" s="645">
        <v>0</v>
      </c>
      <c r="X406" s="645">
        <v>0</v>
      </c>
      <c r="Y406" s="645">
        <v>0</v>
      </c>
      <c r="Z406" s="645">
        <v>0</v>
      </c>
      <c r="AA406" s="641">
        <v>115105.44</v>
      </c>
      <c r="AB406" s="645">
        <v>323.48999999999069</v>
      </c>
      <c r="AC406" s="647">
        <v>115105.44</v>
      </c>
      <c r="AD406" s="647">
        <v>60000</v>
      </c>
      <c r="AE406" s="718">
        <v>-55105.440000000002</v>
      </c>
      <c r="AF406" s="618">
        <f t="shared" si="36"/>
        <v>1.9838784749717764E-4</v>
      </c>
    </row>
    <row r="407" spans="1:32" hidden="1" x14ac:dyDescent="0.25">
      <c r="A407" s="667" t="s">
        <v>963</v>
      </c>
      <c r="B407" s="665" t="s">
        <v>964</v>
      </c>
      <c r="C407" s="635">
        <f t="shared" si="37"/>
        <v>40925.589999999997</v>
      </c>
      <c r="D407" s="635">
        <f t="shared" si="38"/>
        <v>62059.96</v>
      </c>
      <c r="E407" s="635">
        <f t="shared" si="39"/>
        <v>49622.17</v>
      </c>
      <c r="F407" s="635">
        <f t="shared" si="40"/>
        <v>43654.149999999994</v>
      </c>
      <c r="G407" s="635">
        <f t="shared" si="41"/>
        <v>10548.170000000002</v>
      </c>
      <c r="H407" s="668">
        <v>0</v>
      </c>
      <c r="I407" s="668">
        <v>0</v>
      </c>
      <c r="J407" s="668">
        <v>6545</v>
      </c>
      <c r="K407" s="668">
        <v>34380.589999999997</v>
      </c>
      <c r="L407" s="668">
        <v>19842.45</v>
      </c>
      <c r="M407" s="668">
        <v>14653</v>
      </c>
      <c r="N407" s="668">
        <v>11877</v>
      </c>
      <c r="O407" s="668">
        <v>15687.51</v>
      </c>
      <c r="P407" s="668">
        <v>6188.9400000000005</v>
      </c>
      <c r="Q407" s="669">
        <v>8441.91</v>
      </c>
      <c r="R407" s="668">
        <v>15959.5</v>
      </c>
      <c r="S407" s="668">
        <v>19031.82</v>
      </c>
      <c r="T407" s="668">
        <v>11543.869999999999</v>
      </c>
      <c r="U407" s="668">
        <v>8763.15</v>
      </c>
      <c r="V407" s="668">
        <v>12099.89</v>
      </c>
      <c r="W407" s="668">
        <v>11247.24</v>
      </c>
      <c r="X407" s="668">
        <v>4130.45</v>
      </c>
      <c r="Y407" s="668">
        <v>4578.7700000000004</v>
      </c>
      <c r="Z407" s="668">
        <v>1587.94</v>
      </c>
      <c r="AA407" s="666">
        <v>251.01000000000002</v>
      </c>
      <c r="AB407" s="668">
        <v>-1283.8100000000009</v>
      </c>
      <c r="AC407" s="647">
        <v>205410.64</v>
      </c>
      <c r="AD407" s="647">
        <v>212569.8</v>
      </c>
      <c r="AE407" s="718">
        <v>7159.16</v>
      </c>
      <c r="AF407" s="618">
        <f t="shared" si="36"/>
        <v>3.5403170104399633E-4</v>
      </c>
    </row>
    <row r="408" spans="1:32" hidden="1" x14ac:dyDescent="0.25">
      <c r="A408" s="702" t="s">
        <v>941</v>
      </c>
      <c r="B408" s="656" t="s">
        <v>965</v>
      </c>
      <c r="C408" s="635">
        <f t="shared" si="37"/>
        <v>40925.589999999997</v>
      </c>
      <c r="D408" s="635">
        <f t="shared" si="38"/>
        <v>61436.1</v>
      </c>
      <c r="E408" s="635">
        <f t="shared" si="39"/>
        <v>46762.149999999994</v>
      </c>
      <c r="F408" s="635">
        <f t="shared" si="40"/>
        <v>42094.18</v>
      </c>
      <c r="G408" s="635">
        <f t="shared" si="41"/>
        <v>10290.600000000002</v>
      </c>
      <c r="H408" s="645">
        <v>0</v>
      </c>
      <c r="I408" s="645">
        <v>0</v>
      </c>
      <c r="J408" s="645">
        <v>6545</v>
      </c>
      <c r="K408" s="645">
        <v>34380.589999999997</v>
      </c>
      <c r="L408" s="645">
        <v>19842.45</v>
      </c>
      <c r="M408" s="645">
        <v>14386</v>
      </c>
      <c r="N408" s="645">
        <v>11877</v>
      </c>
      <c r="O408" s="645">
        <v>15330.65</v>
      </c>
      <c r="P408" s="645">
        <v>6188.9400000000005</v>
      </c>
      <c r="Q408" s="645">
        <v>8441.91</v>
      </c>
      <c r="R408" s="645">
        <v>13639.14</v>
      </c>
      <c r="S408" s="645">
        <v>18492.16</v>
      </c>
      <c r="T408" s="645">
        <v>10924.89</v>
      </c>
      <c r="U408" s="753">
        <v>8134.29</v>
      </c>
      <c r="V408" s="753">
        <v>11787.76</v>
      </c>
      <c r="W408" s="753">
        <v>11247.24</v>
      </c>
      <c r="X408" s="645">
        <v>4130.45</v>
      </c>
      <c r="Y408" s="645">
        <v>4321.2000000000007</v>
      </c>
      <c r="Z408" s="646">
        <v>1587.94</v>
      </c>
      <c r="AA408" s="641">
        <v>251.01000000000002</v>
      </c>
      <c r="AB408" s="645">
        <v>-1283.8100000000009</v>
      </c>
      <c r="AC408" s="672">
        <v>200114.26000000004</v>
      </c>
      <c r="AD408" s="672">
        <v>205030.99</v>
      </c>
      <c r="AE408" s="718">
        <v>4916.7299999999996</v>
      </c>
      <c r="AF408" s="618">
        <f t="shared" si="36"/>
        <v>3.449032234696341E-4</v>
      </c>
    </row>
    <row r="409" spans="1:32" hidden="1" x14ac:dyDescent="0.25">
      <c r="A409" s="702" t="s">
        <v>966</v>
      </c>
      <c r="B409" s="656" t="s">
        <v>967</v>
      </c>
      <c r="C409" s="635">
        <f t="shared" si="37"/>
        <v>0</v>
      </c>
      <c r="D409" s="635">
        <f t="shared" si="38"/>
        <v>623.86</v>
      </c>
      <c r="E409" s="635">
        <f t="shared" si="39"/>
        <v>2860.02</v>
      </c>
      <c r="F409" s="635">
        <f t="shared" si="40"/>
        <v>1559.9700000000003</v>
      </c>
      <c r="G409" s="635">
        <f t="shared" si="41"/>
        <v>257.57</v>
      </c>
      <c r="H409" s="645">
        <v>0</v>
      </c>
      <c r="I409" s="645">
        <v>0</v>
      </c>
      <c r="J409" s="645">
        <v>0</v>
      </c>
      <c r="K409" s="645">
        <v>0</v>
      </c>
      <c r="L409" s="645">
        <v>0</v>
      </c>
      <c r="M409" s="645">
        <v>267</v>
      </c>
      <c r="N409" s="645">
        <v>0</v>
      </c>
      <c r="O409" s="645">
        <v>356.86</v>
      </c>
      <c r="P409" s="645">
        <v>0</v>
      </c>
      <c r="Q409" s="645">
        <v>0</v>
      </c>
      <c r="R409" s="645">
        <v>2320.36</v>
      </c>
      <c r="S409" s="645">
        <v>539.66</v>
      </c>
      <c r="T409" s="645">
        <v>618.98</v>
      </c>
      <c r="U409" s="753">
        <v>628.86</v>
      </c>
      <c r="V409" s="753">
        <v>312.13</v>
      </c>
      <c r="W409" s="753">
        <v>0</v>
      </c>
      <c r="X409" s="645">
        <v>0</v>
      </c>
      <c r="Y409" s="645">
        <v>257.57</v>
      </c>
      <c r="Z409" s="646">
        <v>0</v>
      </c>
      <c r="AA409" s="641">
        <v>0</v>
      </c>
      <c r="AB409" s="645">
        <v>3.6415315207705135E-14</v>
      </c>
      <c r="AC409" s="672">
        <v>5296.38</v>
      </c>
      <c r="AD409" s="672">
        <v>7538.81</v>
      </c>
      <c r="AE409" s="718">
        <v>2242.4299999999998</v>
      </c>
      <c r="AF409" s="618">
        <f t="shared" si="36"/>
        <v>9.1284775743622685E-6</v>
      </c>
    </row>
    <row r="410" spans="1:32" hidden="1" x14ac:dyDescent="0.25">
      <c r="A410" s="702" t="s">
        <v>968</v>
      </c>
      <c r="B410" s="656" t="s">
        <v>969</v>
      </c>
      <c r="C410" s="635">
        <f t="shared" si="37"/>
        <v>0</v>
      </c>
      <c r="D410" s="635">
        <f t="shared" si="38"/>
        <v>0</v>
      </c>
      <c r="E410" s="635">
        <f t="shared" si="39"/>
        <v>0</v>
      </c>
      <c r="F410" s="635">
        <f t="shared" si="40"/>
        <v>0</v>
      </c>
      <c r="G410" s="635">
        <f t="shared" si="41"/>
        <v>0</v>
      </c>
      <c r="H410" s="645">
        <v>0</v>
      </c>
      <c r="I410" s="645">
        <v>0</v>
      </c>
      <c r="J410" s="645">
        <v>0</v>
      </c>
      <c r="K410" s="645">
        <v>0</v>
      </c>
      <c r="L410" s="645">
        <v>0</v>
      </c>
      <c r="M410" s="645">
        <v>0</v>
      </c>
      <c r="N410" s="645">
        <v>0</v>
      </c>
      <c r="O410" s="645">
        <v>0</v>
      </c>
      <c r="P410" s="645">
        <v>0</v>
      </c>
      <c r="Q410" s="645">
        <v>0</v>
      </c>
      <c r="R410" s="645">
        <v>0</v>
      </c>
      <c r="S410" s="645">
        <v>0</v>
      </c>
      <c r="T410" s="645">
        <v>0</v>
      </c>
      <c r="U410" s="645">
        <v>0</v>
      </c>
      <c r="V410" s="645">
        <v>0</v>
      </c>
      <c r="W410" s="645">
        <v>0</v>
      </c>
      <c r="X410" s="645">
        <v>0</v>
      </c>
      <c r="Y410" s="645">
        <v>0</v>
      </c>
      <c r="Z410" s="645">
        <v>0</v>
      </c>
      <c r="AA410" s="641">
        <v>0</v>
      </c>
      <c r="AB410" s="645">
        <v>0</v>
      </c>
      <c r="AC410" s="672">
        <v>0</v>
      </c>
      <c r="AD410" s="672">
        <v>0</v>
      </c>
      <c r="AE410" s="718">
        <v>0</v>
      </c>
      <c r="AF410" s="618">
        <f t="shared" si="36"/>
        <v>0</v>
      </c>
    </row>
    <row r="411" spans="1:32" hidden="1" x14ac:dyDescent="0.25">
      <c r="A411" s="658" t="s">
        <v>481</v>
      </c>
      <c r="B411" s="659">
        <v>0</v>
      </c>
      <c r="C411" s="635">
        <f t="shared" si="37"/>
        <v>0</v>
      </c>
      <c r="D411" s="635">
        <f t="shared" si="38"/>
        <v>0</v>
      </c>
      <c r="E411" s="635">
        <f t="shared" si="39"/>
        <v>0</v>
      </c>
      <c r="F411" s="635">
        <f t="shared" si="40"/>
        <v>0</v>
      </c>
      <c r="G411" s="635">
        <f t="shared" si="41"/>
        <v>0</v>
      </c>
      <c r="H411" s="660">
        <v>0</v>
      </c>
      <c r="I411" s="660">
        <v>0</v>
      </c>
      <c r="J411" s="660">
        <v>0</v>
      </c>
      <c r="K411" s="660">
        <v>0</v>
      </c>
      <c r="L411" s="660">
        <v>0</v>
      </c>
      <c r="M411" s="660">
        <v>0</v>
      </c>
      <c r="N411" s="660">
        <v>0</v>
      </c>
      <c r="O411" s="660">
        <v>0</v>
      </c>
      <c r="P411" s="660">
        <v>0</v>
      </c>
      <c r="Q411" s="660">
        <v>0</v>
      </c>
      <c r="R411" s="660">
        <v>0</v>
      </c>
      <c r="S411" s="660">
        <v>0</v>
      </c>
      <c r="T411" s="660">
        <v>0</v>
      </c>
      <c r="U411" s="660">
        <v>0</v>
      </c>
      <c r="V411" s="660">
        <v>0</v>
      </c>
      <c r="W411" s="660">
        <v>0</v>
      </c>
      <c r="X411" s="660">
        <v>0</v>
      </c>
      <c r="Y411" s="660">
        <v>0</v>
      </c>
      <c r="Z411" s="660">
        <v>0</v>
      </c>
      <c r="AA411" s="661">
        <v>0</v>
      </c>
      <c r="AB411" s="660"/>
      <c r="AC411" s="647">
        <v>0</v>
      </c>
      <c r="AD411" s="647">
        <v>0</v>
      </c>
      <c r="AE411" s="643">
        <v>0</v>
      </c>
      <c r="AF411" s="618">
        <f t="shared" si="36"/>
        <v>0</v>
      </c>
    </row>
    <row r="412" spans="1:32" ht="25.5" hidden="1" x14ac:dyDescent="0.25">
      <c r="A412" s="658" t="s">
        <v>482</v>
      </c>
      <c r="B412" s="659">
        <v>0</v>
      </c>
      <c r="C412" s="635">
        <f t="shared" si="37"/>
        <v>0</v>
      </c>
      <c r="D412" s="635">
        <f t="shared" si="38"/>
        <v>0</v>
      </c>
      <c r="E412" s="635">
        <f t="shared" si="39"/>
        <v>0</v>
      </c>
      <c r="F412" s="635">
        <f t="shared" si="40"/>
        <v>0</v>
      </c>
      <c r="G412" s="635">
        <f t="shared" si="41"/>
        <v>0</v>
      </c>
      <c r="H412" s="660">
        <v>0</v>
      </c>
      <c r="I412" s="660">
        <v>0</v>
      </c>
      <c r="J412" s="660">
        <v>0</v>
      </c>
      <c r="K412" s="660">
        <v>0</v>
      </c>
      <c r="L412" s="660">
        <v>0</v>
      </c>
      <c r="M412" s="660">
        <v>0</v>
      </c>
      <c r="N412" s="660">
        <v>0</v>
      </c>
      <c r="O412" s="660">
        <v>0</v>
      </c>
      <c r="P412" s="660">
        <v>0</v>
      </c>
      <c r="Q412" s="660">
        <v>0</v>
      </c>
      <c r="R412" s="660">
        <v>0</v>
      </c>
      <c r="S412" s="660">
        <v>0</v>
      </c>
      <c r="T412" s="660">
        <v>0</v>
      </c>
      <c r="U412" s="660">
        <v>0</v>
      </c>
      <c r="V412" s="660">
        <v>0</v>
      </c>
      <c r="W412" s="660">
        <v>0</v>
      </c>
      <c r="X412" s="660">
        <v>0</v>
      </c>
      <c r="Y412" s="660">
        <v>0</v>
      </c>
      <c r="Z412" s="660">
        <v>0</v>
      </c>
      <c r="AA412" s="661">
        <v>0</v>
      </c>
      <c r="AB412" s="660">
        <v>0</v>
      </c>
      <c r="AC412" s="647">
        <v>0</v>
      </c>
      <c r="AD412" s="647">
        <v>0</v>
      </c>
      <c r="AE412" s="643">
        <v>0</v>
      </c>
      <c r="AF412" s="618">
        <f t="shared" si="36"/>
        <v>0</v>
      </c>
    </row>
    <row r="413" spans="1:32" hidden="1" x14ac:dyDescent="0.25">
      <c r="A413" s="658" t="s">
        <v>483</v>
      </c>
      <c r="B413" s="659"/>
      <c r="C413" s="635">
        <f t="shared" si="37"/>
        <v>0</v>
      </c>
      <c r="D413" s="635">
        <f t="shared" si="38"/>
        <v>0</v>
      </c>
      <c r="E413" s="635">
        <f t="shared" si="39"/>
        <v>0</v>
      </c>
      <c r="F413" s="635">
        <f t="shared" si="40"/>
        <v>0</v>
      </c>
      <c r="G413" s="635">
        <f t="shared" si="41"/>
        <v>0</v>
      </c>
      <c r="H413" s="660">
        <v>0</v>
      </c>
      <c r="I413" s="660">
        <v>0</v>
      </c>
      <c r="J413" s="660">
        <v>0</v>
      </c>
      <c r="K413" s="660">
        <v>0</v>
      </c>
      <c r="L413" s="660">
        <v>0</v>
      </c>
      <c r="M413" s="660">
        <v>0</v>
      </c>
      <c r="N413" s="660">
        <v>0</v>
      </c>
      <c r="O413" s="660">
        <v>0</v>
      </c>
      <c r="P413" s="660">
        <v>0</v>
      </c>
      <c r="Q413" s="660">
        <v>0</v>
      </c>
      <c r="R413" s="660">
        <v>0</v>
      </c>
      <c r="S413" s="660">
        <v>0</v>
      </c>
      <c r="T413" s="660">
        <v>0</v>
      </c>
      <c r="U413" s="660">
        <v>0</v>
      </c>
      <c r="V413" s="660">
        <v>0</v>
      </c>
      <c r="W413" s="660">
        <v>0</v>
      </c>
      <c r="X413" s="660">
        <v>0</v>
      </c>
      <c r="Y413" s="660">
        <v>0</v>
      </c>
      <c r="Z413" s="660">
        <v>0</v>
      </c>
      <c r="AA413" s="661">
        <v>0</v>
      </c>
      <c r="AB413" s="660"/>
      <c r="AC413" s="647">
        <v>0</v>
      </c>
      <c r="AD413" s="647">
        <v>5296.71</v>
      </c>
      <c r="AE413" s="643">
        <v>5296.71</v>
      </c>
      <c r="AF413" s="618">
        <f t="shared" si="36"/>
        <v>0</v>
      </c>
    </row>
    <row r="414" spans="1:32" hidden="1" x14ac:dyDescent="0.25">
      <c r="A414" s="634" t="s">
        <v>970</v>
      </c>
      <c r="B414" s="701" t="s">
        <v>947</v>
      </c>
      <c r="C414" s="635">
        <f t="shared" si="37"/>
        <v>430142.97000000003</v>
      </c>
      <c r="D414" s="635">
        <f t="shared" si="38"/>
        <v>1249025.1067000006</v>
      </c>
      <c r="E414" s="635">
        <f t="shared" si="39"/>
        <v>2111249.7399999998</v>
      </c>
      <c r="F414" s="635">
        <f t="shared" si="40"/>
        <v>1259697.4099999999</v>
      </c>
      <c r="G414" s="635">
        <f t="shared" si="41"/>
        <v>32520.620000000003</v>
      </c>
      <c r="H414" s="662">
        <v>0</v>
      </c>
      <c r="I414" s="662">
        <v>0</v>
      </c>
      <c r="J414" s="662">
        <v>207436.14</v>
      </c>
      <c r="K414" s="662">
        <v>222706.83000000002</v>
      </c>
      <c r="L414" s="662">
        <v>85224.2</v>
      </c>
      <c r="M414" s="662">
        <v>626598.26670000062</v>
      </c>
      <c r="N414" s="662">
        <v>200715.02000000002</v>
      </c>
      <c r="O414" s="662">
        <v>336487.62000000005</v>
      </c>
      <c r="P414" s="662">
        <v>280381.66000000003</v>
      </c>
      <c r="Q414" s="663">
        <v>855820.97</v>
      </c>
      <c r="R414" s="662">
        <v>439606.42</v>
      </c>
      <c r="S414" s="662">
        <v>535440.68999999994</v>
      </c>
      <c r="T414" s="662">
        <v>542607.4</v>
      </c>
      <c r="U414" s="662">
        <v>625804.84</v>
      </c>
      <c r="V414" s="662">
        <v>79838.189999999988</v>
      </c>
      <c r="W414" s="662">
        <v>11446.98</v>
      </c>
      <c r="X414" s="662">
        <v>20810.5</v>
      </c>
      <c r="Y414" s="662">
        <v>6594.4400000000005</v>
      </c>
      <c r="Z414" s="662">
        <v>2317.3200000000002</v>
      </c>
      <c r="AA414" s="636">
        <v>2798.36</v>
      </c>
      <c r="AB414" s="662">
        <v>141.29000000017447</v>
      </c>
      <c r="AC414" s="638">
        <v>5081746.5900000008</v>
      </c>
      <c r="AD414" s="662">
        <v>5152612.92</v>
      </c>
      <c r="AE414" s="638">
        <v>70866.33</v>
      </c>
      <c r="AF414" s="618">
        <f t="shared" si="36"/>
        <v>8.7585501390396725E-3</v>
      </c>
    </row>
    <row r="415" spans="1:32" hidden="1" x14ac:dyDescent="0.25">
      <c r="A415" s="664" t="s">
        <v>971</v>
      </c>
      <c r="B415" s="665" t="s">
        <v>910</v>
      </c>
      <c r="C415" s="635">
        <f t="shared" si="37"/>
        <v>382681.07</v>
      </c>
      <c r="D415" s="635">
        <f t="shared" si="38"/>
        <v>340062.37</v>
      </c>
      <c r="E415" s="635">
        <f t="shared" si="39"/>
        <v>552349.6</v>
      </c>
      <c r="F415" s="635">
        <f t="shared" si="40"/>
        <v>0</v>
      </c>
      <c r="G415" s="635">
        <f t="shared" si="41"/>
        <v>0</v>
      </c>
      <c r="H415" s="666">
        <v>0</v>
      </c>
      <c r="I415" s="666">
        <v>0</v>
      </c>
      <c r="J415" s="666">
        <v>191257</v>
      </c>
      <c r="K415" s="666">
        <v>191424.07</v>
      </c>
      <c r="L415" s="666">
        <v>76655.759999999995</v>
      </c>
      <c r="M415" s="666">
        <v>178443</v>
      </c>
      <c r="N415" s="666">
        <v>76463.31</v>
      </c>
      <c r="O415" s="666">
        <v>8500.2999999999993</v>
      </c>
      <c r="P415" s="666">
        <v>169836</v>
      </c>
      <c r="Q415" s="681">
        <v>318761.3</v>
      </c>
      <c r="R415" s="666">
        <v>63752.3</v>
      </c>
      <c r="S415" s="666">
        <v>0</v>
      </c>
      <c r="T415" s="666">
        <v>0</v>
      </c>
      <c r="U415" s="666">
        <v>0</v>
      </c>
      <c r="V415" s="666">
        <v>0</v>
      </c>
      <c r="W415" s="666">
        <v>0</v>
      </c>
      <c r="X415" s="666">
        <v>0</v>
      </c>
      <c r="Y415" s="666">
        <v>0</v>
      </c>
      <c r="Z415" s="666">
        <v>0</v>
      </c>
      <c r="AA415" s="666">
        <v>0</v>
      </c>
      <c r="AB415" s="666">
        <v>0</v>
      </c>
      <c r="AC415" s="647">
        <v>1275093.04</v>
      </c>
      <c r="AD415" s="647">
        <v>1275093.04</v>
      </c>
      <c r="AE415" s="718">
        <v>0</v>
      </c>
      <c r="AF415" s="618">
        <f t="shared" si="36"/>
        <v>2.1976629737415769E-3</v>
      </c>
    </row>
    <row r="416" spans="1:32" hidden="1" x14ac:dyDescent="0.25">
      <c r="A416" s="702" t="s">
        <v>911</v>
      </c>
      <c r="B416" s="640" t="s">
        <v>910</v>
      </c>
      <c r="C416" s="635">
        <f t="shared" si="37"/>
        <v>191257</v>
      </c>
      <c r="D416" s="635">
        <f t="shared" si="38"/>
        <v>0</v>
      </c>
      <c r="E416" s="635">
        <f t="shared" si="39"/>
        <v>0</v>
      </c>
      <c r="F416" s="635">
        <f t="shared" si="40"/>
        <v>0</v>
      </c>
      <c r="G416" s="635">
        <f t="shared" si="41"/>
        <v>0</v>
      </c>
      <c r="H416" s="641">
        <v>0</v>
      </c>
      <c r="I416" s="641">
        <v>0</v>
      </c>
      <c r="J416" s="641">
        <v>191257</v>
      </c>
      <c r="K416" s="641">
        <v>0</v>
      </c>
      <c r="L416" s="641">
        <v>0</v>
      </c>
      <c r="M416" s="641">
        <v>0</v>
      </c>
      <c r="N416" s="641">
        <v>0</v>
      </c>
      <c r="O416" s="641">
        <v>0</v>
      </c>
      <c r="P416" s="641">
        <v>0</v>
      </c>
      <c r="Q416" s="641">
        <v>0</v>
      </c>
      <c r="R416" s="641">
        <v>0</v>
      </c>
      <c r="S416" s="641">
        <v>0</v>
      </c>
      <c r="T416" s="641">
        <v>0</v>
      </c>
      <c r="U416" s="641">
        <v>0</v>
      </c>
      <c r="V416" s="641">
        <v>0</v>
      </c>
      <c r="W416" s="641">
        <v>0</v>
      </c>
      <c r="X416" s="641">
        <v>0</v>
      </c>
      <c r="Y416" s="641">
        <v>0</v>
      </c>
      <c r="Z416" s="641">
        <v>0</v>
      </c>
      <c r="AA416" s="641">
        <v>0</v>
      </c>
      <c r="AB416" s="641">
        <v>0</v>
      </c>
      <c r="AC416" s="647">
        <v>191257</v>
      </c>
      <c r="AD416" s="647">
        <v>191257</v>
      </c>
      <c r="AE416" s="718">
        <v>0</v>
      </c>
      <c r="AF416" s="618">
        <f t="shared" si="36"/>
        <v>3.2963745717637415E-4</v>
      </c>
    </row>
    <row r="417" spans="1:32" hidden="1" x14ac:dyDescent="0.25">
      <c r="A417" s="644" t="s">
        <v>949</v>
      </c>
      <c r="B417" s="640" t="s">
        <v>910</v>
      </c>
      <c r="C417" s="635">
        <f t="shared" si="37"/>
        <v>0</v>
      </c>
      <c r="D417" s="635">
        <f t="shared" si="38"/>
        <v>340062.37</v>
      </c>
      <c r="E417" s="635">
        <f t="shared" si="39"/>
        <v>297340.59999999998</v>
      </c>
      <c r="F417" s="635">
        <f t="shared" si="40"/>
        <v>0</v>
      </c>
      <c r="G417" s="635">
        <f t="shared" si="41"/>
        <v>0</v>
      </c>
      <c r="H417" s="641">
        <v>0</v>
      </c>
      <c r="I417" s="641">
        <v>0</v>
      </c>
      <c r="J417" s="641">
        <v>0</v>
      </c>
      <c r="K417" s="641">
        <v>0</v>
      </c>
      <c r="L417" s="641">
        <v>76655.759999999995</v>
      </c>
      <c r="M417" s="641">
        <v>178443</v>
      </c>
      <c r="N417" s="641">
        <v>76463.31</v>
      </c>
      <c r="O417" s="641">
        <v>8500.2999999999993</v>
      </c>
      <c r="P417" s="641">
        <v>169836</v>
      </c>
      <c r="Q417" s="641">
        <v>63752.3</v>
      </c>
      <c r="R417" s="641">
        <v>63752.3</v>
      </c>
      <c r="S417" s="641">
        <v>0</v>
      </c>
      <c r="T417" s="641">
        <v>0</v>
      </c>
      <c r="U417" s="641">
        <v>0</v>
      </c>
      <c r="V417" s="641">
        <v>0</v>
      </c>
      <c r="W417" s="641">
        <v>0</v>
      </c>
      <c r="X417" s="641">
        <v>0</v>
      </c>
      <c r="Y417" s="641">
        <v>0</v>
      </c>
      <c r="Z417" s="641">
        <v>0</v>
      </c>
      <c r="AA417" s="641">
        <v>0</v>
      </c>
      <c r="AB417" s="641">
        <v>0</v>
      </c>
      <c r="AC417" s="647">
        <v>637402.97</v>
      </c>
      <c r="AD417" s="647">
        <v>637402.97</v>
      </c>
      <c r="AE417" s="718">
        <v>0</v>
      </c>
      <c r="AF417" s="618">
        <f t="shared" si="36"/>
        <v>1.0985840739291565E-3</v>
      </c>
    </row>
    <row r="418" spans="1:32" hidden="1" x14ac:dyDescent="0.25">
      <c r="A418" s="702" t="s">
        <v>972</v>
      </c>
      <c r="B418" s="640" t="s">
        <v>910</v>
      </c>
      <c r="C418" s="635">
        <f t="shared" si="37"/>
        <v>191424.07</v>
      </c>
      <c r="D418" s="635">
        <f t="shared" si="38"/>
        <v>0</v>
      </c>
      <c r="E418" s="635">
        <f t="shared" si="39"/>
        <v>0</v>
      </c>
      <c r="F418" s="635">
        <f t="shared" si="40"/>
        <v>0</v>
      </c>
      <c r="G418" s="635">
        <f t="shared" si="41"/>
        <v>0</v>
      </c>
      <c r="H418" s="641">
        <v>0</v>
      </c>
      <c r="I418" s="641">
        <v>0</v>
      </c>
      <c r="J418" s="641">
        <v>0</v>
      </c>
      <c r="K418" s="641">
        <v>191424.07</v>
      </c>
      <c r="L418" s="641">
        <v>0</v>
      </c>
      <c r="M418" s="641">
        <v>0</v>
      </c>
      <c r="N418" s="641">
        <v>0</v>
      </c>
      <c r="O418" s="641">
        <v>0</v>
      </c>
      <c r="P418" s="641">
        <v>0</v>
      </c>
      <c r="Q418" s="641">
        <v>0</v>
      </c>
      <c r="R418" s="641">
        <v>0</v>
      </c>
      <c r="S418" s="641">
        <v>0</v>
      </c>
      <c r="T418" s="641">
        <v>0</v>
      </c>
      <c r="U418" s="641">
        <v>0</v>
      </c>
      <c r="V418" s="641">
        <v>0</v>
      </c>
      <c r="W418" s="641">
        <v>0</v>
      </c>
      <c r="X418" s="641">
        <v>0</v>
      </c>
      <c r="Y418" s="641">
        <v>0</v>
      </c>
      <c r="Z418" s="641">
        <v>0</v>
      </c>
      <c r="AA418" s="641">
        <v>0</v>
      </c>
      <c r="AB418" s="641">
        <v>0</v>
      </c>
      <c r="AC418" s="647">
        <v>191424.07</v>
      </c>
      <c r="AD418" s="647">
        <v>191424.07</v>
      </c>
      <c r="AE418" s="718">
        <v>0</v>
      </c>
      <c r="AF418" s="618">
        <f t="shared" si="36"/>
        <v>3.2992540757803503E-4</v>
      </c>
    </row>
    <row r="419" spans="1:32" hidden="1" x14ac:dyDescent="0.25">
      <c r="A419" s="702" t="s">
        <v>973</v>
      </c>
      <c r="B419" s="640" t="s">
        <v>910</v>
      </c>
      <c r="C419" s="635">
        <f t="shared" si="37"/>
        <v>0</v>
      </c>
      <c r="D419" s="635">
        <f t="shared" si="38"/>
        <v>0</v>
      </c>
      <c r="E419" s="635">
        <f t="shared" si="39"/>
        <v>255009</v>
      </c>
      <c r="F419" s="635">
        <f t="shared" si="40"/>
        <v>0</v>
      </c>
      <c r="G419" s="635">
        <f t="shared" si="41"/>
        <v>0</v>
      </c>
      <c r="H419" s="641">
        <v>0</v>
      </c>
      <c r="I419" s="641">
        <v>0</v>
      </c>
      <c r="J419" s="641">
        <v>0</v>
      </c>
      <c r="K419" s="641">
        <v>0</v>
      </c>
      <c r="L419" s="641">
        <v>0</v>
      </c>
      <c r="M419" s="641">
        <v>0</v>
      </c>
      <c r="N419" s="641">
        <v>0</v>
      </c>
      <c r="O419" s="641">
        <v>0</v>
      </c>
      <c r="P419" s="641">
        <v>0</v>
      </c>
      <c r="Q419" s="641">
        <v>255009</v>
      </c>
      <c r="R419" s="641">
        <v>0</v>
      </c>
      <c r="S419" s="641">
        <v>0</v>
      </c>
      <c r="T419" s="641">
        <v>0</v>
      </c>
      <c r="U419" s="641">
        <v>0</v>
      </c>
      <c r="V419" s="641">
        <v>0</v>
      </c>
      <c r="W419" s="641">
        <v>0</v>
      </c>
      <c r="X419" s="641">
        <v>0</v>
      </c>
      <c r="Y419" s="641">
        <v>0</v>
      </c>
      <c r="Z419" s="641">
        <v>0</v>
      </c>
      <c r="AA419" s="641">
        <v>0</v>
      </c>
      <c r="AB419" s="641">
        <v>0</v>
      </c>
      <c r="AC419" s="647">
        <v>255009</v>
      </c>
      <c r="AD419" s="647">
        <v>255009</v>
      </c>
      <c r="AE419" s="718">
        <v>0</v>
      </c>
      <c r="AF419" s="618">
        <f t="shared" si="36"/>
        <v>4.3951603505801089E-4</v>
      </c>
    </row>
    <row r="420" spans="1:32" hidden="1" x14ac:dyDescent="0.25">
      <c r="A420" s="702" t="s">
        <v>974</v>
      </c>
      <c r="B420" s="640" t="s">
        <v>910</v>
      </c>
      <c r="C420" s="635">
        <f t="shared" si="37"/>
        <v>0</v>
      </c>
      <c r="D420" s="635">
        <f t="shared" si="38"/>
        <v>0</v>
      </c>
      <c r="E420" s="635">
        <f t="shared" si="39"/>
        <v>0</v>
      </c>
      <c r="F420" s="635">
        <f t="shared" si="40"/>
        <v>0</v>
      </c>
      <c r="G420" s="635">
        <f t="shared" si="41"/>
        <v>0</v>
      </c>
      <c r="H420" s="641">
        <v>0</v>
      </c>
      <c r="I420" s="641">
        <v>0</v>
      </c>
      <c r="J420" s="641">
        <v>0</v>
      </c>
      <c r="K420" s="641">
        <v>0</v>
      </c>
      <c r="L420" s="641">
        <v>0</v>
      </c>
      <c r="M420" s="641">
        <v>0</v>
      </c>
      <c r="N420" s="641">
        <v>0</v>
      </c>
      <c r="O420" s="641">
        <v>0</v>
      </c>
      <c r="P420" s="641">
        <v>0</v>
      </c>
      <c r="Q420" s="641">
        <v>0</v>
      </c>
      <c r="R420" s="641">
        <v>0</v>
      </c>
      <c r="S420" s="641">
        <v>0</v>
      </c>
      <c r="T420" s="641">
        <v>0</v>
      </c>
      <c r="U420" s="641">
        <v>0</v>
      </c>
      <c r="V420" s="641">
        <v>0</v>
      </c>
      <c r="W420" s="641">
        <v>0</v>
      </c>
      <c r="X420" s="641">
        <v>0</v>
      </c>
      <c r="Y420" s="641">
        <v>0</v>
      </c>
      <c r="Z420" s="641">
        <v>0</v>
      </c>
      <c r="AA420" s="641">
        <v>0</v>
      </c>
      <c r="AB420" s="641">
        <v>0</v>
      </c>
      <c r="AC420" s="647">
        <v>0</v>
      </c>
      <c r="AD420" s="647">
        <v>0</v>
      </c>
      <c r="AE420" s="718">
        <v>0</v>
      </c>
      <c r="AF420" s="618">
        <f t="shared" si="36"/>
        <v>0</v>
      </c>
    </row>
    <row r="421" spans="1:32" ht="25.5" hidden="1" x14ac:dyDescent="0.25">
      <c r="A421" s="664" t="s">
        <v>975</v>
      </c>
      <c r="B421" s="665" t="s">
        <v>917</v>
      </c>
      <c r="C421" s="635">
        <f t="shared" si="37"/>
        <v>881.72</v>
      </c>
      <c r="D421" s="635">
        <f t="shared" si="38"/>
        <v>153048.28</v>
      </c>
      <c r="E421" s="635">
        <f t="shared" si="39"/>
        <v>323561.09000000003</v>
      </c>
      <c r="F421" s="635">
        <f t="shared" si="40"/>
        <v>5100.38</v>
      </c>
      <c r="G421" s="635">
        <f t="shared" si="41"/>
        <v>16754.11</v>
      </c>
      <c r="H421" s="668">
        <v>0</v>
      </c>
      <c r="I421" s="668">
        <v>0</v>
      </c>
      <c r="J421" s="668">
        <v>0</v>
      </c>
      <c r="K421" s="668">
        <v>881.72</v>
      </c>
      <c r="L421" s="668">
        <v>0</v>
      </c>
      <c r="M421" s="668">
        <v>42861</v>
      </c>
      <c r="N421" s="668">
        <v>66486.89</v>
      </c>
      <c r="O421" s="668">
        <v>43700.39</v>
      </c>
      <c r="P421" s="668">
        <v>98302.52</v>
      </c>
      <c r="Q421" s="669">
        <v>127799.25</v>
      </c>
      <c r="R421" s="668">
        <v>97459.32</v>
      </c>
      <c r="S421" s="668">
        <v>0</v>
      </c>
      <c r="T421" s="668">
        <v>0</v>
      </c>
      <c r="U421" s="668">
        <v>5100.38</v>
      </c>
      <c r="V421" s="668">
        <v>0</v>
      </c>
      <c r="W421" s="668">
        <v>0</v>
      </c>
      <c r="X421" s="668">
        <v>16754.11</v>
      </c>
      <c r="Y421" s="668">
        <v>0</v>
      </c>
      <c r="Z421" s="668">
        <v>0</v>
      </c>
      <c r="AA421" s="666">
        <v>0</v>
      </c>
      <c r="AB421" s="668">
        <v>0</v>
      </c>
      <c r="AC421" s="647">
        <v>499345.58</v>
      </c>
      <c r="AD421" s="647">
        <v>499345.58</v>
      </c>
      <c r="AE421" s="718">
        <v>0</v>
      </c>
      <c r="AF421" s="618">
        <f t="shared" si="36"/>
        <v>8.6063781845088924E-4</v>
      </c>
    </row>
    <row r="422" spans="1:32" ht="26.25" hidden="1" x14ac:dyDescent="0.25">
      <c r="A422" s="719" t="s">
        <v>976</v>
      </c>
      <c r="B422" s="656" t="s">
        <v>917</v>
      </c>
      <c r="C422" s="635">
        <f t="shared" si="37"/>
        <v>881.72</v>
      </c>
      <c r="D422" s="635">
        <f t="shared" si="38"/>
        <v>153048.28</v>
      </c>
      <c r="E422" s="635">
        <f t="shared" si="39"/>
        <v>323561.09000000003</v>
      </c>
      <c r="F422" s="635">
        <f t="shared" si="40"/>
        <v>5100.38</v>
      </c>
      <c r="G422" s="635">
        <f t="shared" si="41"/>
        <v>16754.11</v>
      </c>
      <c r="H422" s="645">
        <v>0</v>
      </c>
      <c r="I422" s="645">
        <v>0</v>
      </c>
      <c r="J422" s="645">
        <v>0</v>
      </c>
      <c r="K422" s="645">
        <v>881.72</v>
      </c>
      <c r="L422" s="645">
        <v>0</v>
      </c>
      <c r="M422" s="645">
        <v>42861</v>
      </c>
      <c r="N422" s="645">
        <v>66486.89</v>
      </c>
      <c r="O422" s="645">
        <v>43700.39</v>
      </c>
      <c r="P422" s="645">
        <v>98302.52</v>
      </c>
      <c r="Q422" s="645">
        <v>127799.25</v>
      </c>
      <c r="R422" s="645">
        <v>97459.32</v>
      </c>
      <c r="S422" s="645">
        <v>0</v>
      </c>
      <c r="T422" s="645">
        <v>0</v>
      </c>
      <c r="U422" s="645">
        <v>5100.38</v>
      </c>
      <c r="V422" s="645">
        <v>0</v>
      </c>
      <c r="W422" s="645">
        <v>0</v>
      </c>
      <c r="X422" s="645">
        <v>16754.11</v>
      </c>
      <c r="Y422" s="645">
        <v>0</v>
      </c>
      <c r="Z422" s="645">
        <v>0</v>
      </c>
      <c r="AA422" s="641">
        <v>0</v>
      </c>
      <c r="AB422" s="645">
        <v>0</v>
      </c>
      <c r="AC422" s="647">
        <v>499345.58</v>
      </c>
      <c r="AD422" s="647">
        <v>499345.58</v>
      </c>
      <c r="AE422" s="718">
        <v>0</v>
      </c>
      <c r="AF422" s="618">
        <f t="shared" si="36"/>
        <v>8.6063781845088924E-4</v>
      </c>
    </row>
    <row r="423" spans="1:32" hidden="1" x14ac:dyDescent="0.25">
      <c r="A423" s="667" t="s">
        <v>977</v>
      </c>
      <c r="B423" s="665" t="s">
        <v>978</v>
      </c>
      <c r="C423" s="635">
        <f t="shared" si="37"/>
        <v>0</v>
      </c>
      <c r="D423" s="635">
        <f t="shared" si="38"/>
        <v>707191.12666666671</v>
      </c>
      <c r="E423" s="635">
        <f t="shared" si="39"/>
        <v>1190094.8900000001</v>
      </c>
      <c r="F423" s="635">
        <f t="shared" si="40"/>
        <v>1205198.3500000001</v>
      </c>
      <c r="G423" s="635">
        <f t="shared" si="41"/>
        <v>2588.2399999999998</v>
      </c>
      <c r="H423" s="668">
        <v>0</v>
      </c>
      <c r="I423" s="668">
        <v>0</v>
      </c>
      <c r="J423" s="668">
        <v>0</v>
      </c>
      <c r="K423" s="668">
        <v>0</v>
      </c>
      <c r="L423" s="668">
        <v>0</v>
      </c>
      <c r="M423" s="668">
        <v>389219.62666666665</v>
      </c>
      <c r="N423" s="668">
        <v>49393.5</v>
      </c>
      <c r="O423" s="668">
        <v>268578</v>
      </c>
      <c r="P423" s="668">
        <v>0</v>
      </c>
      <c r="Q423" s="669">
        <v>401202.83999999997</v>
      </c>
      <c r="R423" s="668">
        <v>264887.15999999997</v>
      </c>
      <c r="S423" s="668">
        <v>524004.89</v>
      </c>
      <c r="T423" s="668">
        <v>525060.73</v>
      </c>
      <c r="U423" s="668">
        <v>612131</v>
      </c>
      <c r="V423" s="668">
        <v>68006.62</v>
      </c>
      <c r="W423" s="668">
        <v>0</v>
      </c>
      <c r="X423" s="668">
        <v>0</v>
      </c>
      <c r="Y423" s="668">
        <v>0</v>
      </c>
      <c r="Z423" s="668">
        <v>0</v>
      </c>
      <c r="AA423" s="666">
        <v>2588.2399999999998</v>
      </c>
      <c r="AB423" s="668">
        <v>945.57000000018206</v>
      </c>
      <c r="AC423" s="647">
        <v>3105072.6100000003</v>
      </c>
      <c r="AD423" s="647">
        <v>3162484.76</v>
      </c>
      <c r="AE423" s="718">
        <v>57412.15</v>
      </c>
      <c r="AF423" s="618">
        <f t="shared" si="36"/>
        <v>5.351690340789657E-3</v>
      </c>
    </row>
    <row r="424" spans="1:32" ht="25.5" hidden="1" x14ac:dyDescent="0.25">
      <c r="A424" s="702" t="s">
        <v>979</v>
      </c>
      <c r="B424" s="656" t="s">
        <v>925</v>
      </c>
      <c r="C424" s="635">
        <f t="shared" si="37"/>
        <v>0</v>
      </c>
      <c r="D424" s="635">
        <f t="shared" si="38"/>
        <v>524170.08999999997</v>
      </c>
      <c r="E424" s="635">
        <f t="shared" si="39"/>
        <v>1051063.43</v>
      </c>
      <c r="F424" s="635">
        <f t="shared" si="40"/>
        <v>1116276.0699999998</v>
      </c>
      <c r="G424" s="635">
        <f t="shared" si="41"/>
        <v>0</v>
      </c>
      <c r="H424" s="645">
        <v>0</v>
      </c>
      <c r="I424" s="645">
        <v>0</v>
      </c>
      <c r="J424" s="645">
        <v>0</v>
      </c>
      <c r="K424" s="645">
        <v>0</v>
      </c>
      <c r="L424" s="645">
        <v>0</v>
      </c>
      <c r="M424" s="645">
        <v>257757</v>
      </c>
      <c r="N424" s="645">
        <v>-2164.91</v>
      </c>
      <c r="O424" s="645">
        <v>268578</v>
      </c>
      <c r="P424" s="645">
        <v>0</v>
      </c>
      <c r="Q424" s="677">
        <v>267999.76</v>
      </c>
      <c r="R424" s="645">
        <v>263008.67</v>
      </c>
      <c r="S424" s="645">
        <v>520055</v>
      </c>
      <c r="T424" s="645">
        <v>522494.32999999996</v>
      </c>
      <c r="U424" s="645">
        <v>525775.12</v>
      </c>
      <c r="V424" s="645">
        <v>68006.62</v>
      </c>
      <c r="W424" s="645">
        <v>0</v>
      </c>
      <c r="X424" s="645">
        <v>0</v>
      </c>
      <c r="Y424" s="645">
        <v>0</v>
      </c>
      <c r="Z424" s="645">
        <v>0</v>
      </c>
      <c r="AA424" s="641">
        <v>0</v>
      </c>
      <c r="AB424" s="645">
        <v>-0.62999999983003363</v>
      </c>
      <c r="AC424" s="647">
        <v>2691509.59</v>
      </c>
      <c r="AD424" s="647">
        <v>2691508.96</v>
      </c>
      <c r="AE424" s="718">
        <v>-0.63</v>
      </c>
      <c r="AF424" s="618">
        <f t="shared" si="36"/>
        <v>4.6389014635460418E-3</v>
      </c>
    </row>
    <row r="425" spans="1:32" hidden="1" x14ac:dyDescent="0.25">
      <c r="A425" s="725" t="s">
        <v>980</v>
      </c>
      <c r="B425" s="654" t="s">
        <v>925</v>
      </c>
      <c r="C425" s="635">
        <f t="shared" si="37"/>
        <v>0</v>
      </c>
      <c r="D425" s="635">
        <f t="shared" si="38"/>
        <v>255592.09</v>
      </c>
      <c r="E425" s="635">
        <f t="shared" si="39"/>
        <v>0</v>
      </c>
      <c r="F425" s="635">
        <f t="shared" si="40"/>
        <v>0</v>
      </c>
      <c r="G425" s="635">
        <f t="shared" si="41"/>
        <v>0</v>
      </c>
      <c r="H425" s="677">
        <v>0</v>
      </c>
      <c r="I425" s="677">
        <v>0</v>
      </c>
      <c r="J425" s="677">
        <v>0</v>
      </c>
      <c r="K425" s="677">
        <v>0</v>
      </c>
      <c r="L425" s="677">
        <v>0</v>
      </c>
      <c r="M425" s="677">
        <v>257757</v>
      </c>
      <c r="N425" s="677">
        <v>-2164.91</v>
      </c>
      <c r="O425" s="677">
        <v>0</v>
      </c>
      <c r="P425" s="677">
        <v>0</v>
      </c>
      <c r="Q425" s="677">
        <v>0</v>
      </c>
      <c r="R425" s="677">
        <v>0</v>
      </c>
      <c r="S425" s="677">
        <v>0</v>
      </c>
      <c r="T425" s="677">
        <v>0</v>
      </c>
      <c r="U425" s="677">
        <v>0</v>
      </c>
      <c r="V425" s="677">
        <v>0</v>
      </c>
      <c r="W425" s="677">
        <v>0</v>
      </c>
      <c r="X425" s="677">
        <v>0</v>
      </c>
      <c r="Y425" s="677">
        <v>0</v>
      </c>
      <c r="Z425" s="677">
        <v>0</v>
      </c>
      <c r="AA425" s="641">
        <v>0</v>
      </c>
      <c r="AB425" s="677">
        <v>0</v>
      </c>
      <c r="AC425" s="672">
        <v>255592.09</v>
      </c>
      <c r="AD425" s="672">
        <v>255592.09</v>
      </c>
      <c r="AE425" s="727">
        <v>0</v>
      </c>
      <c r="AF425" s="618">
        <f t="shared" si="36"/>
        <v>4.4052100901925142E-4</v>
      </c>
    </row>
    <row r="426" spans="1:32" hidden="1" x14ac:dyDescent="0.25">
      <c r="A426" s="725" t="s">
        <v>981</v>
      </c>
      <c r="B426" s="654" t="s">
        <v>925</v>
      </c>
      <c r="C426" s="635">
        <f t="shared" si="37"/>
        <v>0</v>
      </c>
      <c r="D426" s="635">
        <f t="shared" si="38"/>
        <v>268578</v>
      </c>
      <c r="E426" s="635">
        <f t="shared" si="39"/>
        <v>0</v>
      </c>
      <c r="F426" s="635">
        <f t="shared" si="40"/>
        <v>262555.75</v>
      </c>
      <c r="G426" s="635">
        <f t="shared" si="41"/>
        <v>0</v>
      </c>
      <c r="H426" s="677">
        <v>0</v>
      </c>
      <c r="I426" s="677">
        <v>0</v>
      </c>
      <c r="J426" s="677">
        <v>0</v>
      </c>
      <c r="K426" s="677">
        <v>0</v>
      </c>
      <c r="L426" s="677">
        <v>0</v>
      </c>
      <c r="M426" s="677">
        <v>0</v>
      </c>
      <c r="N426" s="677">
        <v>0</v>
      </c>
      <c r="O426" s="677">
        <v>268578</v>
      </c>
      <c r="P426" s="677">
        <v>0</v>
      </c>
      <c r="Q426" s="677">
        <v>0</v>
      </c>
      <c r="R426" s="677">
        <v>0</v>
      </c>
      <c r="S426" s="677">
        <v>0</v>
      </c>
      <c r="T426" s="677">
        <v>262555.75</v>
      </c>
      <c r="U426" s="677">
        <v>0</v>
      </c>
      <c r="V426" s="677">
        <v>0</v>
      </c>
      <c r="W426" s="677">
        <v>0</v>
      </c>
      <c r="X426" s="677">
        <v>0</v>
      </c>
      <c r="Y426" s="677">
        <v>0</v>
      </c>
      <c r="Z426" s="677">
        <v>0</v>
      </c>
      <c r="AA426" s="641">
        <v>0</v>
      </c>
      <c r="AB426" s="677">
        <v>0</v>
      </c>
      <c r="AC426" s="672">
        <v>531133.75</v>
      </c>
      <c r="AD426" s="672">
        <v>531133.75</v>
      </c>
      <c r="AE426" s="727">
        <v>0</v>
      </c>
      <c r="AF426" s="618">
        <f t="shared" si="36"/>
        <v>9.1542572962323996E-4</v>
      </c>
    </row>
    <row r="427" spans="1:32" ht="25.5" hidden="1" x14ac:dyDescent="0.25">
      <c r="A427" s="725" t="s">
        <v>982</v>
      </c>
      <c r="B427" s="654" t="s">
        <v>925</v>
      </c>
      <c r="C427" s="635">
        <f t="shared" si="37"/>
        <v>0</v>
      </c>
      <c r="D427" s="635">
        <f t="shared" si="38"/>
        <v>0</v>
      </c>
      <c r="E427" s="635">
        <f t="shared" si="39"/>
        <v>1051063.43</v>
      </c>
      <c r="F427" s="635">
        <f t="shared" si="40"/>
        <v>591031.97</v>
      </c>
      <c r="G427" s="635">
        <f t="shared" si="41"/>
        <v>0</v>
      </c>
      <c r="H427" s="677">
        <v>0</v>
      </c>
      <c r="I427" s="677">
        <v>0</v>
      </c>
      <c r="J427" s="677">
        <v>0</v>
      </c>
      <c r="K427" s="677">
        <v>0</v>
      </c>
      <c r="L427" s="677">
        <v>0</v>
      </c>
      <c r="M427" s="677">
        <v>0</v>
      </c>
      <c r="N427" s="677">
        <v>0</v>
      </c>
      <c r="O427" s="677">
        <v>0</v>
      </c>
      <c r="P427" s="677">
        <v>0</v>
      </c>
      <c r="Q427" s="677">
        <v>267999.76</v>
      </c>
      <c r="R427" s="677">
        <v>263008.67</v>
      </c>
      <c r="S427" s="677">
        <v>520055</v>
      </c>
      <c r="T427" s="677">
        <v>259938.35</v>
      </c>
      <c r="U427" s="677">
        <v>263087</v>
      </c>
      <c r="V427" s="677">
        <v>68006.62</v>
      </c>
      <c r="W427" s="677">
        <v>0</v>
      </c>
      <c r="X427" s="677">
        <v>0</v>
      </c>
      <c r="Y427" s="677">
        <v>0</v>
      </c>
      <c r="Z427" s="677">
        <v>0</v>
      </c>
      <c r="AA427" s="641">
        <v>0</v>
      </c>
      <c r="AB427" s="677">
        <v>-0.85999999986961484</v>
      </c>
      <c r="AC427" s="672">
        <v>1642095.4</v>
      </c>
      <c r="AD427" s="672">
        <v>1642094.54</v>
      </c>
      <c r="AE427" s="727">
        <v>-0.86</v>
      </c>
      <c r="AF427" s="618">
        <f t="shared" si="36"/>
        <v>2.830203088498831E-3</v>
      </c>
    </row>
    <row r="428" spans="1:32" hidden="1" x14ac:dyDescent="0.25">
      <c r="A428" s="725" t="s">
        <v>983</v>
      </c>
      <c r="B428" s="654" t="s">
        <v>925</v>
      </c>
      <c r="C428" s="635">
        <f t="shared" si="37"/>
        <v>0</v>
      </c>
      <c r="D428" s="635">
        <f t="shared" si="38"/>
        <v>0</v>
      </c>
      <c r="E428" s="635">
        <f t="shared" si="39"/>
        <v>0</v>
      </c>
      <c r="F428" s="635">
        <f t="shared" si="40"/>
        <v>262688.34999999998</v>
      </c>
      <c r="G428" s="635">
        <f t="shared" si="41"/>
        <v>0</v>
      </c>
      <c r="H428" s="677">
        <v>0</v>
      </c>
      <c r="I428" s="677">
        <v>0</v>
      </c>
      <c r="J428" s="677">
        <v>0</v>
      </c>
      <c r="K428" s="677">
        <v>0</v>
      </c>
      <c r="L428" s="677">
        <v>0</v>
      </c>
      <c r="M428" s="677">
        <v>0</v>
      </c>
      <c r="N428" s="677">
        <v>0</v>
      </c>
      <c r="O428" s="677">
        <v>0</v>
      </c>
      <c r="P428" s="677">
        <v>0</v>
      </c>
      <c r="Q428" s="677">
        <v>0</v>
      </c>
      <c r="R428" s="677">
        <v>0</v>
      </c>
      <c r="S428" s="677">
        <v>0</v>
      </c>
      <c r="T428" s="677">
        <v>0.22999999999956344</v>
      </c>
      <c r="U428" s="677">
        <v>262688.12</v>
      </c>
      <c r="V428" s="677">
        <v>0</v>
      </c>
      <c r="W428" s="677">
        <v>0</v>
      </c>
      <c r="X428" s="677">
        <v>0</v>
      </c>
      <c r="Y428" s="677">
        <v>0</v>
      </c>
      <c r="Z428" s="677">
        <v>0</v>
      </c>
      <c r="AA428" s="641">
        <v>0</v>
      </c>
      <c r="AB428" s="677">
        <v>0.23000000003958121</v>
      </c>
      <c r="AC428" s="672">
        <v>262688.34999999998</v>
      </c>
      <c r="AD428" s="672">
        <v>262688.58</v>
      </c>
      <c r="AE428" s="727">
        <v>0.23</v>
      </c>
      <c r="AF428" s="618">
        <f t="shared" si="36"/>
        <v>4.5275163640471917E-4</v>
      </c>
    </row>
    <row r="429" spans="1:32" hidden="1" x14ac:dyDescent="0.25">
      <c r="A429" s="702" t="s">
        <v>1273</v>
      </c>
      <c r="B429" s="656" t="s">
        <v>930</v>
      </c>
      <c r="C429" s="635">
        <f t="shared" si="37"/>
        <v>0</v>
      </c>
      <c r="D429" s="635">
        <f t="shared" si="38"/>
        <v>183021.03666666665</v>
      </c>
      <c r="E429" s="635">
        <f t="shared" si="39"/>
        <v>0</v>
      </c>
      <c r="F429" s="635">
        <f t="shared" si="40"/>
        <v>86355.88</v>
      </c>
      <c r="G429" s="635">
        <f t="shared" si="41"/>
        <v>0</v>
      </c>
      <c r="H429" s="645">
        <v>0</v>
      </c>
      <c r="I429" s="645">
        <v>0</v>
      </c>
      <c r="J429" s="645">
        <v>0</v>
      </c>
      <c r="K429" s="645">
        <v>0</v>
      </c>
      <c r="L429" s="645">
        <v>0</v>
      </c>
      <c r="M429" s="645">
        <v>131462.62666666665</v>
      </c>
      <c r="N429" s="645">
        <v>51558.41</v>
      </c>
      <c r="O429" s="645">
        <v>0</v>
      </c>
      <c r="P429" s="645">
        <v>0</v>
      </c>
      <c r="Q429" s="645">
        <v>0</v>
      </c>
      <c r="R429" s="645">
        <v>0</v>
      </c>
      <c r="S429" s="645">
        <v>0</v>
      </c>
      <c r="T429" s="645">
        <v>0</v>
      </c>
      <c r="U429" s="645">
        <v>86355.88</v>
      </c>
      <c r="V429" s="645">
        <v>0</v>
      </c>
      <c r="W429" s="645">
        <v>0</v>
      </c>
      <c r="X429" s="645">
        <v>0</v>
      </c>
      <c r="Y429" s="645">
        <v>0</v>
      </c>
      <c r="Z429" s="645">
        <v>0</v>
      </c>
      <c r="AA429" s="641">
        <v>0</v>
      </c>
      <c r="AB429" s="645">
        <v>0.70000000001164153</v>
      </c>
      <c r="AC429" s="647">
        <v>269376.92</v>
      </c>
      <c r="AD429" s="647">
        <v>269377.62</v>
      </c>
      <c r="AE429" s="718">
        <v>0.7</v>
      </c>
      <c r="AF429" s="618">
        <f t="shared" si="36"/>
        <v>4.6427959724770106E-4</v>
      </c>
    </row>
    <row r="430" spans="1:32" hidden="1" x14ac:dyDescent="0.25">
      <c r="A430" s="702" t="s">
        <v>984</v>
      </c>
      <c r="B430" s="656" t="s">
        <v>932</v>
      </c>
      <c r="C430" s="635">
        <f t="shared" si="37"/>
        <v>0</v>
      </c>
      <c r="D430" s="635">
        <f t="shared" si="38"/>
        <v>0</v>
      </c>
      <c r="E430" s="635">
        <f t="shared" si="39"/>
        <v>135081.56999999998</v>
      </c>
      <c r="F430" s="635">
        <f t="shared" si="40"/>
        <v>0</v>
      </c>
      <c r="G430" s="635">
        <f t="shared" si="41"/>
        <v>0</v>
      </c>
      <c r="H430" s="645">
        <v>0</v>
      </c>
      <c r="I430" s="645">
        <v>0</v>
      </c>
      <c r="J430" s="645">
        <v>0</v>
      </c>
      <c r="K430" s="645">
        <v>0</v>
      </c>
      <c r="L430" s="645">
        <v>0</v>
      </c>
      <c r="M430" s="645">
        <v>0</v>
      </c>
      <c r="N430" s="645">
        <v>0</v>
      </c>
      <c r="O430" s="645">
        <v>0</v>
      </c>
      <c r="P430" s="645">
        <v>0</v>
      </c>
      <c r="Q430" s="645">
        <v>133203.07999999999</v>
      </c>
      <c r="R430" s="645">
        <v>1878.49</v>
      </c>
      <c r="S430" s="645">
        <v>0</v>
      </c>
      <c r="T430" s="645">
        <v>0</v>
      </c>
      <c r="U430" s="645">
        <v>0</v>
      </c>
      <c r="V430" s="645">
        <v>0</v>
      </c>
      <c r="W430" s="645">
        <v>0</v>
      </c>
      <c r="X430" s="645">
        <v>0</v>
      </c>
      <c r="Y430" s="645">
        <v>0</v>
      </c>
      <c r="Z430" s="645">
        <v>0</v>
      </c>
      <c r="AA430" s="641">
        <v>0</v>
      </c>
      <c r="AB430" s="645">
        <v>0</v>
      </c>
      <c r="AC430" s="647">
        <v>135081.57</v>
      </c>
      <c r="AD430" s="647">
        <v>135081.57</v>
      </c>
      <c r="AE430" s="718">
        <v>0</v>
      </c>
      <c r="AF430" s="618">
        <f t="shared" si="36"/>
        <v>2.3281733607759397E-4</v>
      </c>
    </row>
    <row r="431" spans="1:32" hidden="1" x14ac:dyDescent="0.25">
      <c r="A431" s="702" t="s">
        <v>935</v>
      </c>
      <c r="B431" s="656" t="s">
        <v>936</v>
      </c>
      <c r="C431" s="635">
        <f t="shared" si="37"/>
        <v>0</v>
      </c>
      <c r="D431" s="635">
        <f t="shared" si="38"/>
        <v>0</v>
      </c>
      <c r="E431" s="635">
        <f t="shared" si="39"/>
        <v>3949.89</v>
      </c>
      <c r="F431" s="635">
        <f t="shared" si="40"/>
        <v>2566.4</v>
      </c>
      <c r="G431" s="635">
        <f t="shared" si="41"/>
        <v>0</v>
      </c>
      <c r="H431" s="645"/>
      <c r="I431" s="645"/>
      <c r="J431" s="645"/>
      <c r="K431" s="645"/>
      <c r="L431" s="645"/>
      <c r="M431" s="645"/>
      <c r="N431" s="645"/>
      <c r="O431" s="645"/>
      <c r="P431" s="645"/>
      <c r="Q431" s="645">
        <v>0</v>
      </c>
      <c r="R431" s="645">
        <v>0</v>
      </c>
      <c r="S431" s="645">
        <v>3949.89</v>
      </c>
      <c r="T431" s="645">
        <v>2566.4</v>
      </c>
      <c r="U431" s="645">
        <v>0</v>
      </c>
      <c r="V431" s="645">
        <v>0</v>
      </c>
      <c r="W431" s="645">
        <v>0</v>
      </c>
      <c r="X431" s="645">
        <v>0</v>
      </c>
      <c r="Y431" s="645">
        <v>0</v>
      </c>
      <c r="Z431" s="645">
        <v>0</v>
      </c>
      <c r="AA431" s="641">
        <v>0</v>
      </c>
      <c r="AB431" s="645">
        <v>-0.31999999999970896</v>
      </c>
      <c r="AC431" s="647">
        <v>6516.29</v>
      </c>
      <c r="AD431" s="647">
        <v>6516.29</v>
      </c>
      <c r="AE431" s="718">
        <v>0</v>
      </c>
      <c r="AF431" s="618">
        <f t="shared" si="36"/>
        <v>1.1231030842394449E-5</v>
      </c>
    </row>
    <row r="432" spans="1:32" hidden="1" x14ac:dyDescent="0.25">
      <c r="A432" s="702" t="s">
        <v>1272</v>
      </c>
      <c r="B432" s="656" t="s">
        <v>985</v>
      </c>
      <c r="C432" s="635">
        <f t="shared" si="37"/>
        <v>0</v>
      </c>
      <c r="D432" s="635">
        <f t="shared" si="38"/>
        <v>0</v>
      </c>
      <c r="E432" s="635">
        <f t="shared" si="39"/>
        <v>0</v>
      </c>
      <c r="F432" s="635">
        <f t="shared" si="40"/>
        <v>0</v>
      </c>
      <c r="G432" s="635">
        <f t="shared" si="41"/>
        <v>2588.2399999999998</v>
      </c>
      <c r="H432" s="645"/>
      <c r="I432" s="645"/>
      <c r="J432" s="645"/>
      <c r="K432" s="645"/>
      <c r="L432" s="645"/>
      <c r="M432" s="645"/>
      <c r="N432" s="645"/>
      <c r="O432" s="645"/>
      <c r="P432" s="645"/>
      <c r="Q432" s="645">
        <v>0</v>
      </c>
      <c r="R432" s="645">
        <v>0</v>
      </c>
      <c r="S432" s="645">
        <v>0</v>
      </c>
      <c r="T432" s="645">
        <v>0</v>
      </c>
      <c r="U432" s="645">
        <v>0</v>
      </c>
      <c r="V432" s="645">
        <v>0</v>
      </c>
      <c r="W432" s="645">
        <v>0</v>
      </c>
      <c r="X432" s="645">
        <v>0</v>
      </c>
      <c r="Y432" s="645">
        <v>0</v>
      </c>
      <c r="Z432" s="645">
        <v>0</v>
      </c>
      <c r="AA432" s="641">
        <v>2588.2399999999998</v>
      </c>
      <c r="AB432" s="645">
        <v>945.82000000000016</v>
      </c>
      <c r="AC432" s="647">
        <v>2588.2399999999998</v>
      </c>
      <c r="AD432" s="647">
        <v>60000.32</v>
      </c>
      <c r="AE432" s="718">
        <v>57412.08</v>
      </c>
      <c r="AF432" s="618">
        <f t="shared" si="36"/>
        <v>4.4609130759249524E-6</v>
      </c>
    </row>
    <row r="433" spans="1:32" hidden="1" x14ac:dyDescent="0.25">
      <c r="A433" s="664" t="s">
        <v>986</v>
      </c>
      <c r="B433" s="665" t="s">
        <v>987</v>
      </c>
      <c r="C433" s="635">
        <f t="shared" si="37"/>
        <v>46580.179999999993</v>
      </c>
      <c r="D433" s="635">
        <f t="shared" si="38"/>
        <v>48723.330033333914</v>
      </c>
      <c r="E433" s="635">
        <f t="shared" si="39"/>
        <v>45244.160000000003</v>
      </c>
      <c r="F433" s="635">
        <f t="shared" si="40"/>
        <v>49398.679999999993</v>
      </c>
      <c r="G433" s="635">
        <f t="shared" si="41"/>
        <v>13178.27</v>
      </c>
      <c r="H433" s="668">
        <v>0</v>
      </c>
      <c r="I433" s="668">
        <v>0</v>
      </c>
      <c r="J433" s="668">
        <v>16179.14</v>
      </c>
      <c r="K433" s="668">
        <v>30401.039999999997</v>
      </c>
      <c r="L433" s="668">
        <v>8568.44</v>
      </c>
      <c r="M433" s="668">
        <v>16074.640033333912</v>
      </c>
      <c r="N433" s="668">
        <v>8371.32</v>
      </c>
      <c r="O433" s="668">
        <v>15708.93</v>
      </c>
      <c r="P433" s="668">
        <v>12243.14</v>
      </c>
      <c r="Q433" s="669">
        <v>8057.58</v>
      </c>
      <c r="R433" s="668">
        <v>13507.64</v>
      </c>
      <c r="S433" s="668">
        <v>11435.800000000001</v>
      </c>
      <c r="T433" s="668">
        <v>17546.669999999998</v>
      </c>
      <c r="U433" s="668">
        <v>8573.4599999999991</v>
      </c>
      <c r="V433" s="668">
        <v>11831.57</v>
      </c>
      <c r="W433" s="668">
        <v>11446.98</v>
      </c>
      <c r="X433" s="668">
        <v>4056.39</v>
      </c>
      <c r="Y433" s="668">
        <v>6594.4400000000005</v>
      </c>
      <c r="Z433" s="668">
        <v>2317.3200000000002</v>
      </c>
      <c r="AA433" s="666">
        <v>210.12</v>
      </c>
      <c r="AB433" s="668">
        <v>-804.28000000000759</v>
      </c>
      <c r="AC433" s="647">
        <v>202235.36</v>
      </c>
      <c r="AD433" s="647">
        <v>210279.73</v>
      </c>
      <c r="AE433" s="718">
        <v>8044.37</v>
      </c>
      <c r="AF433" s="618">
        <f t="shared" si="36"/>
        <v>3.4855900605754874E-4</v>
      </c>
    </row>
    <row r="434" spans="1:32" hidden="1" x14ac:dyDescent="0.25">
      <c r="A434" s="702" t="s">
        <v>988</v>
      </c>
      <c r="B434" s="656" t="s">
        <v>989</v>
      </c>
      <c r="C434" s="635">
        <f t="shared" si="37"/>
        <v>46580.179999999993</v>
      </c>
      <c r="D434" s="635">
        <f t="shared" si="38"/>
        <v>47664.820033333912</v>
      </c>
      <c r="E434" s="635">
        <f t="shared" si="39"/>
        <v>44246.68</v>
      </c>
      <c r="F434" s="635">
        <f t="shared" si="40"/>
        <v>47616.569999999992</v>
      </c>
      <c r="G434" s="635">
        <f t="shared" si="41"/>
        <v>13037.76</v>
      </c>
      <c r="H434" s="645">
        <v>0</v>
      </c>
      <c r="I434" s="645">
        <v>0</v>
      </c>
      <c r="J434" s="645">
        <v>16179.14</v>
      </c>
      <c r="K434" s="645">
        <v>30401.039999999997</v>
      </c>
      <c r="L434" s="645">
        <v>8568.44</v>
      </c>
      <c r="M434" s="645">
        <v>15626.640033333912</v>
      </c>
      <c r="N434" s="645">
        <v>7998</v>
      </c>
      <c r="O434" s="645">
        <v>15471.74</v>
      </c>
      <c r="P434" s="645">
        <v>11361.42</v>
      </c>
      <c r="Q434" s="645">
        <v>8057.58</v>
      </c>
      <c r="R434" s="645">
        <v>13417.49</v>
      </c>
      <c r="S434" s="645">
        <v>11410.19</v>
      </c>
      <c r="T434" s="645">
        <v>16251.689999999999</v>
      </c>
      <c r="U434" s="645">
        <v>8086.33</v>
      </c>
      <c r="V434" s="645">
        <v>11831.57</v>
      </c>
      <c r="W434" s="645">
        <v>11446.98</v>
      </c>
      <c r="X434" s="645">
        <v>4056.39</v>
      </c>
      <c r="Y434" s="645">
        <v>6453.93</v>
      </c>
      <c r="Z434" s="646">
        <v>2317.3200000000002</v>
      </c>
      <c r="AA434" s="641">
        <v>210.12</v>
      </c>
      <c r="AB434" s="645">
        <v>-804.77000000000737</v>
      </c>
      <c r="AC434" s="647">
        <v>198258.02000000002</v>
      </c>
      <c r="AD434" s="647">
        <v>203942.81</v>
      </c>
      <c r="AE434" s="718">
        <v>5684.79</v>
      </c>
      <c r="AF434" s="618">
        <f t="shared" si="36"/>
        <v>3.4170393542522752E-4</v>
      </c>
    </row>
    <row r="435" spans="1:32" hidden="1" x14ac:dyDescent="0.25">
      <c r="A435" s="702" t="s">
        <v>990</v>
      </c>
      <c r="B435" s="656" t="s">
        <v>989</v>
      </c>
      <c r="C435" s="635">
        <f t="shared" si="37"/>
        <v>0</v>
      </c>
      <c r="D435" s="635">
        <f t="shared" si="38"/>
        <v>1058.51</v>
      </c>
      <c r="E435" s="635">
        <f t="shared" si="39"/>
        <v>997.48</v>
      </c>
      <c r="F435" s="635">
        <f t="shared" si="40"/>
        <v>1782.1100000000001</v>
      </c>
      <c r="G435" s="635">
        <f t="shared" si="41"/>
        <v>140.51</v>
      </c>
      <c r="H435" s="645">
        <v>0</v>
      </c>
      <c r="I435" s="645">
        <v>0</v>
      </c>
      <c r="J435" s="645">
        <v>0</v>
      </c>
      <c r="K435" s="645">
        <v>0</v>
      </c>
      <c r="L435" s="645">
        <v>0</v>
      </c>
      <c r="M435" s="645">
        <v>448</v>
      </c>
      <c r="N435" s="645">
        <v>373.32000000000005</v>
      </c>
      <c r="O435" s="645">
        <v>237.19</v>
      </c>
      <c r="P435" s="645">
        <v>881.72</v>
      </c>
      <c r="Q435" s="645">
        <v>0</v>
      </c>
      <c r="R435" s="645">
        <v>90.15</v>
      </c>
      <c r="S435" s="645">
        <v>25.61</v>
      </c>
      <c r="T435" s="645">
        <v>1294.98</v>
      </c>
      <c r="U435" s="645">
        <v>487.13</v>
      </c>
      <c r="V435" s="645">
        <v>0</v>
      </c>
      <c r="W435" s="645">
        <v>0</v>
      </c>
      <c r="X435" s="645">
        <v>0</v>
      </c>
      <c r="Y435" s="645">
        <v>140.51</v>
      </c>
      <c r="Z435" s="646">
        <v>0</v>
      </c>
      <c r="AA435" s="641">
        <v>0</v>
      </c>
      <c r="AB435" s="645">
        <v>0.48999999999979993</v>
      </c>
      <c r="AC435" s="647">
        <v>3977.34</v>
      </c>
      <c r="AD435" s="647">
        <v>6337.32</v>
      </c>
      <c r="AE435" s="718">
        <v>2359.98</v>
      </c>
      <c r="AF435" s="618">
        <f t="shared" si="36"/>
        <v>6.855070632321327E-6</v>
      </c>
    </row>
    <row r="436" spans="1:32" hidden="1" x14ac:dyDescent="0.25">
      <c r="A436" s="702" t="s">
        <v>991</v>
      </c>
      <c r="B436" s="656" t="s">
        <v>992</v>
      </c>
      <c r="C436" s="635">
        <f t="shared" si="37"/>
        <v>0</v>
      </c>
      <c r="D436" s="635">
        <f t="shared" si="38"/>
        <v>0</v>
      </c>
      <c r="E436" s="635">
        <f t="shared" si="39"/>
        <v>0</v>
      </c>
      <c r="F436" s="635">
        <f t="shared" si="40"/>
        <v>0</v>
      </c>
      <c r="G436" s="635">
        <f t="shared" si="41"/>
        <v>0</v>
      </c>
      <c r="H436" s="645">
        <v>0</v>
      </c>
      <c r="I436" s="645">
        <v>0</v>
      </c>
      <c r="J436" s="645">
        <v>0</v>
      </c>
      <c r="K436" s="645">
        <v>0</v>
      </c>
      <c r="L436" s="645">
        <v>0</v>
      </c>
      <c r="M436" s="645">
        <v>0</v>
      </c>
      <c r="N436" s="645">
        <v>0</v>
      </c>
      <c r="O436" s="645">
        <v>0</v>
      </c>
      <c r="P436" s="645">
        <v>0</v>
      </c>
      <c r="Q436" s="645">
        <v>0</v>
      </c>
      <c r="R436" s="645">
        <v>0</v>
      </c>
      <c r="S436" s="645">
        <v>0</v>
      </c>
      <c r="T436" s="645">
        <v>0</v>
      </c>
      <c r="U436" s="645">
        <v>0</v>
      </c>
      <c r="V436" s="645">
        <v>0</v>
      </c>
      <c r="W436" s="645">
        <v>0</v>
      </c>
      <c r="X436" s="645">
        <v>0</v>
      </c>
      <c r="Y436" s="645">
        <v>0</v>
      </c>
      <c r="Z436" s="645">
        <v>0</v>
      </c>
      <c r="AA436" s="641">
        <v>0</v>
      </c>
      <c r="AB436" s="645">
        <v>0</v>
      </c>
      <c r="AC436" s="647">
        <v>0</v>
      </c>
      <c r="AD436" s="647">
        <v>-0.4</v>
      </c>
      <c r="AE436" s="718">
        <v>-0.4</v>
      </c>
      <c r="AF436" s="618">
        <f t="shared" si="36"/>
        <v>0</v>
      </c>
    </row>
    <row r="437" spans="1:32" hidden="1" x14ac:dyDescent="0.25">
      <c r="A437" s="658" t="s">
        <v>481</v>
      </c>
      <c r="B437" s="659">
        <v>0</v>
      </c>
      <c r="C437" s="635">
        <f t="shared" si="37"/>
        <v>0</v>
      </c>
      <c r="D437" s="635">
        <f t="shared" si="38"/>
        <v>0</v>
      </c>
      <c r="E437" s="635">
        <f t="shared" si="39"/>
        <v>0</v>
      </c>
      <c r="F437" s="635">
        <f t="shared" si="40"/>
        <v>0</v>
      </c>
      <c r="G437" s="635">
        <f t="shared" si="41"/>
        <v>0</v>
      </c>
      <c r="H437" s="660">
        <v>0</v>
      </c>
      <c r="I437" s="660">
        <v>0</v>
      </c>
      <c r="J437" s="660">
        <v>0</v>
      </c>
      <c r="K437" s="660">
        <v>0</v>
      </c>
      <c r="L437" s="660">
        <v>0</v>
      </c>
      <c r="M437" s="660">
        <v>0</v>
      </c>
      <c r="N437" s="660">
        <v>0</v>
      </c>
      <c r="O437" s="660">
        <v>0</v>
      </c>
      <c r="P437" s="660">
        <v>0</v>
      </c>
      <c r="Q437" s="660">
        <v>0</v>
      </c>
      <c r="R437" s="660">
        <v>0</v>
      </c>
      <c r="S437" s="660">
        <v>0</v>
      </c>
      <c r="T437" s="660">
        <v>0</v>
      </c>
      <c r="U437" s="660">
        <v>0</v>
      </c>
      <c r="V437" s="660">
        <v>0</v>
      </c>
      <c r="W437" s="660">
        <v>0</v>
      </c>
      <c r="X437" s="660">
        <v>0</v>
      </c>
      <c r="Y437" s="660">
        <v>0</v>
      </c>
      <c r="Z437" s="660">
        <v>0</v>
      </c>
      <c r="AA437" s="661">
        <v>0</v>
      </c>
      <c r="AB437" s="660"/>
      <c r="AC437" s="647">
        <v>0</v>
      </c>
      <c r="AD437" s="647">
        <v>0</v>
      </c>
      <c r="AE437" s="643">
        <v>0</v>
      </c>
      <c r="AF437" s="618">
        <f t="shared" si="36"/>
        <v>0</v>
      </c>
    </row>
    <row r="438" spans="1:32" ht="25.5" hidden="1" x14ac:dyDescent="0.25">
      <c r="A438" s="658" t="s">
        <v>482</v>
      </c>
      <c r="B438" s="659">
        <v>0</v>
      </c>
      <c r="C438" s="635">
        <f t="shared" si="37"/>
        <v>0</v>
      </c>
      <c r="D438" s="635">
        <f t="shared" si="38"/>
        <v>0</v>
      </c>
      <c r="E438" s="635">
        <f t="shared" si="39"/>
        <v>0</v>
      </c>
      <c r="F438" s="635">
        <f t="shared" si="40"/>
        <v>0</v>
      </c>
      <c r="G438" s="635">
        <f t="shared" si="41"/>
        <v>0</v>
      </c>
      <c r="H438" s="660">
        <v>0</v>
      </c>
      <c r="I438" s="660">
        <v>0</v>
      </c>
      <c r="J438" s="660">
        <v>0</v>
      </c>
      <c r="K438" s="660">
        <v>0</v>
      </c>
      <c r="L438" s="660">
        <v>0</v>
      </c>
      <c r="M438" s="660">
        <v>0</v>
      </c>
      <c r="N438" s="660">
        <v>0</v>
      </c>
      <c r="O438" s="660">
        <v>0</v>
      </c>
      <c r="P438" s="660">
        <v>0</v>
      </c>
      <c r="Q438" s="660">
        <v>0</v>
      </c>
      <c r="R438" s="660">
        <v>0</v>
      </c>
      <c r="S438" s="660">
        <v>0</v>
      </c>
      <c r="T438" s="660">
        <v>0</v>
      </c>
      <c r="U438" s="660">
        <v>0</v>
      </c>
      <c r="V438" s="660">
        <v>0</v>
      </c>
      <c r="W438" s="660">
        <v>0</v>
      </c>
      <c r="X438" s="660">
        <v>0</v>
      </c>
      <c r="Y438" s="660">
        <v>0</v>
      </c>
      <c r="Z438" s="660">
        <v>0</v>
      </c>
      <c r="AA438" s="661">
        <v>0</v>
      </c>
      <c r="AB438" s="660">
        <v>0</v>
      </c>
      <c r="AC438" s="647">
        <v>0</v>
      </c>
      <c r="AD438" s="647">
        <v>0</v>
      </c>
      <c r="AE438" s="643">
        <v>0</v>
      </c>
      <c r="AF438" s="618">
        <f t="shared" si="36"/>
        <v>0</v>
      </c>
    </row>
    <row r="439" spans="1:32" hidden="1" x14ac:dyDescent="0.25">
      <c r="A439" s="658" t="s">
        <v>483</v>
      </c>
      <c r="B439" s="659"/>
      <c r="C439" s="635">
        <f t="shared" si="37"/>
        <v>0</v>
      </c>
      <c r="D439" s="635">
        <f t="shared" si="38"/>
        <v>0</v>
      </c>
      <c r="E439" s="635">
        <f t="shared" si="39"/>
        <v>0</v>
      </c>
      <c r="F439" s="635">
        <f t="shared" si="40"/>
        <v>0</v>
      </c>
      <c r="G439" s="635">
        <f t="shared" si="41"/>
        <v>0</v>
      </c>
      <c r="H439" s="660">
        <v>0</v>
      </c>
      <c r="I439" s="660">
        <v>0</v>
      </c>
      <c r="J439" s="660">
        <v>0</v>
      </c>
      <c r="K439" s="660">
        <v>0</v>
      </c>
      <c r="L439" s="660">
        <v>0</v>
      </c>
      <c r="M439" s="660">
        <v>0</v>
      </c>
      <c r="N439" s="660">
        <v>0</v>
      </c>
      <c r="O439" s="660">
        <v>0</v>
      </c>
      <c r="P439" s="660">
        <v>0</v>
      </c>
      <c r="Q439" s="660">
        <v>0</v>
      </c>
      <c r="R439" s="660">
        <v>0</v>
      </c>
      <c r="S439" s="660">
        <v>0</v>
      </c>
      <c r="T439" s="660">
        <v>0</v>
      </c>
      <c r="U439" s="660">
        <v>0</v>
      </c>
      <c r="V439" s="660">
        <v>0</v>
      </c>
      <c r="W439" s="660">
        <v>0</v>
      </c>
      <c r="X439" s="660">
        <v>0</v>
      </c>
      <c r="Y439" s="660">
        <v>0</v>
      </c>
      <c r="Z439" s="660">
        <v>0</v>
      </c>
      <c r="AA439" s="661">
        <v>0</v>
      </c>
      <c r="AB439" s="660"/>
      <c r="AC439" s="647">
        <v>0</v>
      </c>
      <c r="AD439" s="647">
        <v>5409.81</v>
      </c>
      <c r="AE439" s="643">
        <v>5409.81</v>
      </c>
      <c r="AF439" s="618">
        <f t="shared" si="36"/>
        <v>0</v>
      </c>
    </row>
    <row r="440" spans="1:32" hidden="1" x14ac:dyDescent="0.25">
      <c r="A440" s="693" t="s">
        <v>993</v>
      </c>
      <c r="B440" s="694">
        <v>0</v>
      </c>
      <c r="C440" s="635">
        <f t="shared" si="37"/>
        <v>1082721.1099999999</v>
      </c>
      <c r="D440" s="635">
        <f t="shared" si="38"/>
        <v>3877158.8067333335</v>
      </c>
      <c r="E440" s="635">
        <f t="shared" si="39"/>
        <v>5656790.6499999994</v>
      </c>
      <c r="F440" s="635">
        <f t="shared" si="40"/>
        <v>3837506.6300000004</v>
      </c>
      <c r="G440" s="635">
        <f t="shared" si="41"/>
        <v>664158.57000000007</v>
      </c>
      <c r="H440" s="697">
        <v>0</v>
      </c>
      <c r="I440" s="697">
        <v>0</v>
      </c>
      <c r="J440" s="697">
        <v>505025.78</v>
      </c>
      <c r="K440" s="697">
        <v>577695.32999999996</v>
      </c>
      <c r="L440" s="697">
        <v>275418.62999999995</v>
      </c>
      <c r="M440" s="697">
        <v>1753375.7867333333</v>
      </c>
      <c r="N440" s="697">
        <v>700036.76</v>
      </c>
      <c r="O440" s="697">
        <v>1148327.6300000001</v>
      </c>
      <c r="P440" s="697">
        <v>1110465.21</v>
      </c>
      <c r="Q440" s="711">
        <v>1770599.21</v>
      </c>
      <c r="R440" s="697">
        <v>1084894.3799999999</v>
      </c>
      <c r="S440" s="697">
        <v>1690831.8499999999</v>
      </c>
      <c r="T440" s="697">
        <v>1719772.23</v>
      </c>
      <c r="U440" s="697">
        <v>1751440.1400000001</v>
      </c>
      <c r="V440" s="697">
        <v>317148.84999999998</v>
      </c>
      <c r="W440" s="697">
        <v>49145.41</v>
      </c>
      <c r="X440" s="697">
        <v>143430.62</v>
      </c>
      <c r="Y440" s="697">
        <v>15187.62</v>
      </c>
      <c r="Z440" s="697">
        <v>273217.90000000002</v>
      </c>
      <c r="AA440" s="697">
        <v>232322.43</v>
      </c>
      <c r="AB440" s="697">
        <v>-1925.2099999997827</v>
      </c>
      <c r="AC440" s="697">
        <v>15114876.799999999</v>
      </c>
      <c r="AD440" s="697">
        <v>15042300.380000001</v>
      </c>
      <c r="AE440" s="697">
        <v>-72576.42</v>
      </c>
      <c r="AF440" s="618">
        <f t="shared" si="36"/>
        <v>2.6050965736606611E-2</v>
      </c>
    </row>
    <row r="441" spans="1:32" x14ac:dyDescent="0.25">
      <c r="A441" s="699" t="s">
        <v>994</v>
      </c>
      <c r="B441" s="700"/>
      <c r="C441" s="635">
        <f t="shared" si="37"/>
        <v>0</v>
      </c>
      <c r="D441" s="635">
        <f t="shared" si="38"/>
        <v>0</v>
      </c>
      <c r="E441" s="635">
        <f t="shared" si="39"/>
        <v>0</v>
      </c>
      <c r="F441" s="635">
        <f t="shared" si="40"/>
        <v>0</v>
      </c>
      <c r="G441" s="635">
        <f t="shared" si="41"/>
        <v>0</v>
      </c>
      <c r="H441" s="754"/>
      <c r="I441" s="754"/>
      <c r="J441" s="754"/>
      <c r="K441" s="754"/>
      <c r="L441" s="754"/>
      <c r="M441" s="754"/>
      <c r="N441" s="754"/>
      <c r="O441" s="754"/>
      <c r="P441" s="754">
        <v>0</v>
      </c>
      <c r="Q441" s="755">
        <v>0</v>
      </c>
      <c r="R441" s="754">
        <v>0</v>
      </c>
      <c r="S441" s="754">
        <v>0</v>
      </c>
      <c r="T441" s="754">
        <v>0</v>
      </c>
      <c r="U441" s="754">
        <v>0</v>
      </c>
      <c r="V441" s="754">
        <v>0</v>
      </c>
      <c r="W441" s="754">
        <v>0</v>
      </c>
      <c r="X441" s="754">
        <v>0</v>
      </c>
      <c r="Y441" s="754">
        <v>0</v>
      </c>
      <c r="Z441" s="754">
        <v>0</v>
      </c>
      <c r="AA441" s="754">
        <v>0</v>
      </c>
      <c r="AB441" s="754"/>
      <c r="AC441" s="747"/>
      <c r="AD441" s="747">
        <v>0</v>
      </c>
      <c r="AE441" s="747">
        <v>0</v>
      </c>
    </row>
    <row r="442" spans="1:32" hidden="1" x14ac:dyDescent="0.25">
      <c r="A442" s="676" t="s">
        <v>995</v>
      </c>
      <c r="B442" s="701" t="s">
        <v>996</v>
      </c>
      <c r="C442" s="635">
        <f t="shared" si="37"/>
        <v>52480.54</v>
      </c>
      <c r="D442" s="635">
        <f t="shared" si="38"/>
        <v>464369.1</v>
      </c>
      <c r="E442" s="635">
        <f t="shared" si="39"/>
        <v>1169026.71</v>
      </c>
      <c r="F442" s="635">
        <f t="shared" si="40"/>
        <v>861047.8</v>
      </c>
      <c r="G442" s="635">
        <f t="shared" si="41"/>
        <v>4557015.1090909094</v>
      </c>
      <c r="H442" s="662">
        <v>0</v>
      </c>
      <c r="I442" s="662">
        <v>0</v>
      </c>
      <c r="J442" s="662">
        <v>52480.54</v>
      </c>
      <c r="K442" s="662">
        <v>0</v>
      </c>
      <c r="L442" s="662">
        <v>0</v>
      </c>
      <c r="M442" s="662">
        <v>109258.66</v>
      </c>
      <c r="N442" s="662">
        <v>94234.22</v>
      </c>
      <c r="O442" s="662">
        <v>260876.22</v>
      </c>
      <c r="P442" s="662">
        <v>362013.08999999997</v>
      </c>
      <c r="Q442" s="663">
        <v>170724.06</v>
      </c>
      <c r="R442" s="662">
        <v>435485.85</v>
      </c>
      <c r="S442" s="662">
        <v>200803.71</v>
      </c>
      <c r="T442" s="662">
        <v>370825.28</v>
      </c>
      <c r="U442" s="662">
        <v>130405.9</v>
      </c>
      <c r="V442" s="662">
        <v>192075.88999999998</v>
      </c>
      <c r="W442" s="662">
        <v>167740.73000000001</v>
      </c>
      <c r="X442" s="662">
        <v>123181.45999999999</v>
      </c>
      <c r="Y442" s="662">
        <v>137888.94</v>
      </c>
      <c r="Z442" s="662">
        <v>145490.83000000002</v>
      </c>
      <c r="AA442" s="636">
        <v>4150453.8790909094</v>
      </c>
      <c r="AB442" s="662">
        <v>25197.500303030483</v>
      </c>
      <c r="AC442" s="638">
        <v>7103939.2590909097</v>
      </c>
      <c r="AD442" s="662">
        <v>6297599.8800000008</v>
      </c>
      <c r="AE442" s="638">
        <v>-806339.38</v>
      </c>
    </row>
    <row r="443" spans="1:32" hidden="1" x14ac:dyDescent="0.25">
      <c r="A443" s="664" t="s">
        <v>630</v>
      </c>
      <c r="B443" s="756" t="s">
        <v>997</v>
      </c>
      <c r="C443" s="635">
        <f t="shared" si="37"/>
        <v>52480.54</v>
      </c>
      <c r="D443" s="635">
        <f t="shared" si="38"/>
        <v>88936.19</v>
      </c>
      <c r="E443" s="635">
        <f t="shared" si="39"/>
        <v>87660.569999999992</v>
      </c>
      <c r="F443" s="635">
        <f t="shared" si="40"/>
        <v>69984.38</v>
      </c>
      <c r="G443" s="635">
        <f t="shared" si="41"/>
        <v>275694.48757575755</v>
      </c>
      <c r="H443" s="666">
        <v>0</v>
      </c>
      <c r="I443" s="666">
        <v>0</v>
      </c>
      <c r="J443" s="666">
        <v>52480.54</v>
      </c>
      <c r="K443" s="666">
        <v>0</v>
      </c>
      <c r="L443" s="666">
        <v>0</v>
      </c>
      <c r="M443" s="666">
        <v>31028.5</v>
      </c>
      <c r="N443" s="666">
        <v>14289.07</v>
      </c>
      <c r="O443" s="666">
        <v>43618.619999999995</v>
      </c>
      <c r="P443" s="666">
        <v>17623.759999999998</v>
      </c>
      <c r="Q443" s="666">
        <v>64314.03</v>
      </c>
      <c r="R443" s="666">
        <v>0</v>
      </c>
      <c r="S443" s="666">
        <v>5722.78</v>
      </c>
      <c r="T443" s="666">
        <v>0</v>
      </c>
      <c r="U443" s="666">
        <v>0</v>
      </c>
      <c r="V443" s="666">
        <v>19932</v>
      </c>
      <c r="W443" s="666">
        <v>50052.38</v>
      </c>
      <c r="X443" s="666">
        <v>19593.169999999998</v>
      </c>
      <c r="Y443" s="666">
        <v>20264.79</v>
      </c>
      <c r="Z443" s="666">
        <v>31520.58</v>
      </c>
      <c r="AA443" s="666">
        <v>204315.94757575757</v>
      </c>
      <c r="AB443" s="666">
        <v>-0.93000000000392902</v>
      </c>
      <c r="AC443" s="643">
        <v>574756.1675757576</v>
      </c>
      <c r="AD443" s="643">
        <v>486808.06000000006</v>
      </c>
      <c r="AE443" s="718">
        <v>-87948.11</v>
      </c>
    </row>
    <row r="444" spans="1:32" hidden="1" x14ac:dyDescent="0.25">
      <c r="A444" s="689" t="s">
        <v>630</v>
      </c>
      <c r="B444" s="640" t="s">
        <v>998</v>
      </c>
      <c r="C444" s="635">
        <f t="shared" si="37"/>
        <v>52480.54</v>
      </c>
      <c r="D444" s="635">
        <f t="shared" si="38"/>
        <v>88936.19</v>
      </c>
      <c r="E444" s="635">
        <f t="shared" si="39"/>
        <v>87660.569999999992</v>
      </c>
      <c r="F444" s="635">
        <f t="shared" si="40"/>
        <v>0</v>
      </c>
      <c r="G444" s="635">
        <f t="shared" si="41"/>
        <v>61073.617575757577</v>
      </c>
      <c r="H444" s="641">
        <v>0</v>
      </c>
      <c r="I444" s="641">
        <v>0</v>
      </c>
      <c r="J444" s="641">
        <v>52480.54</v>
      </c>
      <c r="K444" s="641">
        <v>0</v>
      </c>
      <c r="L444" s="641">
        <v>0</v>
      </c>
      <c r="M444" s="641">
        <v>31028.5</v>
      </c>
      <c r="N444" s="641">
        <v>14289.07</v>
      </c>
      <c r="O444" s="641">
        <v>43618.619999999995</v>
      </c>
      <c r="P444" s="641">
        <v>17623.759999999998</v>
      </c>
      <c r="Q444" s="641">
        <v>64314.03</v>
      </c>
      <c r="R444" s="641">
        <v>0</v>
      </c>
      <c r="S444" s="641">
        <v>5722.78</v>
      </c>
      <c r="T444" s="641">
        <v>0</v>
      </c>
      <c r="U444" s="641">
        <v>0</v>
      </c>
      <c r="V444" s="641">
        <v>0</v>
      </c>
      <c r="W444" s="641">
        <v>0</v>
      </c>
      <c r="X444" s="641">
        <v>0</v>
      </c>
      <c r="Y444" s="641">
        <v>0</v>
      </c>
      <c r="Z444" s="641">
        <v>11736.88</v>
      </c>
      <c r="AA444" s="641">
        <v>49336.737575757579</v>
      </c>
      <c r="AB444" s="641">
        <v>-0.23000000000320142</v>
      </c>
      <c r="AC444" s="643">
        <v>290150.9175757576</v>
      </c>
      <c r="AD444" s="643">
        <v>229077.30000000002</v>
      </c>
      <c r="AE444" s="718">
        <v>-61073.62</v>
      </c>
    </row>
    <row r="445" spans="1:32" ht="25.5" hidden="1" x14ac:dyDescent="0.25">
      <c r="A445" s="689" t="s">
        <v>999</v>
      </c>
      <c r="B445" s="640" t="s">
        <v>1000</v>
      </c>
      <c r="C445" s="635">
        <f t="shared" si="37"/>
        <v>0</v>
      </c>
      <c r="D445" s="635">
        <f t="shared" si="38"/>
        <v>0</v>
      </c>
      <c r="E445" s="635">
        <f t="shared" si="39"/>
        <v>0</v>
      </c>
      <c r="F445" s="635">
        <f t="shared" si="40"/>
        <v>0</v>
      </c>
      <c r="G445" s="635">
        <f t="shared" si="41"/>
        <v>85066.51</v>
      </c>
      <c r="H445" s="641"/>
      <c r="I445" s="641"/>
      <c r="J445" s="641"/>
      <c r="K445" s="641"/>
      <c r="L445" s="641"/>
      <c r="M445" s="641"/>
      <c r="N445" s="641"/>
      <c r="O445" s="641"/>
      <c r="P445" s="641"/>
      <c r="Q445" s="641"/>
      <c r="R445" s="641"/>
      <c r="S445" s="641">
        <v>0</v>
      </c>
      <c r="T445" s="641">
        <v>0</v>
      </c>
      <c r="U445" s="641">
        <v>0</v>
      </c>
      <c r="V445" s="641">
        <v>0</v>
      </c>
      <c r="W445" s="641">
        <v>0</v>
      </c>
      <c r="X445" s="641">
        <v>0</v>
      </c>
      <c r="Y445" s="641">
        <v>0</v>
      </c>
      <c r="Z445" s="642">
        <v>0</v>
      </c>
      <c r="AA445" s="641">
        <v>85066.51</v>
      </c>
      <c r="AB445" s="641">
        <v>-0.16999999999825377</v>
      </c>
      <c r="AC445" s="643">
        <v>85066.51</v>
      </c>
      <c r="AD445" s="643">
        <v>68000</v>
      </c>
      <c r="AE445" s="718">
        <v>-17066.509999999998</v>
      </c>
    </row>
    <row r="446" spans="1:32" ht="25.5" hidden="1" x14ac:dyDescent="0.25">
      <c r="A446" s="702" t="s">
        <v>1292</v>
      </c>
      <c r="B446" s="705" t="s">
        <v>1001</v>
      </c>
      <c r="C446" s="635">
        <f t="shared" si="37"/>
        <v>0</v>
      </c>
      <c r="D446" s="635">
        <f t="shared" si="38"/>
        <v>0</v>
      </c>
      <c r="E446" s="635">
        <f t="shared" si="39"/>
        <v>0</v>
      </c>
      <c r="F446" s="635">
        <f t="shared" si="40"/>
        <v>0</v>
      </c>
      <c r="G446" s="635">
        <f t="shared" si="41"/>
        <v>29657.61</v>
      </c>
      <c r="H446" s="660">
        <v>0</v>
      </c>
      <c r="I446" s="660">
        <v>0</v>
      </c>
      <c r="J446" s="660">
        <v>0</v>
      </c>
      <c r="K446" s="660">
        <v>0</v>
      </c>
      <c r="L446" s="660">
        <v>0</v>
      </c>
      <c r="M446" s="660">
        <v>0</v>
      </c>
      <c r="N446" s="660">
        <v>0</v>
      </c>
      <c r="O446" s="660">
        <v>0</v>
      </c>
      <c r="P446" s="660">
        <v>0</v>
      </c>
      <c r="Q446" s="660">
        <v>0</v>
      </c>
      <c r="R446" s="660">
        <v>0</v>
      </c>
      <c r="S446" s="660">
        <v>0</v>
      </c>
      <c r="T446" s="660">
        <v>0</v>
      </c>
      <c r="U446" s="660">
        <v>0</v>
      </c>
      <c r="V446" s="660">
        <v>0</v>
      </c>
      <c r="W446" s="722">
        <v>0</v>
      </c>
      <c r="X446" s="722">
        <v>0</v>
      </c>
      <c r="Y446" s="722">
        <v>0</v>
      </c>
      <c r="Z446" s="690">
        <v>0</v>
      </c>
      <c r="AA446" s="641">
        <v>29657.61</v>
      </c>
      <c r="AB446" s="641">
        <v>-0.15999999999985448</v>
      </c>
      <c r="AC446" s="647">
        <v>29657.61</v>
      </c>
      <c r="AD446" s="647">
        <v>20000</v>
      </c>
      <c r="AE446" s="643">
        <v>-9657.61</v>
      </c>
    </row>
    <row r="447" spans="1:32" hidden="1" x14ac:dyDescent="0.25">
      <c r="A447" s="689" t="s">
        <v>1238</v>
      </c>
      <c r="B447" s="640" t="s">
        <v>1002</v>
      </c>
      <c r="C447" s="635">
        <f t="shared" si="37"/>
        <v>0</v>
      </c>
      <c r="D447" s="635">
        <f t="shared" si="38"/>
        <v>0</v>
      </c>
      <c r="E447" s="635">
        <f t="shared" si="39"/>
        <v>0</v>
      </c>
      <c r="F447" s="635">
        <f t="shared" si="40"/>
        <v>31078.799999999999</v>
      </c>
      <c r="G447" s="635">
        <f t="shared" si="41"/>
        <v>0</v>
      </c>
      <c r="H447" s="641"/>
      <c r="I447" s="641"/>
      <c r="J447" s="641"/>
      <c r="K447" s="641"/>
      <c r="L447" s="641"/>
      <c r="M447" s="641"/>
      <c r="N447" s="641"/>
      <c r="O447" s="641"/>
      <c r="P447" s="641"/>
      <c r="Q447" s="641"/>
      <c r="R447" s="641"/>
      <c r="S447" s="641">
        <v>0</v>
      </c>
      <c r="T447" s="641">
        <v>0</v>
      </c>
      <c r="U447" s="641">
        <v>0</v>
      </c>
      <c r="V447" s="641">
        <v>0</v>
      </c>
      <c r="W447" s="641">
        <v>31078.799999999999</v>
      </c>
      <c r="X447" s="641">
        <v>0</v>
      </c>
      <c r="Y447" s="641">
        <v>0</v>
      </c>
      <c r="Z447" s="641">
        <v>0</v>
      </c>
      <c r="AA447" s="641">
        <v>0</v>
      </c>
      <c r="AB447" s="641">
        <v>0</v>
      </c>
      <c r="AC447" s="643">
        <v>31078.799999999999</v>
      </c>
      <c r="AD447" s="643">
        <v>31078.799999999999</v>
      </c>
      <c r="AE447" s="718">
        <v>0</v>
      </c>
    </row>
    <row r="448" spans="1:32" hidden="1" x14ac:dyDescent="0.25">
      <c r="A448" s="689" t="s">
        <v>892</v>
      </c>
      <c r="B448" s="640" t="s">
        <v>1003</v>
      </c>
      <c r="C448" s="635">
        <f t="shared" si="37"/>
        <v>0</v>
      </c>
      <c r="D448" s="635">
        <f t="shared" si="38"/>
        <v>0</v>
      </c>
      <c r="E448" s="635">
        <f t="shared" si="39"/>
        <v>0</v>
      </c>
      <c r="F448" s="635">
        <f t="shared" si="40"/>
        <v>38905.58</v>
      </c>
      <c r="G448" s="635">
        <f t="shared" si="41"/>
        <v>99896.75</v>
      </c>
      <c r="H448" s="641"/>
      <c r="I448" s="641"/>
      <c r="J448" s="641"/>
      <c r="K448" s="641"/>
      <c r="L448" s="641"/>
      <c r="M448" s="641"/>
      <c r="N448" s="641"/>
      <c r="O448" s="641"/>
      <c r="P448" s="641"/>
      <c r="Q448" s="641"/>
      <c r="R448" s="641"/>
      <c r="S448" s="641">
        <v>0</v>
      </c>
      <c r="T448" s="641">
        <v>0</v>
      </c>
      <c r="U448" s="641">
        <v>0</v>
      </c>
      <c r="V448" s="641">
        <v>19932</v>
      </c>
      <c r="W448" s="641">
        <v>18973.580000000002</v>
      </c>
      <c r="X448" s="641">
        <v>19593.169999999998</v>
      </c>
      <c r="Y448" s="641">
        <v>20264.79</v>
      </c>
      <c r="Z448" s="641">
        <v>19783.7</v>
      </c>
      <c r="AA448" s="641">
        <v>40255.089999999997</v>
      </c>
      <c r="AB448" s="641">
        <v>-0.37000000000261934</v>
      </c>
      <c r="AC448" s="643">
        <v>138802.32999999999</v>
      </c>
      <c r="AD448" s="643">
        <v>138651.96</v>
      </c>
      <c r="AE448" s="718">
        <v>-150.37</v>
      </c>
    </row>
    <row r="449" spans="1:31" hidden="1" x14ac:dyDescent="0.25">
      <c r="A449" s="664" t="s">
        <v>1004</v>
      </c>
      <c r="B449" s="756" t="s">
        <v>1005</v>
      </c>
      <c r="C449" s="635">
        <f t="shared" si="37"/>
        <v>0</v>
      </c>
      <c r="D449" s="635">
        <f t="shared" si="38"/>
        <v>299757.96999999997</v>
      </c>
      <c r="E449" s="635">
        <f t="shared" si="39"/>
        <v>97743.5</v>
      </c>
      <c r="F449" s="635">
        <f t="shared" si="40"/>
        <v>2102.5300000000002</v>
      </c>
      <c r="G449" s="635">
        <f t="shared" si="41"/>
        <v>144119.41484848486</v>
      </c>
      <c r="H449" s="666">
        <v>0</v>
      </c>
      <c r="I449" s="666">
        <v>0</v>
      </c>
      <c r="J449" s="666">
        <v>0</v>
      </c>
      <c r="K449" s="666">
        <v>0</v>
      </c>
      <c r="L449" s="666">
        <v>0</v>
      </c>
      <c r="M449" s="666">
        <v>71418</v>
      </c>
      <c r="N449" s="666">
        <v>40174.410000000003</v>
      </c>
      <c r="O449" s="666">
        <v>188165.56</v>
      </c>
      <c r="P449" s="666">
        <v>63194</v>
      </c>
      <c r="Q449" s="666">
        <v>-207.5</v>
      </c>
      <c r="R449" s="666">
        <v>34757</v>
      </c>
      <c r="S449" s="666">
        <v>0</v>
      </c>
      <c r="T449" s="666">
        <v>2102.5300000000002</v>
      </c>
      <c r="U449" s="666">
        <v>0</v>
      </c>
      <c r="V449" s="666">
        <v>0</v>
      </c>
      <c r="W449" s="666">
        <v>0</v>
      </c>
      <c r="X449" s="666">
        <v>2851.28</v>
      </c>
      <c r="Y449" s="666">
        <v>28606.09</v>
      </c>
      <c r="Z449" s="666">
        <v>8994</v>
      </c>
      <c r="AA449" s="666">
        <v>103668.04484848485</v>
      </c>
      <c r="AB449" s="666">
        <v>0.26030303024163004</v>
      </c>
      <c r="AC449" s="643">
        <v>543723.4148484848</v>
      </c>
      <c r="AD449" s="643">
        <v>479642.62999999995</v>
      </c>
      <c r="AE449" s="718">
        <v>-64080.78</v>
      </c>
    </row>
    <row r="450" spans="1:31" hidden="1" x14ac:dyDescent="0.25">
      <c r="A450" s="757" t="s">
        <v>1006</v>
      </c>
      <c r="B450" s="651" t="s">
        <v>1007</v>
      </c>
      <c r="C450" s="635">
        <f t="shared" si="37"/>
        <v>0</v>
      </c>
      <c r="D450" s="635">
        <f t="shared" si="38"/>
        <v>178503.93</v>
      </c>
      <c r="E450" s="635">
        <f t="shared" si="39"/>
        <v>97743.5</v>
      </c>
      <c r="F450" s="635">
        <f t="shared" si="40"/>
        <v>2102.5300000000002</v>
      </c>
      <c r="G450" s="635">
        <f t="shared" si="41"/>
        <v>0</v>
      </c>
      <c r="H450" s="758">
        <v>0</v>
      </c>
      <c r="I450" s="758">
        <v>0</v>
      </c>
      <c r="J450" s="758">
        <v>0</v>
      </c>
      <c r="K450" s="758">
        <v>0</v>
      </c>
      <c r="L450" s="758">
        <v>0</v>
      </c>
      <c r="M450" s="758">
        <v>71418</v>
      </c>
      <c r="N450" s="758">
        <v>35687.93</v>
      </c>
      <c r="O450" s="758">
        <v>71398</v>
      </c>
      <c r="P450" s="758">
        <v>63194</v>
      </c>
      <c r="Q450" s="758">
        <v>-207.5</v>
      </c>
      <c r="R450" s="758">
        <v>34757</v>
      </c>
      <c r="S450" s="758">
        <v>0</v>
      </c>
      <c r="T450" s="758">
        <v>2102.5300000000002</v>
      </c>
      <c r="U450" s="758">
        <v>0</v>
      </c>
      <c r="V450" s="758">
        <v>0</v>
      </c>
      <c r="W450" s="758">
        <v>0</v>
      </c>
      <c r="X450" s="758">
        <v>0</v>
      </c>
      <c r="Y450" s="758">
        <v>0</v>
      </c>
      <c r="Z450" s="758">
        <v>0</v>
      </c>
      <c r="AA450" s="641">
        <v>0</v>
      </c>
      <c r="AB450" s="758">
        <v>-0.11000000004423782</v>
      </c>
      <c r="AC450" s="653">
        <v>278349.96000000002</v>
      </c>
      <c r="AD450" s="653">
        <v>278349.95999999996</v>
      </c>
      <c r="AE450" s="727">
        <v>0</v>
      </c>
    </row>
    <row r="451" spans="1:31" hidden="1" x14ac:dyDescent="0.25">
      <c r="A451" s="757" t="s">
        <v>1008</v>
      </c>
      <c r="B451" s="651" t="s">
        <v>1009</v>
      </c>
      <c r="C451" s="635">
        <f t="shared" si="37"/>
        <v>0</v>
      </c>
      <c r="D451" s="635">
        <f t="shared" si="38"/>
        <v>120020.81</v>
      </c>
      <c r="E451" s="635">
        <f t="shared" si="39"/>
        <v>0</v>
      </c>
      <c r="F451" s="635">
        <f t="shared" si="40"/>
        <v>0</v>
      </c>
      <c r="G451" s="635">
        <f t="shared" si="41"/>
        <v>0</v>
      </c>
      <c r="H451" s="758">
        <v>0</v>
      </c>
      <c r="I451" s="758">
        <v>0</v>
      </c>
      <c r="J451" s="758">
        <v>0</v>
      </c>
      <c r="K451" s="758">
        <v>0</v>
      </c>
      <c r="L451" s="758">
        <v>0</v>
      </c>
      <c r="M451" s="758">
        <v>0</v>
      </c>
      <c r="N451" s="758">
        <v>3253.25</v>
      </c>
      <c r="O451" s="758">
        <v>116767.56</v>
      </c>
      <c r="P451" s="758">
        <v>0</v>
      </c>
      <c r="Q451" s="758">
        <v>0</v>
      </c>
      <c r="R451" s="758">
        <v>0</v>
      </c>
      <c r="S451" s="758">
        <v>0</v>
      </c>
      <c r="T451" s="758">
        <v>0</v>
      </c>
      <c r="U451" s="758">
        <v>0</v>
      </c>
      <c r="V451" s="758">
        <v>0</v>
      </c>
      <c r="W451" s="758">
        <v>0</v>
      </c>
      <c r="X451" s="758">
        <v>0</v>
      </c>
      <c r="Y451" s="758">
        <v>0</v>
      </c>
      <c r="Z451" s="758">
        <v>0</v>
      </c>
      <c r="AA451" s="641">
        <v>0</v>
      </c>
      <c r="AB451" s="758">
        <v>0</v>
      </c>
      <c r="AC451" s="653">
        <v>120020.81</v>
      </c>
      <c r="AD451" s="653">
        <v>120020.81</v>
      </c>
      <c r="AE451" s="727">
        <v>0</v>
      </c>
    </row>
    <row r="452" spans="1:31" hidden="1" x14ac:dyDescent="0.25">
      <c r="A452" s="757" t="s">
        <v>1010</v>
      </c>
      <c r="B452" s="651" t="s">
        <v>1011</v>
      </c>
      <c r="C452" s="635">
        <f t="shared" si="37"/>
        <v>0</v>
      </c>
      <c r="D452" s="635">
        <f t="shared" si="38"/>
        <v>0</v>
      </c>
      <c r="E452" s="635">
        <f t="shared" si="39"/>
        <v>0</v>
      </c>
      <c r="F452" s="635">
        <f t="shared" si="40"/>
        <v>0</v>
      </c>
      <c r="G452" s="635">
        <f t="shared" si="41"/>
        <v>0</v>
      </c>
      <c r="H452" s="758">
        <v>0</v>
      </c>
      <c r="I452" s="758">
        <v>0</v>
      </c>
      <c r="J452" s="758">
        <v>0</v>
      </c>
      <c r="K452" s="758">
        <v>0</v>
      </c>
      <c r="L452" s="758">
        <v>0</v>
      </c>
      <c r="M452" s="758">
        <v>0</v>
      </c>
      <c r="N452" s="758">
        <v>0</v>
      </c>
      <c r="O452" s="758">
        <v>0</v>
      </c>
      <c r="P452" s="758">
        <v>0</v>
      </c>
      <c r="Q452" s="758">
        <v>0</v>
      </c>
      <c r="R452" s="758">
        <v>0</v>
      </c>
      <c r="S452" s="758">
        <v>0</v>
      </c>
      <c r="T452" s="758">
        <v>0</v>
      </c>
      <c r="U452" s="758">
        <v>0</v>
      </c>
      <c r="V452" s="758">
        <v>0</v>
      </c>
      <c r="W452" s="758">
        <v>0</v>
      </c>
      <c r="X452" s="758">
        <v>0</v>
      </c>
      <c r="Y452" s="758">
        <v>0</v>
      </c>
      <c r="Z452" s="758">
        <v>0</v>
      </c>
      <c r="AA452" s="641">
        <v>0</v>
      </c>
      <c r="AB452" s="758">
        <v>0</v>
      </c>
      <c r="AC452" s="653">
        <v>0</v>
      </c>
      <c r="AD452" s="653">
        <v>0</v>
      </c>
      <c r="AE452" s="727">
        <v>0</v>
      </c>
    </row>
    <row r="453" spans="1:31" hidden="1" x14ac:dyDescent="0.25">
      <c r="A453" s="757" t="s">
        <v>1012</v>
      </c>
      <c r="B453" s="651" t="s">
        <v>1013</v>
      </c>
      <c r="C453" s="635">
        <f t="shared" si="37"/>
        <v>0</v>
      </c>
      <c r="D453" s="635">
        <f t="shared" si="38"/>
        <v>1233.23</v>
      </c>
      <c r="E453" s="635">
        <f t="shared" si="39"/>
        <v>0</v>
      </c>
      <c r="F453" s="635">
        <f t="shared" si="40"/>
        <v>0</v>
      </c>
      <c r="G453" s="635">
        <f t="shared" si="41"/>
        <v>144119.41484848486</v>
      </c>
      <c r="H453" s="758">
        <v>0</v>
      </c>
      <c r="I453" s="758">
        <v>0</v>
      </c>
      <c r="J453" s="758">
        <v>0</v>
      </c>
      <c r="K453" s="758">
        <v>0</v>
      </c>
      <c r="L453" s="758">
        <v>0</v>
      </c>
      <c r="M453" s="758">
        <v>0</v>
      </c>
      <c r="N453" s="758">
        <v>1233.23</v>
      </c>
      <c r="O453" s="758">
        <v>0</v>
      </c>
      <c r="P453" s="758">
        <v>0</v>
      </c>
      <c r="Q453" s="758">
        <v>0</v>
      </c>
      <c r="R453" s="758">
        <v>0</v>
      </c>
      <c r="S453" s="758">
        <v>0</v>
      </c>
      <c r="T453" s="758">
        <v>0</v>
      </c>
      <c r="U453" s="758">
        <v>0</v>
      </c>
      <c r="V453" s="758">
        <v>0</v>
      </c>
      <c r="W453" s="758">
        <v>0</v>
      </c>
      <c r="X453" s="758">
        <v>2851.28</v>
      </c>
      <c r="Y453" s="758">
        <v>28606.09</v>
      </c>
      <c r="Z453" s="758">
        <v>8994</v>
      </c>
      <c r="AA453" s="641">
        <v>103668.04484848485</v>
      </c>
      <c r="AB453" s="758">
        <v>0.37030303028586786</v>
      </c>
      <c r="AC453" s="653">
        <v>145352.64484848484</v>
      </c>
      <c r="AD453" s="653">
        <v>81271.86</v>
      </c>
      <c r="AE453" s="727">
        <v>-64080.78</v>
      </c>
    </row>
    <row r="454" spans="1:31" hidden="1" x14ac:dyDescent="0.25">
      <c r="A454" s="664" t="s">
        <v>1014</v>
      </c>
      <c r="B454" s="756" t="s">
        <v>1015</v>
      </c>
      <c r="C454" s="635">
        <f t="shared" ref="C454:C517" si="42">SUM(H454:K454)</f>
        <v>0</v>
      </c>
      <c r="D454" s="635">
        <f t="shared" ref="D454:D517" si="43">SUM(L454:O454)</f>
        <v>75674.94</v>
      </c>
      <c r="E454" s="635">
        <f t="shared" ref="E454:E517" si="44">SUM(P454:S454)</f>
        <v>647702.6399999999</v>
      </c>
      <c r="F454" s="635">
        <f t="shared" ref="F454:F517" si="45">SUM(T454:W454)</f>
        <v>788960.89</v>
      </c>
      <c r="G454" s="635">
        <f t="shared" ref="G454:G517" si="46">SUM(X454:AA454)</f>
        <v>1516796.5866666669</v>
      </c>
      <c r="H454" s="666">
        <v>0</v>
      </c>
      <c r="I454" s="666">
        <v>0</v>
      </c>
      <c r="J454" s="666">
        <v>0</v>
      </c>
      <c r="K454" s="666">
        <v>0</v>
      </c>
      <c r="L454" s="666">
        <v>0</v>
      </c>
      <c r="M454" s="666">
        <v>6812.16</v>
      </c>
      <c r="N454" s="666">
        <v>39770.74</v>
      </c>
      <c r="O454" s="666">
        <v>29092.04</v>
      </c>
      <c r="P454" s="666">
        <v>281195.33</v>
      </c>
      <c r="Q454" s="666">
        <v>22637.53</v>
      </c>
      <c r="R454" s="666">
        <v>232768.84999999998</v>
      </c>
      <c r="S454" s="666">
        <v>111100.93</v>
      </c>
      <c r="T454" s="666">
        <v>368722.75</v>
      </c>
      <c r="U454" s="666">
        <v>130405.9</v>
      </c>
      <c r="V454" s="666">
        <v>172143.88999999998</v>
      </c>
      <c r="W454" s="666">
        <v>117688.35</v>
      </c>
      <c r="X454" s="666">
        <v>100737.01000000001</v>
      </c>
      <c r="Y454" s="666">
        <v>89018.06</v>
      </c>
      <c r="Z454" s="666">
        <v>104976.25</v>
      </c>
      <c r="AA454" s="666">
        <v>1222065.2666666668</v>
      </c>
      <c r="AB454" s="666">
        <v>25197.849999999948</v>
      </c>
      <c r="AC454" s="643">
        <v>3029135.0566666666</v>
      </c>
      <c r="AD454" s="643">
        <v>2985229.1900000004</v>
      </c>
      <c r="AE454" s="718">
        <v>-43905.87</v>
      </c>
    </row>
    <row r="455" spans="1:31" hidden="1" x14ac:dyDescent="0.25">
      <c r="A455" s="689" t="s">
        <v>1016</v>
      </c>
      <c r="B455" s="640" t="s">
        <v>1017</v>
      </c>
      <c r="C455" s="635">
        <f t="shared" si="42"/>
        <v>0</v>
      </c>
      <c r="D455" s="635">
        <f t="shared" si="43"/>
        <v>0</v>
      </c>
      <c r="E455" s="635">
        <f t="shared" si="44"/>
        <v>111100.93</v>
      </c>
      <c r="F455" s="635">
        <f t="shared" si="45"/>
        <v>164041.91</v>
      </c>
      <c r="G455" s="635">
        <f t="shared" si="46"/>
        <v>3502.44</v>
      </c>
      <c r="H455" s="648"/>
      <c r="I455" s="648"/>
      <c r="J455" s="648"/>
      <c r="K455" s="648"/>
      <c r="L455" s="648"/>
      <c r="M455" s="648"/>
      <c r="N455" s="648"/>
      <c r="O455" s="648"/>
      <c r="P455" s="648"/>
      <c r="Q455" s="648"/>
      <c r="R455" s="648">
        <v>0</v>
      </c>
      <c r="S455" s="648">
        <v>111100.93</v>
      </c>
      <c r="T455" s="648">
        <v>111205.27</v>
      </c>
      <c r="U455" s="648">
        <v>0</v>
      </c>
      <c r="V455" s="648">
        <v>0</v>
      </c>
      <c r="W455" s="648">
        <v>52836.639999999999</v>
      </c>
      <c r="X455" s="648">
        <v>3502.44</v>
      </c>
      <c r="Y455" s="648">
        <v>0</v>
      </c>
      <c r="Z455" s="648">
        <v>0</v>
      </c>
      <c r="AA455" s="648">
        <v>0</v>
      </c>
      <c r="AB455" s="648">
        <v>0</v>
      </c>
      <c r="AC455" s="643">
        <v>278645.28000000003</v>
      </c>
      <c r="AD455" s="643">
        <v>278645.28000000003</v>
      </c>
      <c r="AE455" s="718">
        <v>0</v>
      </c>
    </row>
    <row r="456" spans="1:31" hidden="1" x14ac:dyDescent="0.25">
      <c r="A456" s="689" t="s">
        <v>1018</v>
      </c>
      <c r="B456" s="640" t="s">
        <v>1019</v>
      </c>
      <c r="C456" s="635">
        <f t="shared" si="42"/>
        <v>0</v>
      </c>
      <c r="D456" s="635">
        <f t="shared" si="43"/>
        <v>0</v>
      </c>
      <c r="E456" s="635">
        <f t="shared" si="44"/>
        <v>98914.5</v>
      </c>
      <c r="F456" s="635">
        <f t="shared" si="45"/>
        <v>0</v>
      </c>
      <c r="G456" s="635">
        <f t="shared" si="46"/>
        <v>0</v>
      </c>
      <c r="H456" s="648"/>
      <c r="I456" s="648"/>
      <c r="J456" s="648"/>
      <c r="K456" s="648"/>
      <c r="L456" s="648"/>
      <c r="M456" s="648"/>
      <c r="N456" s="648"/>
      <c r="O456" s="648"/>
      <c r="P456" s="648"/>
      <c r="Q456" s="648"/>
      <c r="R456" s="648">
        <v>98914.5</v>
      </c>
      <c r="S456" s="648">
        <v>0</v>
      </c>
      <c r="T456" s="648">
        <v>0</v>
      </c>
      <c r="U456" s="648">
        <v>0</v>
      </c>
      <c r="V456" s="648">
        <v>0</v>
      </c>
      <c r="W456" s="648">
        <v>0</v>
      </c>
      <c r="X456" s="648">
        <v>0</v>
      </c>
      <c r="Y456" s="648">
        <v>0</v>
      </c>
      <c r="Z456" s="648">
        <v>0</v>
      </c>
      <c r="AA456" s="648">
        <v>0</v>
      </c>
      <c r="AB456" s="648">
        <v>9604.5200000000041</v>
      </c>
      <c r="AC456" s="643">
        <v>98914.5</v>
      </c>
      <c r="AD456" s="643">
        <v>108519.02</v>
      </c>
      <c r="AE456" s="718">
        <v>9604.52</v>
      </c>
    </row>
    <row r="457" spans="1:31" hidden="1" x14ac:dyDescent="0.25">
      <c r="A457" s="689" t="s">
        <v>1020</v>
      </c>
      <c r="B457" s="640" t="s">
        <v>1021</v>
      </c>
      <c r="C457" s="635">
        <f t="shared" si="42"/>
        <v>0</v>
      </c>
      <c r="D457" s="635">
        <f t="shared" si="43"/>
        <v>0</v>
      </c>
      <c r="E457" s="635">
        <f t="shared" si="44"/>
        <v>112697.65999999999</v>
      </c>
      <c r="F457" s="635">
        <f t="shared" si="45"/>
        <v>235794.7</v>
      </c>
      <c r="G457" s="635">
        <f t="shared" si="46"/>
        <v>172764.03</v>
      </c>
      <c r="H457" s="648"/>
      <c r="I457" s="648"/>
      <c r="J457" s="648"/>
      <c r="K457" s="648"/>
      <c r="L457" s="648"/>
      <c r="M457" s="648"/>
      <c r="N457" s="648"/>
      <c r="O457" s="648"/>
      <c r="P457" s="648"/>
      <c r="Q457" s="648"/>
      <c r="R457" s="648">
        <v>112697.65999999999</v>
      </c>
      <c r="S457" s="648">
        <v>0</v>
      </c>
      <c r="T457" s="648">
        <v>172159.7</v>
      </c>
      <c r="U457" s="648">
        <v>0</v>
      </c>
      <c r="V457" s="648">
        <v>63635</v>
      </c>
      <c r="W457" s="648">
        <v>0</v>
      </c>
      <c r="X457" s="648">
        <v>0</v>
      </c>
      <c r="Y457" s="648">
        <v>0</v>
      </c>
      <c r="Z457" s="648">
        <v>77184</v>
      </c>
      <c r="AA457" s="648">
        <v>95580.03</v>
      </c>
      <c r="AB457" s="648">
        <v>0.70999999999185093</v>
      </c>
      <c r="AC457" s="643">
        <v>521256.39</v>
      </c>
      <c r="AD457" s="643">
        <v>520943.92</v>
      </c>
      <c r="AE457" s="718">
        <v>-312.47000000000003</v>
      </c>
    </row>
    <row r="458" spans="1:31" hidden="1" x14ac:dyDescent="0.25">
      <c r="A458" s="689" t="s">
        <v>1022</v>
      </c>
      <c r="B458" s="640" t="s">
        <v>1023</v>
      </c>
      <c r="C458" s="635">
        <f t="shared" si="42"/>
        <v>0</v>
      </c>
      <c r="D458" s="635">
        <f t="shared" si="43"/>
        <v>0</v>
      </c>
      <c r="E458" s="635">
        <f t="shared" si="44"/>
        <v>0</v>
      </c>
      <c r="F458" s="635">
        <f t="shared" si="45"/>
        <v>166902.88</v>
      </c>
      <c r="G458" s="635">
        <f t="shared" si="46"/>
        <v>213435.88</v>
      </c>
      <c r="H458" s="648"/>
      <c r="I458" s="648"/>
      <c r="J458" s="648"/>
      <c r="K458" s="648"/>
      <c r="L458" s="648"/>
      <c r="M458" s="648"/>
      <c r="N458" s="648"/>
      <c r="O458" s="648"/>
      <c r="P458" s="648"/>
      <c r="Q458" s="648"/>
      <c r="R458" s="648">
        <v>0</v>
      </c>
      <c r="S458" s="648">
        <v>0</v>
      </c>
      <c r="T458" s="648">
        <v>0</v>
      </c>
      <c r="U458" s="648">
        <v>0</v>
      </c>
      <c r="V458" s="648">
        <v>102051.17</v>
      </c>
      <c r="W458" s="648">
        <v>64851.71</v>
      </c>
      <c r="X458" s="648">
        <v>63.64</v>
      </c>
      <c r="Y458" s="648">
        <v>0</v>
      </c>
      <c r="Z458" s="657">
        <v>21638.45</v>
      </c>
      <c r="AA458" s="648">
        <v>191733.79</v>
      </c>
      <c r="AB458" s="648">
        <v>9438.4400000000314</v>
      </c>
      <c r="AC458" s="643">
        <v>380338.76</v>
      </c>
      <c r="AD458" s="643">
        <v>386564.5</v>
      </c>
      <c r="AE458" s="718">
        <v>6225.74</v>
      </c>
    </row>
    <row r="459" spans="1:31" hidden="1" x14ac:dyDescent="0.25">
      <c r="A459" s="689" t="s">
        <v>1024</v>
      </c>
      <c r="B459" s="640" t="s">
        <v>1025</v>
      </c>
      <c r="C459" s="635">
        <f t="shared" si="42"/>
        <v>0</v>
      </c>
      <c r="D459" s="635">
        <f t="shared" si="43"/>
        <v>0</v>
      </c>
      <c r="E459" s="635">
        <f t="shared" si="44"/>
        <v>0</v>
      </c>
      <c r="F459" s="635">
        <f t="shared" si="45"/>
        <v>7398</v>
      </c>
      <c r="G459" s="635">
        <f t="shared" si="46"/>
        <v>0</v>
      </c>
      <c r="H459" s="648"/>
      <c r="I459" s="648"/>
      <c r="J459" s="648"/>
      <c r="K459" s="648"/>
      <c r="L459" s="648"/>
      <c r="M459" s="648"/>
      <c r="N459" s="648"/>
      <c r="O459" s="648"/>
      <c r="P459" s="648"/>
      <c r="Q459" s="648"/>
      <c r="R459" s="648">
        <v>0</v>
      </c>
      <c r="S459" s="648">
        <v>0</v>
      </c>
      <c r="T459" s="648">
        <v>0</v>
      </c>
      <c r="U459" s="648">
        <v>7398</v>
      </c>
      <c r="V459" s="648">
        <v>0</v>
      </c>
      <c r="W459" s="648">
        <v>0</v>
      </c>
      <c r="X459" s="648">
        <v>0</v>
      </c>
      <c r="Y459" s="648">
        <v>0</v>
      </c>
      <c r="Z459" s="648">
        <v>0</v>
      </c>
      <c r="AA459" s="648">
        <v>0</v>
      </c>
      <c r="AB459" s="648">
        <v>0</v>
      </c>
      <c r="AC459" s="643">
        <v>7398</v>
      </c>
      <c r="AD459" s="643">
        <v>7398.26</v>
      </c>
      <c r="AE459" s="718">
        <v>0.26</v>
      </c>
    </row>
    <row r="460" spans="1:31" ht="25.5" hidden="1" x14ac:dyDescent="0.25">
      <c r="A460" s="689" t="s">
        <v>1310</v>
      </c>
      <c r="B460" s="640" t="s">
        <v>1026</v>
      </c>
      <c r="C460" s="635">
        <f t="shared" si="42"/>
        <v>0</v>
      </c>
      <c r="D460" s="635">
        <f t="shared" si="43"/>
        <v>0</v>
      </c>
      <c r="E460" s="635">
        <f t="shared" si="44"/>
        <v>0</v>
      </c>
      <c r="F460" s="635">
        <f t="shared" si="45"/>
        <v>0</v>
      </c>
      <c r="G460" s="635">
        <f t="shared" si="46"/>
        <v>412936.14999999997</v>
      </c>
      <c r="H460" s="648"/>
      <c r="I460" s="648"/>
      <c r="J460" s="648"/>
      <c r="K460" s="648"/>
      <c r="L460" s="648"/>
      <c r="M460" s="648"/>
      <c r="N460" s="648"/>
      <c r="O460" s="648"/>
      <c r="P460" s="648"/>
      <c r="Q460" s="648"/>
      <c r="R460" s="648">
        <v>0</v>
      </c>
      <c r="S460" s="648">
        <v>0</v>
      </c>
      <c r="T460" s="648">
        <v>0</v>
      </c>
      <c r="U460" s="648">
        <v>0</v>
      </c>
      <c r="V460" s="648">
        <v>0</v>
      </c>
      <c r="W460" s="648">
        <v>0</v>
      </c>
      <c r="X460" s="648">
        <v>63565.56</v>
      </c>
      <c r="Y460" s="648">
        <v>78278.06</v>
      </c>
      <c r="Z460" s="657">
        <v>6153.8</v>
      </c>
      <c r="AA460" s="648">
        <v>264938.73</v>
      </c>
      <c r="AB460" s="648">
        <v>6153.7999999999884</v>
      </c>
      <c r="AC460" s="643">
        <v>412936.14999999997</v>
      </c>
      <c r="AD460" s="643">
        <v>418951.69999999995</v>
      </c>
      <c r="AE460" s="718">
        <v>6015.55</v>
      </c>
    </row>
    <row r="461" spans="1:31" hidden="1" x14ac:dyDescent="0.25">
      <c r="A461" s="689" t="s">
        <v>1239</v>
      </c>
      <c r="B461" s="640" t="s">
        <v>1027</v>
      </c>
      <c r="C461" s="635">
        <f t="shared" si="42"/>
        <v>0</v>
      </c>
      <c r="D461" s="635">
        <f t="shared" si="43"/>
        <v>0</v>
      </c>
      <c r="E461" s="635">
        <f t="shared" si="44"/>
        <v>0</v>
      </c>
      <c r="F461" s="635">
        <f t="shared" si="45"/>
        <v>96777.98000000001</v>
      </c>
      <c r="G461" s="635">
        <f t="shared" si="46"/>
        <v>0</v>
      </c>
      <c r="H461" s="648"/>
      <c r="I461" s="648"/>
      <c r="J461" s="648"/>
      <c r="K461" s="648"/>
      <c r="L461" s="648"/>
      <c r="M461" s="648"/>
      <c r="N461" s="648"/>
      <c r="O461" s="648"/>
      <c r="P461" s="648"/>
      <c r="Q461" s="648"/>
      <c r="R461" s="648">
        <v>0</v>
      </c>
      <c r="S461" s="648">
        <v>0</v>
      </c>
      <c r="T461" s="648">
        <v>72908.98000000001</v>
      </c>
      <c r="U461" s="648">
        <v>23869</v>
      </c>
      <c r="V461" s="648">
        <v>0</v>
      </c>
      <c r="W461" s="648">
        <v>0</v>
      </c>
      <c r="X461" s="648">
        <v>0</v>
      </c>
      <c r="Y461" s="648">
        <v>0</v>
      </c>
      <c r="Z461" s="648">
        <v>0</v>
      </c>
      <c r="AA461" s="641">
        <v>0</v>
      </c>
      <c r="AB461" s="648">
        <v>0</v>
      </c>
      <c r="AC461" s="643">
        <v>96777.98</v>
      </c>
      <c r="AD461" s="643">
        <v>96777.98</v>
      </c>
      <c r="AE461" s="718">
        <v>0</v>
      </c>
    </row>
    <row r="462" spans="1:31" hidden="1" x14ac:dyDescent="0.25">
      <c r="A462" s="689" t="s">
        <v>1028</v>
      </c>
      <c r="B462" s="640" t="s">
        <v>1029</v>
      </c>
      <c r="C462" s="635">
        <f t="shared" si="42"/>
        <v>0</v>
      </c>
      <c r="D462" s="635">
        <f t="shared" si="43"/>
        <v>0</v>
      </c>
      <c r="E462" s="635">
        <f t="shared" si="44"/>
        <v>0</v>
      </c>
      <c r="F462" s="635">
        <f t="shared" si="45"/>
        <v>-0.30000000000291038</v>
      </c>
      <c r="G462" s="635">
        <f t="shared" si="46"/>
        <v>33605.370000000003</v>
      </c>
      <c r="H462" s="648"/>
      <c r="I462" s="648"/>
      <c r="J462" s="648"/>
      <c r="K462" s="648"/>
      <c r="L462" s="648"/>
      <c r="M462" s="648"/>
      <c r="N462" s="648"/>
      <c r="O462" s="648"/>
      <c r="P462" s="648"/>
      <c r="Q462" s="648"/>
      <c r="R462" s="648">
        <v>0</v>
      </c>
      <c r="S462" s="648">
        <v>0</v>
      </c>
      <c r="T462" s="648">
        <v>0</v>
      </c>
      <c r="U462" s="648">
        <v>-0.30000000000291038</v>
      </c>
      <c r="V462" s="648">
        <v>0</v>
      </c>
      <c r="W462" s="648">
        <v>0</v>
      </c>
      <c r="X462" s="648">
        <v>33605.370000000003</v>
      </c>
      <c r="Y462" s="648">
        <v>0</v>
      </c>
      <c r="Z462" s="648">
        <v>0</v>
      </c>
      <c r="AA462" s="641">
        <v>0</v>
      </c>
      <c r="AB462" s="648">
        <v>0</v>
      </c>
      <c r="AC462" s="643">
        <v>33605.07</v>
      </c>
      <c r="AD462" s="643">
        <v>33605.07</v>
      </c>
      <c r="AE462" s="718">
        <v>0</v>
      </c>
    </row>
    <row r="463" spans="1:31" hidden="1" x14ac:dyDescent="0.25">
      <c r="A463" s="689" t="s">
        <v>1030</v>
      </c>
      <c r="B463" s="640" t="s">
        <v>1031</v>
      </c>
      <c r="C463" s="635">
        <f t="shared" si="42"/>
        <v>0</v>
      </c>
      <c r="D463" s="635">
        <f t="shared" si="43"/>
        <v>0</v>
      </c>
      <c r="E463" s="635">
        <f t="shared" si="44"/>
        <v>0</v>
      </c>
      <c r="F463" s="635">
        <f t="shared" si="45"/>
        <v>79157</v>
      </c>
      <c r="G463" s="635">
        <f t="shared" si="46"/>
        <v>0</v>
      </c>
      <c r="H463" s="648"/>
      <c r="I463" s="648"/>
      <c r="J463" s="648"/>
      <c r="K463" s="648"/>
      <c r="L463" s="648"/>
      <c r="M463" s="648"/>
      <c r="N463" s="648"/>
      <c r="O463" s="648"/>
      <c r="P463" s="648"/>
      <c r="Q463" s="648"/>
      <c r="R463" s="648">
        <v>0</v>
      </c>
      <c r="S463" s="648">
        <v>0</v>
      </c>
      <c r="T463" s="648">
        <v>0</v>
      </c>
      <c r="U463" s="648">
        <v>79157</v>
      </c>
      <c r="V463" s="648">
        <v>0</v>
      </c>
      <c r="W463" s="648">
        <v>0</v>
      </c>
      <c r="X463" s="648">
        <v>0</v>
      </c>
      <c r="Y463" s="648">
        <v>0</v>
      </c>
      <c r="Z463" s="648">
        <v>0</v>
      </c>
      <c r="AA463" s="641">
        <v>0</v>
      </c>
      <c r="AB463" s="648">
        <v>0.30000000000291038</v>
      </c>
      <c r="AC463" s="643">
        <v>79157</v>
      </c>
      <c r="AD463" s="643">
        <v>79157.3</v>
      </c>
      <c r="AE463" s="718">
        <v>0.3</v>
      </c>
    </row>
    <row r="464" spans="1:31" hidden="1" x14ac:dyDescent="0.25">
      <c r="A464" s="689" t="s">
        <v>1240</v>
      </c>
      <c r="B464" s="640" t="s">
        <v>1032</v>
      </c>
      <c r="C464" s="635">
        <f t="shared" si="42"/>
        <v>0</v>
      </c>
      <c r="D464" s="635">
        <f t="shared" si="43"/>
        <v>0</v>
      </c>
      <c r="E464" s="635">
        <f t="shared" si="44"/>
        <v>0</v>
      </c>
      <c r="F464" s="635">
        <f t="shared" si="45"/>
        <v>12449</v>
      </c>
      <c r="G464" s="635">
        <f t="shared" si="46"/>
        <v>0</v>
      </c>
      <c r="H464" s="648"/>
      <c r="I464" s="648"/>
      <c r="J464" s="648"/>
      <c r="K464" s="648"/>
      <c r="L464" s="648"/>
      <c r="M464" s="648"/>
      <c r="N464" s="648"/>
      <c r="O464" s="648"/>
      <c r="P464" s="648"/>
      <c r="Q464" s="648"/>
      <c r="R464" s="648">
        <v>0</v>
      </c>
      <c r="S464" s="648">
        <v>0</v>
      </c>
      <c r="T464" s="648">
        <v>12448.8</v>
      </c>
      <c r="U464" s="648">
        <v>0.2000000000007276</v>
      </c>
      <c r="V464" s="648">
        <v>0</v>
      </c>
      <c r="W464" s="648">
        <v>0</v>
      </c>
      <c r="X464" s="648">
        <v>0</v>
      </c>
      <c r="Y464" s="648">
        <v>0</v>
      </c>
      <c r="Z464" s="648">
        <v>0</v>
      </c>
      <c r="AA464" s="641">
        <v>0</v>
      </c>
      <c r="AB464" s="648">
        <v>0</v>
      </c>
      <c r="AC464" s="643">
        <v>12449</v>
      </c>
      <c r="AD464" s="643">
        <v>12449</v>
      </c>
      <c r="AE464" s="718">
        <v>0</v>
      </c>
    </row>
    <row r="465" spans="1:31" hidden="1" x14ac:dyDescent="0.25">
      <c r="A465" s="689" t="s">
        <v>1033</v>
      </c>
      <c r="B465" s="640" t="s">
        <v>1034</v>
      </c>
      <c r="C465" s="635">
        <f t="shared" si="42"/>
        <v>0</v>
      </c>
      <c r="D465" s="635">
        <f t="shared" si="43"/>
        <v>0</v>
      </c>
      <c r="E465" s="635">
        <f t="shared" si="44"/>
        <v>0</v>
      </c>
      <c r="F465" s="635">
        <f t="shared" si="45"/>
        <v>19982</v>
      </c>
      <c r="G465" s="635">
        <f t="shared" si="46"/>
        <v>10740</v>
      </c>
      <c r="H465" s="648"/>
      <c r="I465" s="648"/>
      <c r="J465" s="648"/>
      <c r="K465" s="648"/>
      <c r="L465" s="648"/>
      <c r="M465" s="648"/>
      <c r="N465" s="648"/>
      <c r="O465" s="648"/>
      <c r="P465" s="648"/>
      <c r="Q465" s="648"/>
      <c r="R465" s="648">
        <v>0</v>
      </c>
      <c r="S465" s="648">
        <v>0</v>
      </c>
      <c r="T465" s="648">
        <v>0</v>
      </c>
      <c r="U465" s="648">
        <v>19982</v>
      </c>
      <c r="V465" s="648">
        <v>0</v>
      </c>
      <c r="W465" s="648">
        <v>0</v>
      </c>
      <c r="X465" s="648">
        <v>0</v>
      </c>
      <c r="Y465" s="648">
        <v>10740</v>
      </c>
      <c r="Z465" s="648">
        <v>0</v>
      </c>
      <c r="AA465" s="641">
        <v>0</v>
      </c>
      <c r="AB465" s="648">
        <v>0</v>
      </c>
      <c r="AC465" s="643">
        <v>30722</v>
      </c>
      <c r="AD465" s="643">
        <v>30722</v>
      </c>
      <c r="AE465" s="718">
        <v>0</v>
      </c>
    </row>
    <row r="466" spans="1:31" ht="25.5" hidden="1" x14ac:dyDescent="0.25">
      <c r="A466" s="689" t="s">
        <v>1241</v>
      </c>
      <c r="B466" s="640" t="s">
        <v>1035</v>
      </c>
      <c r="C466" s="635">
        <f t="shared" si="42"/>
        <v>0</v>
      </c>
      <c r="D466" s="635">
        <f t="shared" si="43"/>
        <v>0</v>
      </c>
      <c r="E466" s="635">
        <f t="shared" si="44"/>
        <v>0</v>
      </c>
      <c r="F466" s="635">
        <f t="shared" si="45"/>
        <v>0</v>
      </c>
      <c r="G466" s="635">
        <f t="shared" si="46"/>
        <v>626499.03</v>
      </c>
      <c r="H466" s="648"/>
      <c r="I466" s="648"/>
      <c r="J466" s="648"/>
      <c r="K466" s="648"/>
      <c r="L466" s="648"/>
      <c r="M466" s="648"/>
      <c r="N466" s="648"/>
      <c r="O466" s="648"/>
      <c r="P466" s="648"/>
      <c r="Q466" s="648"/>
      <c r="R466" s="648">
        <v>0</v>
      </c>
      <c r="S466" s="648">
        <v>0</v>
      </c>
      <c r="T466" s="648">
        <v>0</v>
      </c>
      <c r="U466" s="648">
        <v>0</v>
      </c>
      <c r="V466" s="648">
        <v>0</v>
      </c>
      <c r="W466" s="648">
        <v>0</v>
      </c>
      <c r="X466" s="648">
        <v>0</v>
      </c>
      <c r="Y466" s="648">
        <v>0</v>
      </c>
      <c r="Z466" s="657">
        <v>0</v>
      </c>
      <c r="AA466" s="641">
        <v>626499.03</v>
      </c>
      <c r="AB466" s="648">
        <v>-0.45000000006984919</v>
      </c>
      <c r="AC466" s="643">
        <v>626499.03</v>
      </c>
      <c r="AD466" s="643">
        <v>600000</v>
      </c>
      <c r="AE466" s="718">
        <v>-26499.03</v>
      </c>
    </row>
    <row r="467" spans="1:31" hidden="1" x14ac:dyDescent="0.25">
      <c r="A467" s="689" t="s">
        <v>1036</v>
      </c>
      <c r="B467" s="640" t="s">
        <v>1037</v>
      </c>
      <c r="C467" s="635">
        <f t="shared" si="42"/>
        <v>0</v>
      </c>
      <c r="D467" s="635">
        <f t="shared" si="43"/>
        <v>0</v>
      </c>
      <c r="E467" s="635">
        <f t="shared" si="44"/>
        <v>400665</v>
      </c>
      <c r="F467" s="635">
        <f t="shared" si="45"/>
        <v>6457.72</v>
      </c>
      <c r="G467" s="635">
        <f t="shared" si="46"/>
        <v>43313.686666666676</v>
      </c>
      <c r="H467" s="648"/>
      <c r="I467" s="648"/>
      <c r="J467" s="648"/>
      <c r="K467" s="648"/>
      <c r="L467" s="648"/>
      <c r="M467" s="648"/>
      <c r="N467" s="648"/>
      <c r="O467" s="648"/>
      <c r="P467" s="648"/>
      <c r="Q467" s="648"/>
      <c r="R467" s="648">
        <v>400665</v>
      </c>
      <c r="S467" s="648">
        <v>0</v>
      </c>
      <c r="T467" s="648">
        <v>0</v>
      </c>
      <c r="U467" s="648">
        <v>0</v>
      </c>
      <c r="V467" s="648">
        <v>6457.72</v>
      </c>
      <c r="W467" s="648">
        <v>0</v>
      </c>
      <c r="X467" s="648">
        <v>0</v>
      </c>
      <c r="Y467" s="648">
        <v>0</v>
      </c>
      <c r="Z467" s="648">
        <v>0</v>
      </c>
      <c r="AA467" s="641">
        <v>43313.686666666676</v>
      </c>
      <c r="AB467" s="648">
        <v>0.52999999999883585</v>
      </c>
      <c r="AC467" s="643">
        <v>450436.40666666662</v>
      </c>
      <c r="AD467" s="643">
        <v>411495.16</v>
      </c>
      <c r="AE467" s="718">
        <v>-38941.25</v>
      </c>
    </row>
    <row r="468" spans="1:31" hidden="1" x14ac:dyDescent="0.25">
      <c r="A468" s="664" t="s">
        <v>1038</v>
      </c>
      <c r="B468" s="756" t="s">
        <v>1039</v>
      </c>
      <c r="C468" s="635">
        <f t="shared" si="42"/>
        <v>0</v>
      </c>
      <c r="D468" s="635">
        <f t="shared" si="43"/>
        <v>0</v>
      </c>
      <c r="E468" s="635">
        <f t="shared" si="44"/>
        <v>335920</v>
      </c>
      <c r="F468" s="635">
        <f t="shared" si="45"/>
        <v>0</v>
      </c>
      <c r="G468" s="635">
        <f t="shared" si="46"/>
        <v>0</v>
      </c>
      <c r="H468" s="666">
        <v>0</v>
      </c>
      <c r="I468" s="666">
        <v>0</v>
      </c>
      <c r="J468" s="666">
        <v>0</v>
      </c>
      <c r="K468" s="666">
        <v>0</v>
      </c>
      <c r="L468" s="666">
        <v>0</v>
      </c>
      <c r="M468" s="666">
        <v>0</v>
      </c>
      <c r="N468" s="666">
        <v>0</v>
      </c>
      <c r="O468" s="666">
        <v>0</v>
      </c>
      <c r="P468" s="666">
        <v>0</v>
      </c>
      <c r="Q468" s="666">
        <v>83980</v>
      </c>
      <c r="R468" s="666">
        <v>167960</v>
      </c>
      <c r="S468" s="666">
        <v>83980</v>
      </c>
      <c r="T468" s="666">
        <v>0</v>
      </c>
      <c r="U468" s="666">
        <v>0</v>
      </c>
      <c r="V468" s="666">
        <v>0</v>
      </c>
      <c r="W468" s="666">
        <v>0</v>
      </c>
      <c r="X468" s="666">
        <v>0</v>
      </c>
      <c r="Y468" s="666">
        <v>0</v>
      </c>
      <c r="Z468" s="666">
        <v>0</v>
      </c>
      <c r="AA468" s="666">
        <v>0</v>
      </c>
      <c r="AB468" s="666">
        <v>0</v>
      </c>
      <c r="AC468" s="643">
        <v>335920</v>
      </c>
      <c r="AD468" s="643">
        <v>335920</v>
      </c>
      <c r="AE468" s="718">
        <v>0</v>
      </c>
    </row>
    <row r="469" spans="1:31" hidden="1" x14ac:dyDescent="0.25">
      <c r="A469" s="667" t="s">
        <v>1040</v>
      </c>
      <c r="B469" s="756" t="s">
        <v>1041</v>
      </c>
      <c r="C469" s="635">
        <f t="shared" si="42"/>
        <v>0</v>
      </c>
      <c r="D469" s="635">
        <f t="shared" si="43"/>
        <v>0</v>
      </c>
      <c r="E469" s="635">
        <f t="shared" si="44"/>
        <v>0</v>
      </c>
      <c r="F469" s="635">
        <f t="shared" si="45"/>
        <v>0</v>
      </c>
      <c r="G469" s="635">
        <f t="shared" si="46"/>
        <v>2620404.62</v>
      </c>
      <c r="H469" s="666">
        <v>0</v>
      </c>
      <c r="I469" s="666">
        <v>0</v>
      </c>
      <c r="J469" s="666">
        <v>0</v>
      </c>
      <c r="K469" s="666">
        <v>0</v>
      </c>
      <c r="L469" s="666">
        <v>0</v>
      </c>
      <c r="M469" s="666">
        <v>0</v>
      </c>
      <c r="N469" s="666">
        <v>0</v>
      </c>
      <c r="O469" s="666">
        <v>0</v>
      </c>
      <c r="P469" s="666">
        <v>0</v>
      </c>
      <c r="Q469" s="666">
        <v>0</v>
      </c>
      <c r="R469" s="666">
        <v>0</v>
      </c>
      <c r="S469" s="666">
        <v>0</v>
      </c>
      <c r="T469" s="666">
        <v>0</v>
      </c>
      <c r="U469" s="666">
        <v>0</v>
      </c>
      <c r="V469" s="666">
        <v>0</v>
      </c>
      <c r="W469" s="666">
        <v>0</v>
      </c>
      <c r="X469" s="666">
        <v>0</v>
      </c>
      <c r="Y469" s="666">
        <v>0</v>
      </c>
      <c r="Z469" s="759">
        <v>0</v>
      </c>
      <c r="AA469" s="666">
        <v>2620404.62</v>
      </c>
      <c r="AB469" s="666">
        <v>0.32000000029802322</v>
      </c>
      <c r="AC469" s="643">
        <v>2620404.62</v>
      </c>
      <c r="AD469" s="643">
        <v>2010000</v>
      </c>
      <c r="AE469" s="718">
        <v>-610404.62</v>
      </c>
    </row>
    <row r="470" spans="1:31" hidden="1" x14ac:dyDescent="0.25">
      <c r="A470" s="708" t="s">
        <v>1042</v>
      </c>
      <c r="B470" s="760" t="s">
        <v>1043</v>
      </c>
      <c r="C470" s="635">
        <f t="shared" si="42"/>
        <v>0</v>
      </c>
      <c r="D470" s="635">
        <f t="shared" si="43"/>
        <v>0</v>
      </c>
      <c r="E470" s="635">
        <f t="shared" si="44"/>
        <v>222061.99000000002</v>
      </c>
      <c r="F470" s="635">
        <f t="shared" si="45"/>
        <v>309338</v>
      </c>
      <c r="G470" s="635">
        <f t="shared" si="46"/>
        <v>0</v>
      </c>
      <c r="H470" s="638">
        <v>0</v>
      </c>
      <c r="I470" s="638">
        <v>0</v>
      </c>
      <c r="J470" s="638">
        <v>0</v>
      </c>
      <c r="K470" s="638">
        <v>0</v>
      </c>
      <c r="L470" s="638">
        <v>0</v>
      </c>
      <c r="M470" s="638">
        <v>0</v>
      </c>
      <c r="N470" s="638">
        <v>0</v>
      </c>
      <c r="O470" s="638">
        <v>0</v>
      </c>
      <c r="P470" s="638">
        <v>222259.1</v>
      </c>
      <c r="Q470" s="638">
        <v>-197.11</v>
      </c>
      <c r="R470" s="638">
        <v>0</v>
      </c>
      <c r="S470" s="638">
        <v>0</v>
      </c>
      <c r="T470" s="638">
        <v>0</v>
      </c>
      <c r="U470" s="638">
        <v>87080</v>
      </c>
      <c r="V470" s="638">
        <v>222258</v>
      </c>
      <c r="W470" s="638">
        <v>0</v>
      </c>
      <c r="X470" s="638">
        <v>0</v>
      </c>
      <c r="Y470" s="638">
        <v>0</v>
      </c>
      <c r="Z470" s="638">
        <v>0</v>
      </c>
      <c r="AA470" s="636">
        <v>0</v>
      </c>
      <c r="AB470" s="638">
        <v>0</v>
      </c>
      <c r="AC470" s="638">
        <v>531399.99</v>
      </c>
      <c r="AD470" s="638">
        <v>531399.99</v>
      </c>
      <c r="AE470" s="638">
        <v>0</v>
      </c>
    </row>
    <row r="471" spans="1:31" hidden="1" x14ac:dyDescent="0.25">
      <c r="A471" s="708" t="s">
        <v>1044</v>
      </c>
      <c r="B471" s="701" t="s">
        <v>1045</v>
      </c>
      <c r="C471" s="635">
        <f t="shared" si="42"/>
        <v>0</v>
      </c>
      <c r="D471" s="635">
        <f t="shared" si="43"/>
        <v>229165.55999999997</v>
      </c>
      <c r="E471" s="635">
        <f t="shared" si="44"/>
        <v>990602.22000000009</v>
      </c>
      <c r="F471" s="635">
        <f t="shared" si="45"/>
        <v>141900.64000000001</v>
      </c>
      <c r="G471" s="635">
        <f t="shared" si="46"/>
        <v>0</v>
      </c>
      <c r="H471" s="662">
        <v>0</v>
      </c>
      <c r="I471" s="662">
        <v>0</v>
      </c>
      <c r="J471" s="662">
        <v>0</v>
      </c>
      <c r="K471" s="662">
        <v>0</v>
      </c>
      <c r="L471" s="662">
        <v>0</v>
      </c>
      <c r="M471" s="662">
        <v>0</v>
      </c>
      <c r="N471" s="662">
        <v>56648.77</v>
      </c>
      <c r="O471" s="662">
        <v>172516.78999999998</v>
      </c>
      <c r="P471" s="662">
        <v>465782.30000000005</v>
      </c>
      <c r="Q471" s="663">
        <v>10187.42</v>
      </c>
      <c r="R471" s="662">
        <v>440666.66000000003</v>
      </c>
      <c r="S471" s="662">
        <v>73965.84</v>
      </c>
      <c r="T471" s="662">
        <v>0</v>
      </c>
      <c r="U471" s="662">
        <v>141900.64000000001</v>
      </c>
      <c r="V471" s="662">
        <v>0</v>
      </c>
      <c r="W471" s="662">
        <v>0</v>
      </c>
      <c r="X471" s="662">
        <v>0</v>
      </c>
      <c r="Y471" s="662">
        <v>0</v>
      </c>
      <c r="Z471" s="662">
        <v>0</v>
      </c>
      <c r="AA471" s="636">
        <v>0</v>
      </c>
      <c r="AB471" s="662">
        <v>0</v>
      </c>
      <c r="AC471" s="638">
        <v>1361668.42</v>
      </c>
      <c r="AD471" s="662">
        <v>1361668.42</v>
      </c>
      <c r="AE471" s="638">
        <v>0</v>
      </c>
    </row>
    <row r="472" spans="1:31" hidden="1" x14ac:dyDescent="0.25">
      <c r="A472" s="664" t="s">
        <v>1046</v>
      </c>
      <c r="B472" s="756" t="s">
        <v>1047</v>
      </c>
      <c r="C472" s="635">
        <f t="shared" si="42"/>
        <v>0</v>
      </c>
      <c r="D472" s="635">
        <f t="shared" si="43"/>
        <v>143450.66</v>
      </c>
      <c r="E472" s="635">
        <f t="shared" si="44"/>
        <v>939434.09</v>
      </c>
      <c r="F472" s="635">
        <f t="shared" si="45"/>
        <v>141900.64000000001</v>
      </c>
      <c r="G472" s="635">
        <f t="shared" si="46"/>
        <v>0</v>
      </c>
      <c r="H472" s="666">
        <v>0</v>
      </c>
      <c r="I472" s="666">
        <v>0</v>
      </c>
      <c r="J472" s="666">
        <v>0</v>
      </c>
      <c r="K472" s="666">
        <v>0</v>
      </c>
      <c r="L472" s="666">
        <v>0</v>
      </c>
      <c r="M472" s="666">
        <v>0</v>
      </c>
      <c r="N472" s="666">
        <v>56648.77</v>
      </c>
      <c r="O472" s="666">
        <v>86801.89</v>
      </c>
      <c r="P472" s="666">
        <v>424801.59</v>
      </c>
      <c r="Q472" s="666">
        <v>0</v>
      </c>
      <c r="R472" s="666">
        <v>440666.66000000003</v>
      </c>
      <c r="S472" s="666">
        <v>73965.84</v>
      </c>
      <c r="T472" s="666">
        <v>0</v>
      </c>
      <c r="U472" s="666">
        <v>141900.64000000001</v>
      </c>
      <c r="V472" s="666">
        <v>0</v>
      </c>
      <c r="W472" s="666">
        <v>0</v>
      </c>
      <c r="X472" s="666">
        <v>0</v>
      </c>
      <c r="Y472" s="666">
        <v>0</v>
      </c>
      <c r="Z472" s="666">
        <v>0</v>
      </c>
      <c r="AA472" s="666">
        <v>0</v>
      </c>
      <c r="AB472" s="666">
        <v>0</v>
      </c>
      <c r="AC472" s="643">
        <v>1224785.3899999999</v>
      </c>
      <c r="AD472" s="643">
        <v>1224785.3899999999</v>
      </c>
      <c r="AE472" s="718">
        <v>0</v>
      </c>
    </row>
    <row r="473" spans="1:31" hidden="1" x14ac:dyDescent="0.25">
      <c r="A473" s="689" t="s">
        <v>1048</v>
      </c>
      <c r="B473" s="640" t="s">
        <v>1049</v>
      </c>
      <c r="C473" s="635">
        <f t="shared" si="42"/>
        <v>0</v>
      </c>
      <c r="D473" s="635">
        <f t="shared" si="43"/>
        <v>0</v>
      </c>
      <c r="E473" s="635">
        <f t="shared" si="44"/>
        <v>400344.25</v>
      </c>
      <c r="F473" s="635">
        <f t="shared" si="45"/>
        <v>141900.64000000001</v>
      </c>
      <c r="G473" s="635">
        <f t="shared" si="46"/>
        <v>0</v>
      </c>
      <c r="H473" s="641"/>
      <c r="I473" s="641"/>
      <c r="J473" s="641"/>
      <c r="K473" s="641"/>
      <c r="L473" s="641"/>
      <c r="M473" s="641"/>
      <c r="N473" s="641"/>
      <c r="O473" s="641"/>
      <c r="P473" s="641"/>
      <c r="Q473" s="641"/>
      <c r="R473" s="641">
        <v>400344.25</v>
      </c>
      <c r="S473" s="641">
        <v>0</v>
      </c>
      <c r="T473" s="641">
        <v>0</v>
      </c>
      <c r="U473" s="641">
        <v>141900.64000000001</v>
      </c>
      <c r="V473" s="641">
        <v>0</v>
      </c>
      <c r="W473" s="641">
        <v>0</v>
      </c>
      <c r="X473" s="641">
        <v>0</v>
      </c>
      <c r="Y473" s="641">
        <v>0</v>
      </c>
      <c r="Z473" s="641">
        <v>0</v>
      </c>
      <c r="AA473" s="641">
        <v>0</v>
      </c>
      <c r="AB473" s="641">
        <v>0</v>
      </c>
      <c r="AC473" s="643">
        <v>542244.89</v>
      </c>
      <c r="AD473" s="643">
        <v>542244.89</v>
      </c>
      <c r="AE473" s="718">
        <v>0</v>
      </c>
    </row>
    <row r="474" spans="1:31" hidden="1" x14ac:dyDescent="0.25">
      <c r="A474" s="689" t="s">
        <v>1050</v>
      </c>
      <c r="B474" s="640" t="s">
        <v>1051</v>
      </c>
      <c r="C474" s="635">
        <f t="shared" si="42"/>
        <v>0</v>
      </c>
      <c r="D474" s="635">
        <f t="shared" si="43"/>
        <v>0</v>
      </c>
      <c r="E474" s="635">
        <f t="shared" si="44"/>
        <v>300089</v>
      </c>
      <c r="F474" s="635">
        <f t="shared" si="45"/>
        <v>0</v>
      </c>
      <c r="G474" s="635">
        <f t="shared" si="46"/>
        <v>0</v>
      </c>
      <c r="H474" s="641"/>
      <c r="I474" s="641"/>
      <c r="J474" s="641"/>
      <c r="K474" s="641"/>
      <c r="L474" s="641"/>
      <c r="M474" s="641"/>
      <c r="N474" s="641"/>
      <c r="O474" s="641"/>
      <c r="P474" s="641"/>
      <c r="Q474" s="641"/>
      <c r="R474" s="641">
        <v>300089</v>
      </c>
      <c r="S474" s="641">
        <v>0</v>
      </c>
      <c r="T474" s="641">
        <v>0</v>
      </c>
      <c r="U474" s="641">
        <v>0</v>
      </c>
      <c r="V474" s="641">
        <v>0</v>
      </c>
      <c r="W474" s="641">
        <v>0</v>
      </c>
      <c r="X474" s="641">
        <v>0</v>
      </c>
      <c r="Y474" s="641">
        <v>0</v>
      </c>
      <c r="Z474" s="641">
        <v>0</v>
      </c>
      <c r="AA474" s="641">
        <v>0</v>
      </c>
      <c r="AB474" s="641">
        <v>0</v>
      </c>
      <c r="AC474" s="643">
        <v>300089</v>
      </c>
      <c r="AD474" s="643">
        <v>300089</v>
      </c>
      <c r="AE474" s="718">
        <v>0</v>
      </c>
    </row>
    <row r="475" spans="1:31" hidden="1" x14ac:dyDescent="0.25">
      <c r="A475" s="689" t="s">
        <v>1052</v>
      </c>
      <c r="B475" s="640" t="s">
        <v>1053</v>
      </c>
      <c r="C475" s="635">
        <f t="shared" si="42"/>
        <v>0</v>
      </c>
      <c r="D475" s="635">
        <f t="shared" si="43"/>
        <v>0</v>
      </c>
      <c r="E475" s="635">
        <f t="shared" si="44"/>
        <v>289321.83999999997</v>
      </c>
      <c r="F475" s="635">
        <f t="shared" si="45"/>
        <v>0</v>
      </c>
      <c r="G475" s="635">
        <f t="shared" si="46"/>
        <v>0</v>
      </c>
      <c r="H475" s="641"/>
      <c r="I475" s="641"/>
      <c r="J475" s="641"/>
      <c r="K475" s="641"/>
      <c r="L475" s="641"/>
      <c r="M475" s="641"/>
      <c r="N475" s="641"/>
      <c r="O475" s="641"/>
      <c r="P475" s="641"/>
      <c r="Q475" s="641"/>
      <c r="R475" s="641">
        <v>289321.83999999997</v>
      </c>
      <c r="S475" s="641">
        <v>0</v>
      </c>
      <c r="T475" s="641">
        <v>0</v>
      </c>
      <c r="U475" s="641">
        <v>0</v>
      </c>
      <c r="V475" s="641">
        <v>0</v>
      </c>
      <c r="W475" s="641">
        <v>0</v>
      </c>
      <c r="X475" s="641">
        <v>0</v>
      </c>
      <c r="Y475" s="641">
        <v>0</v>
      </c>
      <c r="Z475" s="641">
        <v>0</v>
      </c>
      <c r="AA475" s="641">
        <v>0</v>
      </c>
      <c r="AB475" s="641">
        <v>0</v>
      </c>
      <c r="AC475" s="643">
        <v>289321.84000000003</v>
      </c>
      <c r="AD475" s="643">
        <v>289321.84000000003</v>
      </c>
      <c r="AE475" s="718">
        <v>0</v>
      </c>
    </row>
    <row r="476" spans="1:31" hidden="1" x14ac:dyDescent="0.25">
      <c r="A476" s="689" t="s">
        <v>1054</v>
      </c>
      <c r="B476" s="640" t="s">
        <v>1055</v>
      </c>
      <c r="C476" s="635">
        <f t="shared" si="42"/>
        <v>0</v>
      </c>
      <c r="D476" s="635">
        <f t="shared" si="43"/>
        <v>0</v>
      </c>
      <c r="E476" s="635">
        <f t="shared" si="44"/>
        <v>93129.66</v>
      </c>
      <c r="F476" s="635">
        <f t="shared" si="45"/>
        <v>0</v>
      </c>
      <c r="G476" s="635">
        <f t="shared" si="46"/>
        <v>0</v>
      </c>
      <c r="H476" s="641"/>
      <c r="I476" s="641"/>
      <c r="J476" s="641"/>
      <c r="K476" s="641"/>
      <c r="L476" s="641"/>
      <c r="M476" s="641"/>
      <c r="N476" s="641"/>
      <c r="O476" s="641"/>
      <c r="P476" s="641"/>
      <c r="Q476" s="641"/>
      <c r="R476" s="641">
        <v>19163.82</v>
      </c>
      <c r="S476" s="641">
        <v>73965.84</v>
      </c>
      <c r="T476" s="641">
        <v>0</v>
      </c>
      <c r="U476" s="641">
        <v>0</v>
      </c>
      <c r="V476" s="641">
        <v>0</v>
      </c>
      <c r="W476" s="641">
        <v>0</v>
      </c>
      <c r="X476" s="641">
        <v>0</v>
      </c>
      <c r="Y476" s="641">
        <v>0</v>
      </c>
      <c r="Z476" s="641">
        <v>0</v>
      </c>
      <c r="AA476" s="641">
        <v>0</v>
      </c>
      <c r="AB476" s="641">
        <v>0</v>
      </c>
      <c r="AC476" s="643">
        <v>93129.66</v>
      </c>
      <c r="AD476" s="643">
        <v>93129.66</v>
      </c>
      <c r="AE476" s="718">
        <v>0</v>
      </c>
    </row>
    <row r="477" spans="1:31" hidden="1" x14ac:dyDescent="0.25">
      <c r="A477" s="689" t="s">
        <v>1056</v>
      </c>
      <c r="B477" s="640" t="s">
        <v>1057</v>
      </c>
      <c r="C477" s="635">
        <f t="shared" si="42"/>
        <v>0</v>
      </c>
      <c r="D477" s="635">
        <f t="shared" si="43"/>
        <v>0</v>
      </c>
      <c r="E477" s="635">
        <f t="shared" si="44"/>
        <v>0</v>
      </c>
      <c r="F477" s="635">
        <f t="shared" si="45"/>
        <v>0</v>
      </c>
      <c r="G477" s="635">
        <f t="shared" si="46"/>
        <v>0</v>
      </c>
      <c r="H477" s="641"/>
      <c r="I477" s="641"/>
      <c r="J477" s="641"/>
      <c r="K477" s="641"/>
      <c r="L477" s="641"/>
      <c r="M477" s="641"/>
      <c r="N477" s="641"/>
      <c r="O477" s="641"/>
      <c r="P477" s="641"/>
      <c r="Q477" s="641"/>
      <c r="R477" s="641">
        <v>0</v>
      </c>
      <c r="S477" s="641">
        <v>0</v>
      </c>
      <c r="T477" s="641">
        <v>0</v>
      </c>
      <c r="U477" s="641">
        <v>0</v>
      </c>
      <c r="V477" s="641">
        <v>0</v>
      </c>
      <c r="W477" s="641">
        <v>0</v>
      </c>
      <c r="X477" s="641">
        <v>0</v>
      </c>
      <c r="Y477" s="641">
        <v>0</v>
      </c>
      <c r="Z477" s="641">
        <v>0</v>
      </c>
      <c r="AA477" s="641">
        <v>0</v>
      </c>
      <c r="AB477" s="641">
        <v>0</v>
      </c>
      <c r="AC477" s="643">
        <v>0</v>
      </c>
      <c r="AD477" s="643">
        <v>0</v>
      </c>
      <c r="AE477" s="718">
        <v>0</v>
      </c>
    </row>
    <row r="478" spans="1:31" hidden="1" x14ac:dyDescent="0.25">
      <c r="A478" s="664" t="s">
        <v>1058</v>
      </c>
      <c r="B478" s="756" t="s">
        <v>1059</v>
      </c>
      <c r="C478" s="635">
        <f t="shared" si="42"/>
        <v>0</v>
      </c>
      <c r="D478" s="635">
        <f t="shared" si="43"/>
        <v>85714.9</v>
      </c>
      <c r="E478" s="635">
        <f t="shared" si="44"/>
        <v>51168.13</v>
      </c>
      <c r="F478" s="635">
        <f t="shared" si="45"/>
        <v>0</v>
      </c>
      <c r="G478" s="635">
        <f t="shared" si="46"/>
        <v>0</v>
      </c>
      <c r="H478" s="666">
        <v>0</v>
      </c>
      <c r="I478" s="666">
        <v>0</v>
      </c>
      <c r="J478" s="666">
        <v>0</v>
      </c>
      <c r="K478" s="666">
        <v>0</v>
      </c>
      <c r="L478" s="666">
        <v>0</v>
      </c>
      <c r="M478" s="666">
        <v>0</v>
      </c>
      <c r="N478" s="666">
        <v>0</v>
      </c>
      <c r="O478" s="666">
        <v>85714.9</v>
      </c>
      <c r="P478" s="666">
        <v>40980.71</v>
      </c>
      <c r="Q478" s="666">
        <v>10187.42</v>
      </c>
      <c r="R478" s="666">
        <v>0</v>
      </c>
      <c r="S478" s="666">
        <v>0</v>
      </c>
      <c r="T478" s="666">
        <v>0</v>
      </c>
      <c r="U478" s="666">
        <v>0</v>
      </c>
      <c r="V478" s="666">
        <v>0</v>
      </c>
      <c r="W478" s="666">
        <v>0</v>
      </c>
      <c r="X478" s="666">
        <v>0</v>
      </c>
      <c r="Y478" s="666">
        <v>0</v>
      </c>
      <c r="Z478" s="666">
        <v>0</v>
      </c>
      <c r="AA478" s="666">
        <v>0</v>
      </c>
      <c r="AB478" s="666">
        <v>0</v>
      </c>
      <c r="AC478" s="643">
        <v>136883.03</v>
      </c>
      <c r="AD478" s="643">
        <v>136883.03</v>
      </c>
      <c r="AE478" s="718">
        <v>0</v>
      </c>
    </row>
    <row r="479" spans="1:31" hidden="1" x14ac:dyDescent="0.25">
      <c r="A479" s="689" t="s">
        <v>1060</v>
      </c>
      <c r="B479" s="640" t="s">
        <v>1061</v>
      </c>
      <c r="C479" s="635">
        <f t="shared" si="42"/>
        <v>0</v>
      </c>
      <c r="D479" s="635">
        <f t="shared" si="43"/>
        <v>85714.9</v>
      </c>
      <c r="E479" s="635">
        <f t="shared" si="44"/>
        <v>51168.13</v>
      </c>
      <c r="F479" s="635">
        <f t="shared" si="45"/>
        <v>0</v>
      </c>
      <c r="G479" s="635">
        <f t="shared" si="46"/>
        <v>0</v>
      </c>
      <c r="H479" s="641">
        <v>0</v>
      </c>
      <c r="I479" s="641">
        <v>0</v>
      </c>
      <c r="J479" s="641">
        <v>0</v>
      </c>
      <c r="K479" s="641">
        <v>0</v>
      </c>
      <c r="L479" s="641">
        <v>0</v>
      </c>
      <c r="M479" s="641">
        <v>0</v>
      </c>
      <c r="N479" s="641">
        <v>0</v>
      </c>
      <c r="O479" s="641">
        <v>85714.9</v>
      </c>
      <c r="P479" s="641">
        <v>40980.71</v>
      </c>
      <c r="Q479" s="641">
        <v>10187.42</v>
      </c>
      <c r="R479" s="641">
        <v>0</v>
      </c>
      <c r="S479" s="641">
        <v>0</v>
      </c>
      <c r="T479" s="641">
        <v>0</v>
      </c>
      <c r="U479" s="641">
        <v>0</v>
      </c>
      <c r="V479" s="641">
        <v>0</v>
      </c>
      <c r="W479" s="641">
        <v>0</v>
      </c>
      <c r="X479" s="641">
        <v>0</v>
      </c>
      <c r="Y479" s="641">
        <v>0</v>
      </c>
      <c r="Z479" s="641">
        <v>0</v>
      </c>
      <c r="AA479" s="641">
        <v>0</v>
      </c>
      <c r="AB479" s="641">
        <v>0</v>
      </c>
      <c r="AC479" s="643">
        <v>136883.03</v>
      </c>
      <c r="AD479" s="643">
        <v>136883.03</v>
      </c>
      <c r="AE479" s="718">
        <v>0</v>
      </c>
    </row>
    <row r="480" spans="1:31" hidden="1" x14ac:dyDescent="0.25">
      <c r="A480" s="676" t="s">
        <v>1062</v>
      </c>
      <c r="B480" s="761" t="s">
        <v>1063</v>
      </c>
      <c r="C480" s="635">
        <f t="shared" si="42"/>
        <v>0</v>
      </c>
      <c r="D480" s="635">
        <f t="shared" si="43"/>
        <v>721305.46</v>
      </c>
      <c r="E480" s="635">
        <f t="shared" si="44"/>
        <v>1595572.5299999998</v>
      </c>
      <c r="F480" s="635">
        <f t="shared" si="45"/>
        <v>2968046.96</v>
      </c>
      <c r="G480" s="635">
        <f t="shared" si="46"/>
        <v>1973213.58</v>
      </c>
      <c r="H480" s="662">
        <v>0</v>
      </c>
      <c r="I480" s="662">
        <v>0</v>
      </c>
      <c r="J480" s="662">
        <v>0</v>
      </c>
      <c r="K480" s="662">
        <v>0</v>
      </c>
      <c r="L480" s="662">
        <v>127614.29000000001</v>
      </c>
      <c r="M480" s="662">
        <v>301235.03999999998</v>
      </c>
      <c r="N480" s="662">
        <v>155725.13</v>
      </c>
      <c r="O480" s="662">
        <v>136731</v>
      </c>
      <c r="P480" s="662">
        <v>549719.06999999995</v>
      </c>
      <c r="Q480" s="663">
        <v>407665.11999999994</v>
      </c>
      <c r="R480" s="662">
        <v>152343.04000000001</v>
      </c>
      <c r="S480" s="662">
        <v>485845.29999999993</v>
      </c>
      <c r="T480" s="662">
        <v>1194384.8399999999</v>
      </c>
      <c r="U480" s="662">
        <v>619644.53</v>
      </c>
      <c r="V480" s="662">
        <v>661081.69000000006</v>
      </c>
      <c r="W480" s="662">
        <v>492935.89999999997</v>
      </c>
      <c r="X480" s="662">
        <v>188483.34</v>
      </c>
      <c r="Y480" s="662">
        <v>270241.5</v>
      </c>
      <c r="Z480" s="662">
        <v>96072.75</v>
      </c>
      <c r="AA480" s="636">
        <v>1418415.99</v>
      </c>
      <c r="AB480" s="662">
        <v>-0.26999999998952262</v>
      </c>
      <c r="AC480" s="662">
        <v>7258138.5300000003</v>
      </c>
      <c r="AD480" s="662">
        <v>7234877.0999999996</v>
      </c>
      <c r="AE480" s="638">
        <v>-23261.43</v>
      </c>
    </row>
    <row r="481" spans="1:31" hidden="1" x14ac:dyDescent="0.25">
      <c r="A481" s="664" t="s">
        <v>1064</v>
      </c>
      <c r="B481" s="756" t="s">
        <v>1065</v>
      </c>
      <c r="C481" s="635">
        <f t="shared" si="42"/>
        <v>0</v>
      </c>
      <c r="D481" s="635">
        <f t="shared" si="43"/>
        <v>0</v>
      </c>
      <c r="E481" s="635">
        <f t="shared" si="44"/>
        <v>740846.91999999993</v>
      </c>
      <c r="F481" s="635">
        <f t="shared" si="45"/>
        <v>308308.75999999995</v>
      </c>
      <c r="G481" s="635">
        <f t="shared" si="46"/>
        <v>0</v>
      </c>
      <c r="H481" s="666">
        <v>0</v>
      </c>
      <c r="I481" s="666">
        <v>0</v>
      </c>
      <c r="J481" s="666">
        <v>0</v>
      </c>
      <c r="K481" s="666">
        <v>0</v>
      </c>
      <c r="L481" s="666">
        <v>0</v>
      </c>
      <c r="M481" s="666">
        <v>0</v>
      </c>
      <c r="N481" s="666">
        <v>0</v>
      </c>
      <c r="O481" s="666">
        <v>0</v>
      </c>
      <c r="P481" s="666">
        <v>191480.11</v>
      </c>
      <c r="Q481" s="666">
        <v>204.59</v>
      </c>
      <c r="R481" s="666">
        <v>152343.04000000001</v>
      </c>
      <c r="S481" s="666">
        <v>396819.18</v>
      </c>
      <c r="T481" s="666">
        <v>9.9999999999909051E-2</v>
      </c>
      <c r="U481" s="666">
        <v>265403.17</v>
      </c>
      <c r="V481" s="666">
        <v>0</v>
      </c>
      <c r="W481" s="666">
        <v>42905.49</v>
      </c>
      <c r="X481" s="666">
        <v>0</v>
      </c>
      <c r="Y481" s="666">
        <v>0</v>
      </c>
      <c r="Z481" s="666">
        <v>0</v>
      </c>
      <c r="AA481" s="666">
        <v>0</v>
      </c>
      <c r="AB481" s="666">
        <v>-0.27000000001862645</v>
      </c>
      <c r="AC481" s="643">
        <v>1049155.68</v>
      </c>
      <c r="AD481" s="643">
        <v>1049155.23</v>
      </c>
      <c r="AE481" s="718">
        <v>-0.45</v>
      </c>
    </row>
    <row r="482" spans="1:31" hidden="1" x14ac:dyDescent="0.25">
      <c r="A482" s="762" t="s">
        <v>1066</v>
      </c>
      <c r="B482" s="763" t="s">
        <v>1067</v>
      </c>
      <c r="C482" s="635">
        <f t="shared" si="42"/>
        <v>0</v>
      </c>
      <c r="D482" s="635">
        <f t="shared" si="43"/>
        <v>0</v>
      </c>
      <c r="E482" s="635">
        <f t="shared" si="44"/>
        <v>54614.879999999997</v>
      </c>
      <c r="F482" s="635">
        <f t="shared" si="45"/>
        <v>221271.46</v>
      </c>
      <c r="G482" s="635">
        <f t="shared" si="46"/>
        <v>0</v>
      </c>
      <c r="H482" s="648"/>
      <c r="I482" s="648"/>
      <c r="J482" s="648"/>
      <c r="K482" s="648"/>
      <c r="L482" s="648"/>
      <c r="M482" s="648"/>
      <c r="N482" s="648"/>
      <c r="O482" s="648"/>
      <c r="P482" s="648"/>
      <c r="Q482" s="648"/>
      <c r="R482" s="648">
        <v>54614.879999999997</v>
      </c>
      <c r="S482" s="648">
        <v>0</v>
      </c>
      <c r="T482" s="648">
        <v>0</v>
      </c>
      <c r="U482" s="648">
        <v>221271.46</v>
      </c>
      <c r="V482" s="648">
        <v>0</v>
      </c>
      <c r="W482" s="648">
        <v>0</v>
      </c>
      <c r="X482" s="648">
        <v>0</v>
      </c>
      <c r="Y482" s="648">
        <v>0</v>
      </c>
      <c r="Z482" s="648">
        <v>0</v>
      </c>
      <c r="AA482" s="641">
        <v>0</v>
      </c>
      <c r="AB482" s="648">
        <v>0</v>
      </c>
      <c r="AC482" s="643">
        <v>275886.34000000003</v>
      </c>
      <c r="AD482" s="643">
        <v>275886.34000000003</v>
      </c>
      <c r="AE482" s="718">
        <v>0</v>
      </c>
    </row>
    <row r="483" spans="1:31" hidden="1" x14ac:dyDescent="0.25">
      <c r="A483" s="762" t="s">
        <v>1068</v>
      </c>
      <c r="B483" s="763" t="s">
        <v>1069</v>
      </c>
      <c r="C483" s="635">
        <f t="shared" si="42"/>
        <v>0</v>
      </c>
      <c r="D483" s="635">
        <f t="shared" si="43"/>
        <v>0</v>
      </c>
      <c r="E483" s="635">
        <f t="shared" si="44"/>
        <v>409161.45</v>
      </c>
      <c r="F483" s="635">
        <f t="shared" si="45"/>
        <v>0</v>
      </c>
      <c r="G483" s="635">
        <f t="shared" si="46"/>
        <v>0</v>
      </c>
      <c r="H483" s="648"/>
      <c r="I483" s="648"/>
      <c r="J483" s="648"/>
      <c r="K483" s="648"/>
      <c r="L483" s="648"/>
      <c r="M483" s="648"/>
      <c r="N483" s="648"/>
      <c r="O483" s="648"/>
      <c r="P483" s="648"/>
      <c r="Q483" s="648"/>
      <c r="R483" s="648">
        <v>234977</v>
      </c>
      <c r="S483" s="648">
        <v>174184.45</v>
      </c>
      <c r="T483" s="648">
        <v>0</v>
      </c>
      <c r="U483" s="648">
        <v>0</v>
      </c>
      <c r="V483" s="648">
        <v>0</v>
      </c>
      <c r="W483" s="648">
        <v>0</v>
      </c>
      <c r="X483" s="648">
        <v>0</v>
      </c>
      <c r="Y483" s="648">
        <v>0</v>
      </c>
      <c r="Z483" s="648">
        <v>0</v>
      </c>
      <c r="AA483" s="641">
        <v>0</v>
      </c>
      <c r="AB483" s="648">
        <v>-0.16999999998370185</v>
      </c>
      <c r="AC483" s="643">
        <v>409161.45</v>
      </c>
      <c r="AD483" s="643">
        <v>409161.28</v>
      </c>
      <c r="AE483" s="718">
        <v>-0.17</v>
      </c>
    </row>
    <row r="484" spans="1:31" hidden="1" x14ac:dyDescent="0.25">
      <c r="A484" s="762" t="s">
        <v>1070</v>
      </c>
      <c r="B484" s="763" t="s">
        <v>1071</v>
      </c>
      <c r="C484" s="635">
        <f t="shared" si="42"/>
        <v>0</v>
      </c>
      <c r="D484" s="635">
        <f t="shared" si="43"/>
        <v>0</v>
      </c>
      <c r="E484" s="635">
        <f t="shared" si="44"/>
        <v>277070.40999999997</v>
      </c>
      <c r="F484" s="635">
        <f t="shared" si="45"/>
        <v>9.9999999999909051E-2</v>
      </c>
      <c r="G484" s="635">
        <f t="shared" si="46"/>
        <v>0</v>
      </c>
      <c r="H484" s="648"/>
      <c r="I484" s="648"/>
      <c r="J484" s="648"/>
      <c r="K484" s="648"/>
      <c r="L484" s="648"/>
      <c r="M484" s="648"/>
      <c r="N484" s="648"/>
      <c r="O484" s="648"/>
      <c r="P484" s="648"/>
      <c r="Q484" s="648"/>
      <c r="R484" s="648">
        <v>54435.68</v>
      </c>
      <c r="S484" s="648">
        <v>222634.72999999998</v>
      </c>
      <c r="T484" s="648">
        <v>9.9999999999909051E-2</v>
      </c>
      <c r="U484" s="648">
        <v>0</v>
      </c>
      <c r="V484" s="648">
        <v>0</v>
      </c>
      <c r="W484" s="648">
        <v>0</v>
      </c>
      <c r="X484" s="648">
        <v>0</v>
      </c>
      <c r="Y484" s="648">
        <v>0</v>
      </c>
      <c r="Z484" s="648">
        <v>0</v>
      </c>
      <c r="AA484" s="641">
        <v>0</v>
      </c>
      <c r="AB484" s="648">
        <v>-0.1000000000349246</v>
      </c>
      <c r="AC484" s="643">
        <v>277070.51</v>
      </c>
      <c r="AD484" s="643">
        <v>277070.40999999997</v>
      </c>
      <c r="AE484" s="718">
        <v>-0.1</v>
      </c>
    </row>
    <row r="485" spans="1:31" hidden="1" x14ac:dyDescent="0.25">
      <c r="A485" s="762" t="s">
        <v>1242</v>
      </c>
      <c r="B485" s="763" t="s">
        <v>1072</v>
      </c>
      <c r="C485" s="635">
        <f t="shared" si="42"/>
        <v>0</v>
      </c>
      <c r="D485" s="635">
        <f t="shared" si="43"/>
        <v>0</v>
      </c>
      <c r="E485" s="635">
        <f t="shared" si="44"/>
        <v>0</v>
      </c>
      <c r="F485" s="635">
        <f t="shared" si="45"/>
        <v>87037.2</v>
      </c>
      <c r="G485" s="635">
        <f t="shared" si="46"/>
        <v>0</v>
      </c>
      <c r="H485" s="648"/>
      <c r="I485" s="648"/>
      <c r="J485" s="648"/>
      <c r="K485" s="648"/>
      <c r="L485" s="648"/>
      <c r="M485" s="648"/>
      <c r="N485" s="648"/>
      <c r="O485" s="648"/>
      <c r="P485" s="648"/>
      <c r="Q485" s="648"/>
      <c r="R485" s="648"/>
      <c r="S485" s="648">
        <v>0</v>
      </c>
      <c r="T485" s="648">
        <v>0</v>
      </c>
      <c r="U485" s="648">
        <v>44131.71</v>
      </c>
      <c r="V485" s="648">
        <v>0</v>
      </c>
      <c r="W485" s="648">
        <v>42905.49</v>
      </c>
      <c r="X485" s="648">
        <v>0</v>
      </c>
      <c r="Y485" s="648">
        <v>0</v>
      </c>
      <c r="Z485" s="648">
        <v>0</v>
      </c>
      <c r="AA485" s="641">
        <v>0</v>
      </c>
      <c r="AB485" s="648">
        <v>0</v>
      </c>
      <c r="AC485" s="643">
        <v>87037.2</v>
      </c>
      <c r="AD485" s="643">
        <v>87037.2</v>
      </c>
      <c r="AE485" s="718">
        <v>0</v>
      </c>
    </row>
    <row r="486" spans="1:31" hidden="1" x14ac:dyDescent="0.25">
      <c r="A486" s="664" t="s">
        <v>1073</v>
      </c>
      <c r="B486" s="756" t="s">
        <v>1074</v>
      </c>
      <c r="C486" s="635">
        <f t="shared" si="42"/>
        <v>0</v>
      </c>
      <c r="D486" s="635">
        <f t="shared" si="43"/>
        <v>721305.46</v>
      </c>
      <c r="E486" s="635">
        <f t="shared" si="44"/>
        <v>854725.61</v>
      </c>
      <c r="F486" s="635">
        <f t="shared" si="45"/>
        <v>2659738.2000000002</v>
      </c>
      <c r="G486" s="635">
        <f t="shared" si="46"/>
        <v>1967994.6400000001</v>
      </c>
      <c r="H486" s="666">
        <v>0</v>
      </c>
      <c r="I486" s="666">
        <v>0</v>
      </c>
      <c r="J486" s="666">
        <v>0</v>
      </c>
      <c r="K486" s="666">
        <v>0</v>
      </c>
      <c r="L486" s="666">
        <v>127614.29000000001</v>
      </c>
      <c r="M486" s="666">
        <v>301235.03999999998</v>
      </c>
      <c r="N486" s="666">
        <v>155725.13</v>
      </c>
      <c r="O486" s="666">
        <v>136731</v>
      </c>
      <c r="P486" s="666">
        <v>358238.96</v>
      </c>
      <c r="Q486" s="681">
        <v>407460.52999999997</v>
      </c>
      <c r="R486" s="666">
        <v>0</v>
      </c>
      <c r="S486" s="666">
        <v>89026.12</v>
      </c>
      <c r="T486" s="666">
        <v>1194384.74</v>
      </c>
      <c r="U486" s="666">
        <v>354241.36</v>
      </c>
      <c r="V486" s="666">
        <v>661081.69000000006</v>
      </c>
      <c r="W486" s="666">
        <v>450030.41</v>
      </c>
      <c r="X486" s="666">
        <v>188483.34</v>
      </c>
      <c r="Y486" s="666">
        <v>270241.5</v>
      </c>
      <c r="Z486" s="666">
        <v>96072.75</v>
      </c>
      <c r="AA486" s="666">
        <v>1413197.05</v>
      </c>
      <c r="AB486" s="666">
        <v>2.9103830456733704E-11</v>
      </c>
      <c r="AC486" s="643">
        <v>6203763.9100000001</v>
      </c>
      <c r="AD486" s="643">
        <v>6185721.8700000001</v>
      </c>
      <c r="AE486" s="718">
        <v>-18042.04</v>
      </c>
    </row>
    <row r="487" spans="1:31" hidden="1" x14ac:dyDescent="0.25">
      <c r="A487" s="762" t="s">
        <v>1075</v>
      </c>
      <c r="B487" s="763" t="s">
        <v>1076</v>
      </c>
      <c r="C487" s="635">
        <f t="shared" si="42"/>
        <v>0</v>
      </c>
      <c r="D487" s="635">
        <f t="shared" si="43"/>
        <v>136731</v>
      </c>
      <c r="E487" s="635">
        <f t="shared" si="44"/>
        <v>614472.74</v>
      </c>
      <c r="F487" s="635">
        <f t="shared" si="45"/>
        <v>1754391.39</v>
      </c>
      <c r="G487" s="635">
        <f t="shared" si="46"/>
        <v>1268157.3700000001</v>
      </c>
      <c r="H487" s="648">
        <v>0</v>
      </c>
      <c r="I487" s="648">
        <v>0</v>
      </c>
      <c r="J487" s="648">
        <v>0</v>
      </c>
      <c r="K487" s="648">
        <v>0</v>
      </c>
      <c r="L487" s="648">
        <v>0</v>
      </c>
      <c r="M487" s="648">
        <v>0</v>
      </c>
      <c r="N487" s="648">
        <v>0</v>
      </c>
      <c r="O487" s="648">
        <v>136731</v>
      </c>
      <c r="P487" s="648">
        <v>307294.06</v>
      </c>
      <c r="Q487" s="648">
        <v>307178.68</v>
      </c>
      <c r="R487" s="648">
        <v>0</v>
      </c>
      <c r="S487" s="648">
        <v>0</v>
      </c>
      <c r="T487" s="648">
        <v>1027031.94</v>
      </c>
      <c r="U487" s="648">
        <v>354241.36</v>
      </c>
      <c r="V487" s="648">
        <v>0</v>
      </c>
      <c r="W487" s="648">
        <v>373118.09</v>
      </c>
      <c r="X487" s="648">
        <v>165668.31</v>
      </c>
      <c r="Y487" s="648">
        <v>270241.5</v>
      </c>
      <c r="Z487" s="648">
        <v>27981.1</v>
      </c>
      <c r="AA487" s="641">
        <v>804266.46000000008</v>
      </c>
      <c r="AB487" s="648">
        <v>0</v>
      </c>
      <c r="AC487" s="643">
        <v>3773752.5</v>
      </c>
      <c r="AD487" s="643">
        <v>3773752.5</v>
      </c>
      <c r="AE487" s="718">
        <v>0</v>
      </c>
    </row>
    <row r="488" spans="1:31" hidden="1" x14ac:dyDescent="0.25">
      <c r="A488" s="762" t="s">
        <v>1077</v>
      </c>
      <c r="B488" s="763" t="s">
        <v>1078</v>
      </c>
      <c r="C488" s="635">
        <f t="shared" si="42"/>
        <v>0</v>
      </c>
      <c r="D488" s="635">
        <f t="shared" si="43"/>
        <v>0</v>
      </c>
      <c r="E488" s="635">
        <f t="shared" si="44"/>
        <v>0</v>
      </c>
      <c r="F488" s="635">
        <f t="shared" si="45"/>
        <v>90955.47</v>
      </c>
      <c r="G488" s="635">
        <f t="shared" si="46"/>
        <v>154606.88</v>
      </c>
      <c r="H488" s="648">
        <v>0</v>
      </c>
      <c r="I488" s="648">
        <v>0</v>
      </c>
      <c r="J488" s="648">
        <v>0</v>
      </c>
      <c r="K488" s="648">
        <v>0</v>
      </c>
      <c r="L488" s="648">
        <v>0</v>
      </c>
      <c r="M488" s="648">
        <v>0</v>
      </c>
      <c r="N488" s="648">
        <v>0</v>
      </c>
      <c r="O488" s="648">
        <v>0</v>
      </c>
      <c r="P488" s="648">
        <v>0</v>
      </c>
      <c r="Q488" s="648">
        <v>0</v>
      </c>
      <c r="R488" s="648">
        <v>0</v>
      </c>
      <c r="S488" s="648">
        <v>0</v>
      </c>
      <c r="T488" s="648">
        <v>0</v>
      </c>
      <c r="U488" s="648">
        <v>0</v>
      </c>
      <c r="V488" s="648">
        <v>45447.27</v>
      </c>
      <c r="W488" s="648">
        <v>45508.2</v>
      </c>
      <c r="X488" s="648">
        <v>22815.03</v>
      </c>
      <c r="Y488" s="648">
        <v>0</v>
      </c>
      <c r="Z488" s="657">
        <v>68091.649999999994</v>
      </c>
      <c r="AA488" s="641">
        <v>63700.2</v>
      </c>
      <c r="AB488" s="648">
        <v>2.9103830456733704E-11</v>
      </c>
      <c r="AC488" s="643">
        <v>245562.34999999998</v>
      </c>
      <c r="AD488" s="643">
        <v>227541</v>
      </c>
      <c r="AE488" s="718">
        <v>-18021.349999999999</v>
      </c>
    </row>
    <row r="489" spans="1:31" hidden="1" x14ac:dyDescent="0.25">
      <c r="A489" s="762" t="s">
        <v>1079</v>
      </c>
      <c r="B489" s="764" t="s">
        <v>1080</v>
      </c>
      <c r="C489" s="635">
        <f t="shared" si="42"/>
        <v>0</v>
      </c>
      <c r="D489" s="635">
        <f t="shared" si="43"/>
        <v>584574.46</v>
      </c>
      <c r="E489" s="635">
        <f t="shared" si="44"/>
        <v>240252.87</v>
      </c>
      <c r="F489" s="635">
        <f t="shared" si="45"/>
        <v>768681.60000000009</v>
      </c>
      <c r="G489" s="635">
        <f t="shared" si="46"/>
        <v>536080.07000000007</v>
      </c>
      <c r="H489" s="648">
        <v>0</v>
      </c>
      <c r="I489" s="648">
        <v>0</v>
      </c>
      <c r="J489" s="648">
        <v>0</v>
      </c>
      <c r="K489" s="648">
        <v>0</v>
      </c>
      <c r="L489" s="648">
        <v>127614.29000000001</v>
      </c>
      <c r="M489" s="648">
        <v>301235.03999999998</v>
      </c>
      <c r="N489" s="648">
        <v>155725.13</v>
      </c>
      <c r="O489" s="648">
        <v>0</v>
      </c>
      <c r="P489" s="648">
        <v>50944.9</v>
      </c>
      <c r="Q489" s="648">
        <v>100281.84999999999</v>
      </c>
      <c r="R489" s="648">
        <v>0</v>
      </c>
      <c r="S489" s="648">
        <v>89026.12</v>
      </c>
      <c r="T489" s="648">
        <v>167352.79999999999</v>
      </c>
      <c r="U489" s="648">
        <v>0</v>
      </c>
      <c r="V489" s="648">
        <v>601328.80000000005</v>
      </c>
      <c r="W489" s="648">
        <v>0</v>
      </c>
      <c r="X489" s="648">
        <v>0</v>
      </c>
      <c r="Y489" s="648">
        <v>0</v>
      </c>
      <c r="Z489" s="657">
        <v>0</v>
      </c>
      <c r="AA489" s="641">
        <v>536080.07000000007</v>
      </c>
      <c r="AB489" s="648">
        <v>0</v>
      </c>
      <c r="AC489" s="643">
        <v>2129589</v>
      </c>
      <c r="AD489" s="643">
        <v>2129589</v>
      </c>
      <c r="AE489" s="718">
        <v>0</v>
      </c>
    </row>
    <row r="490" spans="1:31" hidden="1" x14ac:dyDescent="0.25">
      <c r="A490" s="762" t="s">
        <v>1081</v>
      </c>
      <c r="B490" s="764" t="s">
        <v>1082</v>
      </c>
      <c r="C490" s="635">
        <f t="shared" si="42"/>
        <v>0</v>
      </c>
      <c r="D490" s="635">
        <f t="shared" si="43"/>
        <v>0</v>
      </c>
      <c r="E490" s="635">
        <f t="shared" si="44"/>
        <v>0</v>
      </c>
      <c r="F490" s="635">
        <f t="shared" si="45"/>
        <v>45709.74</v>
      </c>
      <c r="G490" s="635">
        <f t="shared" si="46"/>
        <v>0</v>
      </c>
      <c r="H490" s="648">
        <v>0</v>
      </c>
      <c r="I490" s="648">
        <v>0</v>
      </c>
      <c r="J490" s="648">
        <v>0</v>
      </c>
      <c r="K490" s="648">
        <v>0</v>
      </c>
      <c r="L490" s="648">
        <v>0</v>
      </c>
      <c r="M490" s="648">
        <v>0</v>
      </c>
      <c r="N490" s="648">
        <v>0</v>
      </c>
      <c r="O490" s="648">
        <v>0</v>
      </c>
      <c r="P490" s="648">
        <v>0</v>
      </c>
      <c r="Q490" s="648">
        <v>0</v>
      </c>
      <c r="R490" s="648">
        <v>0</v>
      </c>
      <c r="S490" s="648">
        <v>0</v>
      </c>
      <c r="T490" s="648">
        <v>0</v>
      </c>
      <c r="U490" s="648">
        <v>0</v>
      </c>
      <c r="V490" s="648">
        <v>14305.62</v>
      </c>
      <c r="W490" s="648">
        <v>31404.12</v>
      </c>
      <c r="X490" s="648">
        <v>0</v>
      </c>
      <c r="Y490" s="648">
        <v>0</v>
      </c>
      <c r="Z490" s="648">
        <v>0</v>
      </c>
      <c r="AA490" s="641">
        <v>0</v>
      </c>
      <c r="AB490" s="648">
        <v>0</v>
      </c>
      <c r="AC490" s="643">
        <v>45709.74</v>
      </c>
      <c r="AD490" s="643">
        <v>45709.74</v>
      </c>
      <c r="AE490" s="718">
        <v>0</v>
      </c>
    </row>
    <row r="491" spans="1:31" hidden="1" x14ac:dyDescent="0.25">
      <c r="A491" s="762" t="s">
        <v>1243</v>
      </c>
      <c r="B491" s="764" t="s">
        <v>1083</v>
      </c>
      <c r="C491" s="635">
        <f t="shared" si="42"/>
        <v>0</v>
      </c>
      <c r="D491" s="635">
        <f t="shared" si="43"/>
        <v>0</v>
      </c>
      <c r="E491" s="635">
        <f t="shared" si="44"/>
        <v>0</v>
      </c>
      <c r="F491" s="635">
        <f t="shared" si="45"/>
        <v>0</v>
      </c>
      <c r="G491" s="635">
        <f t="shared" si="46"/>
        <v>9150.32</v>
      </c>
      <c r="H491" s="648">
        <v>0</v>
      </c>
      <c r="I491" s="648">
        <v>0</v>
      </c>
      <c r="J491" s="648">
        <v>0</v>
      </c>
      <c r="K491" s="648">
        <v>0</v>
      </c>
      <c r="L491" s="648">
        <v>0</v>
      </c>
      <c r="M491" s="648">
        <v>0</v>
      </c>
      <c r="N491" s="648">
        <v>0</v>
      </c>
      <c r="O491" s="648">
        <v>0</v>
      </c>
      <c r="P491" s="648">
        <v>0</v>
      </c>
      <c r="Q491" s="648">
        <v>0</v>
      </c>
      <c r="R491" s="648">
        <v>0</v>
      </c>
      <c r="S491" s="648">
        <v>0</v>
      </c>
      <c r="T491" s="648">
        <v>0</v>
      </c>
      <c r="U491" s="648">
        <v>0</v>
      </c>
      <c r="V491" s="648">
        <v>0</v>
      </c>
      <c r="W491" s="648">
        <v>0</v>
      </c>
      <c r="X491" s="648">
        <v>0</v>
      </c>
      <c r="Y491" s="648">
        <v>0</v>
      </c>
      <c r="Z491" s="648">
        <v>0</v>
      </c>
      <c r="AA491" s="641">
        <v>9150.32</v>
      </c>
      <c r="AB491" s="648">
        <v>0</v>
      </c>
      <c r="AC491" s="643">
        <v>9150.32</v>
      </c>
      <c r="AD491" s="643">
        <v>9129.6299999999992</v>
      </c>
      <c r="AE491" s="718">
        <v>-20.69</v>
      </c>
    </row>
    <row r="492" spans="1:31" hidden="1" x14ac:dyDescent="0.25">
      <c r="A492" s="658" t="s">
        <v>481</v>
      </c>
      <c r="B492" s="659">
        <v>0</v>
      </c>
      <c r="C492" s="635">
        <f t="shared" si="42"/>
        <v>0</v>
      </c>
      <c r="D492" s="635">
        <f t="shared" si="43"/>
        <v>0</v>
      </c>
      <c r="E492" s="635">
        <f t="shared" si="44"/>
        <v>0</v>
      </c>
      <c r="F492" s="635">
        <f t="shared" si="45"/>
        <v>0</v>
      </c>
      <c r="G492" s="635">
        <f t="shared" si="46"/>
        <v>0</v>
      </c>
      <c r="H492" s="660">
        <v>0</v>
      </c>
      <c r="I492" s="660">
        <v>0</v>
      </c>
      <c r="J492" s="660">
        <v>0</v>
      </c>
      <c r="K492" s="660">
        <v>0</v>
      </c>
      <c r="L492" s="660">
        <v>0</v>
      </c>
      <c r="M492" s="660">
        <v>0</v>
      </c>
      <c r="N492" s="660">
        <v>0</v>
      </c>
      <c r="O492" s="660">
        <v>0</v>
      </c>
      <c r="P492" s="660">
        <v>0</v>
      </c>
      <c r="Q492" s="660">
        <v>0</v>
      </c>
      <c r="R492" s="660">
        <v>0</v>
      </c>
      <c r="S492" s="660">
        <v>0</v>
      </c>
      <c r="T492" s="660">
        <v>0</v>
      </c>
      <c r="U492" s="660">
        <v>0</v>
      </c>
      <c r="V492" s="660">
        <v>0</v>
      </c>
      <c r="W492" s="660">
        <v>0</v>
      </c>
      <c r="X492" s="660">
        <v>0</v>
      </c>
      <c r="Y492" s="660">
        <v>0</v>
      </c>
      <c r="Z492" s="660">
        <v>0</v>
      </c>
      <c r="AA492" s="661">
        <v>0</v>
      </c>
      <c r="AB492" s="660"/>
      <c r="AC492" s="647">
        <v>0</v>
      </c>
      <c r="AD492" s="647">
        <v>0</v>
      </c>
      <c r="AE492" s="643">
        <v>0</v>
      </c>
    </row>
    <row r="493" spans="1:31" ht="25.5" hidden="1" x14ac:dyDescent="0.25">
      <c r="A493" s="658" t="s">
        <v>482</v>
      </c>
      <c r="B493" s="659">
        <v>0</v>
      </c>
      <c r="C493" s="635">
        <f t="shared" si="42"/>
        <v>0</v>
      </c>
      <c r="D493" s="635">
        <f t="shared" si="43"/>
        <v>0</v>
      </c>
      <c r="E493" s="635">
        <f t="shared" si="44"/>
        <v>0</v>
      </c>
      <c r="F493" s="635">
        <f t="shared" si="45"/>
        <v>0</v>
      </c>
      <c r="G493" s="635">
        <f t="shared" si="46"/>
        <v>0</v>
      </c>
      <c r="H493" s="660">
        <v>0</v>
      </c>
      <c r="I493" s="660">
        <v>0</v>
      </c>
      <c r="J493" s="660">
        <v>0</v>
      </c>
      <c r="K493" s="660">
        <v>0</v>
      </c>
      <c r="L493" s="660">
        <v>0</v>
      </c>
      <c r="M493" s="660">
        <v>0</v>
      </c>
      <c r="N493" s="660">
        <v>0</v>
      </c>
      <c r="O493" s="660">
        <v>0</v>
      </c>
      <c r="P493" s="660">
        <v>0</v>
      </c>
      <c r="Q493" s="660">
        <v>0</v>
      </c>
      <c r="R493" s="660">
        <v>0</v>
      </c>
      <c r="S493" s="660">
        <v>0</v>
      </c>
      <c r="T493" s="660">
        <v>0</v>
      </c>
      <c r="U493" s="660">
        <v>0</v>
      </c>
      <c r="V493" s="660">
        <v>0</v>
      </c>
      <c r="W493" s="660">
        <v>0</v>
      </c>
      <c r="X493" s="660">
        <v>0</v>
      </c>
      <c r="Y493" s="660">
        <v>0</v>
      </c>
      <c r="Z493" s="660">
        <v>0</v>
      </c>
      <c r="AA493" s="661">
        <v>0</v>
      </c>
      <c r="AB493" s="660">
        <v>0</v>
      </c>
      <c r="AC493" s="647">
        <v>0</v>
      </c>
      <c r="AD493" s="647">
        <v>0</v>
      </c>
      <c r="AE493" s="643">
        <v>0</v>
      </c>
    </row>
    <row r="494" spans="1:31" hidden="1" x14ac:dyDescent="0.25">
      <c r="A494" s="658" t="s">
        <v>483</v>
      </c>
      <c r="B494" s="659"/>
      <c r="C494" s="635">
        <f t="shared" si="42"/>
        <v>0</v>
      </c>
      <c r="D494" s="635">
        <f t="shared" si="43"/>
        <v>0</v>
      </c>
      <c r="E494" s="635">
        <f t="shared" si="44"/>
        <v>0</v>
      </c>
      <c r="F494" s="635">
        <f t="shared" si="45"/>
        <v>0</v>
      </c>
      <c r="G494" s="635">
        <f t="shared" si="46"/>
        <v>5218.9399999999996</v>
      </c>
      <c r="H494" s="660">
        <v>0</v>
      </c>
      <c r="I494" s="660">
        <v>0</v>
      </c>
      <c r="J494" s="660">
        <v>0</v>
      </c>
      <c r="K494" s="660">
        <v>0</v>
      </c>
      <c r="L494" s="660">
        <v>0</v>
      </c>
      <c r="M494" s="660">
        <v>0</v>
      </c>
      <c r="N494" s="660">
        <v>0</v>
      </c>
      <c r="O494" s="660">
        <v>0</v>
      </c>
      <c r="P494" s="660">
        <v>0</v>
      </c>
      <c r="Q494" s="660">
        <v>0</v>
      </c>
      <c r="R494" s="660">
        <v>0</v>
      </c>
      <c r="S494" s="660">
        <v>0</v>
      </c>
      <c r="T494" s="660">
        <v>0</v>
      </c>
      <c r="U494" s="660">
        <v>0</v>
      </c>
      <c r="V494" s="660">
        <v>0</v>
      </c>
      <c r="W494" s="660">
        <v>0</v>
      </c>
      <c r="X494" s="660">
        <v>0</v>
      </c>
      <c r="Y494" s="660">
        <v>0</v>
      </c>
      <c r="Z494" s="660">
        <v>0</v>
      </c>
      <c r="AA494" s="661">
        <v>5218.9399999999996</v>
      </c>
      <c r="AB494" s="660"/>
      <c r="AC494" s="647">
        <v>5218.9399999999996</v>
      </c>
      <c r="AD494" s="647">
        <v>139071.87</v>
      </c>
      <c r="AE494" s="643">
        <v>133852.93</v>
      </c>
    </row>
    <row r="495" spans="1:31" x14ac:dyDescent="0.25">
      <c r="A495" s="765" t="s">
        <v>1084</v>
      </c>
      <c r="B495" s="766">
        <v>0</v>
      </c>
      <c r="C495" s="635">
        <f t="shared" si="42"/>
        <v>52480.54</v>
      </c>
      <c r="D495" s="635">
        <f t="shared" si="43"/>
        <v>1414840.12</v>
      </c>
      <c r="E495" s="635">
        <f t="shared" si="44"/>
        <v>3977263.4499999997</v>
      </c>
      <c r="F495" s="635">
        <f t="shared" si="45"/>
        <v>4280333.4000000004</v>
      </c>
      <c r="G495" s="635">
        <f t="shared" si="46"/>
        <v>6530228.6890909094</v>
      </c>
      <c r="H495" s="697">
        <v>0</v>
      </c>
      <c r="I495" s="697">
        <v>0</v>
      </c>
      <c r="J495" s="697">
        <v>52480.54</v>
      </c>
      <c r="K495" s="697">
        <v>0</v>
      </c>
      <c r="L495" s="697">
        <v>127614.29000000001</v>
      </c>
      <c r="M495" s="697">
        <v>410493.69999999995</v>
      </c>
      <c r="N495" s="697">
        <v>306608.12</v>
      </c>
      <c r="O495" s="697">
        <v>570124.01</v>
      </c>
      <c r="P495" s="697">
        <v>1599773.56</v>
      </c>
      <c r="Q495" s="711">
        <v>588379.49</v>
      </c>
      <c r="R495" s="697">
        <v>1028495.55</v>
      </c>
      <c r="S495" s="697">
        <v>760614.85</v>
      </c>
      <c r="T495" s="697">
        <v>1565210.12</v>
      </c>
      <c r="U495" s="697">
        <v>979031.07</v>
      </c>
      <c r="V495" s="697">
        <v>1075415.58</v>
      </c>
      <c r="W495" s="697">
        <v>660676.63</v>
      </c>
      <c r="X495" s="697">
        <v>311664.8</v>
      </c>
      <c r="Y495" s="697">
        <v>408130.44</v>
      </c>
      <c r="Z495" s="697">
        <v>241563.58</v>
      </c>
      <c r="AA495" s="697">
        <v>5568869.8690909091</v>
      </c>
      <c r="AB495" s="697">
        <v>25197.230303030494</v>
      </c>
      <c r="AC495" s="697">
        <v>16255146.199090909</v>
      </c>
      <c r="AD495" s="697">
        <v>15564617.26</v>
      </c>
      <c r="AE495" s="697">
        <v>-690528.94</v>
      </c>
    </row>
    <row r="496" spans="1:31" x14ac:dyDescent="0.25">
      <c r="A496" s="699" t="s">
        <v>1085</v>
      </c>
      <c r="B496" s="700"/>
      <c r="C496" s="635">
        <f t="shared" si="42"/>
        <v>0</v>
      </c>
      <c r="D496" s="635">
        <f t="shared" si="43"/>
        <v>0</v>
      </c>
      <c r="E496" s="635">
        <f t="shared" si="44"/>
        <v>0</v>
      </c>
      <c r="F496" s="635">
        <f t="shared" si="45"/>
        <v>0</v>
      </c>
      <c r="G496" s="635">
        <f t="shared" si="46"/>
        <v>0</v>
      </c>
      <c r="H496" s="754"/>
      <c r="I496" s="754"/>
      <c r="J496" s="754"/>
      <c r="K496" s="754"/>
      <c r="L496" s="754"/>
      <c r="M496" s="754"/>
      <c r="N496" s="754"/>
      <c r="O496" s="754"/>
      <c r="P496" s="754">
        <v>0</v>
      </c>
      <c r="Q496" s="755">
        <v>0</v>
      </c>
      <c r="R496" s="754">
        <v>0</v>
      </c>
      <c r="S496" s="754">
        <v>0</v>
      </c>
      <c r="T496" s="754">
        <v>0</v>
      </c>
      <c r="U496" s="754">
        <v>0</v>
      </c>
      <c r="V496" s="754">
        <v>0</v>
      </c>
      <c r="W496" s="754">
        <v>0</v>
      </c>
      <c r="X496" s="754">
        <v>0</v>
      </c>
      <c r="Y496" s="754">
        <v>0</v>
      </c>
      <c r="Z496" s="754">
        <v>0</v>
      </c>
      <c r="AA496" s="754">
        <v>0</v>
      </c>
      <c r="AB496" s="754"/>
      <c r="AC496" s="747"/>
      <c r="AD496" s="747">
        <v>0</v>
      </c>
      <c r="AE496" s="747">
        <v>0</v>
      </c>
    </row>
    <row r="497" spans="1:31" hidden="1" x14ac:dyDescent="0.25">
      <c r="A497" s="767" t="s">
        <v>1086</v>
      </c>
      <c r="B497" s="768"/>
      <c r="C497" s="635">
        <f t="shared" si="42"/>
        <v>3677860.5199999996</v>
      </c>
      <c r="D497" s="635">
        <f t="shared" si="43"/>
        <v>7951998.0944189625</v>
      </c>
      <c r="E497" s="635">
        <f t="shared" si="44"/>
        <v>10555227.849999998</v>
      </c>
      <c r="F497" s="635">
        <f t="shared" si="45"/>
        <v>8149787.8200000003</v>
      </c>
      <c r="G497" s="635">
        <f t="shared" si="46"/>
        <v>12264306.243000001</v>
      </c>
      <c r="H497" s="769">
        <v>0</v>
      </c>
      <c r="I497" s="769">
        <v>451639.71</v>
      </c>
      <c r="J497" s="769">
        <v>1154350.7999999998</v>
      </c>
      <c r="K497" s="769">
        <v>2071870.01</v>
      </c>
      <c r="L497" s="769">
        <v>1923912.9300000002</v>
      </c>
      <c r="M497" s="769">
        <v>2003172.2644189626</v>
      </c>
      <c r="N497" s="769">
        <v>1917811.9499999997</v>
      </c>
      <c r="O497" s="769">
        <v>2107100.9500000002</v>
      </c>
      <c r="P497" s="769">
        <v>2270919.79</v>
      </c>
      <c r="Q497" s="770">
        <v>2763184</v>
      </c>
      <c r="R497" s="769">
        <v>3012832.0799999996</v>
      </c>
      <c r="S497" s="769">
        <v>2508291.9799999995</v>
      </c>
      <c r="T497" s="769">
        <v>2727918.8000000007</v>
      </c>
      <c r="U497" s="769">
        <v>2326885.17</v>
      </c>
      <c r="V497" s="769">
        <v>1509953.3600000006</v>
      </c>
      <c r="W497" s="769">
        <v>1585030.4899999998</v>
      </c>
      <c r="X497" s="769">
        <v>1546739.65</v>
      </c>
      <c r="Y497" s="769">
        <v>1585347.58</v>
      </c>
      <c r="Z497" s="769">
        <v>2260634.1399999997</v>
      </c>
      <c r="AA497" s="636">
        <v>6871584.8730000006</v>
      </c>
      <c r="AB497" s="769">
        <v>5163648.3054680126</v>
      </c>
      <c r="AC497" s="638">
        <v>42477193.913000003</v>
      </c>
      <c r="AD497" s="769">
        <v>47652627.539999999</v>
      </c>
      <c r="AE497" s="638">
        <v>5175433.63</v>
      </c>
    </row>
    <row r="498" spans="1:31" hidden="1" x14ac:dyDescent="0.25">
      <c r="A498" s="771" t="s">
        <v>1087</v>
      </c>
      <c r="B498" s="772"/>
      <c r="C498" s="635">
        <f t="shared" si="42"/>
        <v>2678691.7000000002</v>
      </c>
      <c r="D498" s="635">
        <f t="shared" si="43"/>
        <v>5301232.929320924</v>
      </c>
      <c r="E498" s="635">
        <f t="shared" si="44"/>
        <v>6176362.8600000003</v>
      </c>
      <c r="F498" s="635">
        <f t="shared" si="45"/>
        <v>6375630.2000000011</v>
      </c>
      <c r="G498" s="635">
        <f t="shared" si="46"/>
        <v>11540620.053000001</v>
      </c>
      <c r="H498" s="773">
        <v>0</v>
      </c>
      <c r="I498" s="773">
        <v>433316.71</v>
      </c>
      <c r="J498" s="773">
        <v>856765.29999999993</v>
      </c>
      <c r="K498" s="773">
        <v>1388609.69</v>
      </c>
      <c r="L498" s="773">
        <v>1302778.8000000003</v>
      </c>
      <c r="M498" s="773">
        <v>1309410.4393209233</v>
      </c>
      <c r="N498" s="773">
        <v>1445599.88</v>
      </c>
      <c r="O498" s="773">
        <v>1243443.81</v>
      </c>
      <c r="P498" s="773">
        <v>1389950.42</v>
      </c>
      <c r="Q498" s="774">
        <v>1530751.03</v>
      </c>
      <c r="R498" s="773">
        <v>1861859.52</v>
      </c>
      <c r="S498" s="773">
        <v>1393801.8899999997</v>
      </c>
      <c r="T498" s="773">
        <v>1518294.4800000004</v>
      </c>
      <c r="U498" s="773">
        <v>1991511.2200000002</v>
      </c>
      <c r="V498" s="773">
        <v>1399073.8100000005</v>
      </c>
      <c r="W498" s="773">
        <v>1466750.69</v>
      </c>
      <c r="X498" s="773">
        <v>1488253.2999999998</v>
      </c>
      <c r="Y498" s="773">
        <v>1543662.1600000001</v>
      </c>
      <c r="Z498" s="773">
        <v>2220419.61</v>
      </c>
      <c r="AA498" s="666">
        <v>6288284.9830000009</v>
      </c>
      <c r="AB498" s="773">
        <v>1315.435468013002</v>
      </c>
      <c r="AC498" s="775">
        <v>31973658.152999997</v>
      </c>
      <c r="AD498" s="775">
        <v>34802445.719999999</v>
      </c>
      <c r="AE498" s="776">
        <v>2828787.57</v>
      </c>
    </row>
    <row r="499" spans="1:31" hidden="1" x14ac:dyDescent="0.25">
      <c r="A499" s="777" t="s">
        <v>1088</v>
      </c>
      <c r="B499" s="778"/>
      <c r="C499" s="635">
        <f t="shared" si="42"/>
        <v>1569309.15</v>
      </c>
      <c r="D499" s="635">
        <f t="shared" si="43"/>
        <v>3417833.0509919026</v>
      </c>
      <c r="E499" s="635">
        <f t="shared" si="44"/>
        <v>4430363.8600000003</v>
      </c>
      <c r="F499" s="635">
        <f t="shared" si="45"/>
        <v>4904122.4100000011</v>
      </c>
      <c r="G499" s="635">
        <f t="shared" si="46"/>
        <v>8525912.3499999996</v>
      </c>
      <c r="H499" s="779">
        <v>0</v>
      </c>
      <c r="I499" s="779">
        <v>223155</v>
      </c>
      <c r="J499" s="779">
        <v>528427.40999999992</v>
      </c>
      <c r="K499" s="779">
        <v>817726.74</v>
      </c>
      <c r="L499" s="779">
        <v>755849.71</v>
      </c>
      <c r="M499" s="779">
        <v>852981.8109919026</v>
      </c>
      <c r="N499" s="779">
        <v>992878.1399999999</v>
      </c>
      <c r="O499" s="779">
        <v>816123.39</v>
      </c>
      <c r="P499" s="779">
        <v>1002554</v>
      </c>
      <c r="Q499" s="780">
        <v>1115263.1800000002</v>
      </c>
      <c r="R499" s="779">
        <v>1276044.05</v>
      </c>
      <c r="S499" s="779">
        <v>1036502.6299999997</v>
      </c>
      <c r="T499" s="779">
        <v>1166554.6200000006</v>
      </c>
      <c r="U499" s="779">
        <v>1578773.01</v>
      </c>
      <c r="V499" s="779">
        <v>1067348.6800000002</v>
      </c>
      <c r="W499" s="779">
        <v>1091446.1000000001</v>
      </c>
      <c r="X499" s="779">
        <v>1122569.2</v>
      </c>
      <c r="Y499" s="779">
        <v>1161041.56</v>
      </c>
      <c r="Z499" s="779">
        <v>1702645.44</v>
      </c>
      <c r="AA499" s="779">
        <v>4539656.1500000004</v>
      </c>
      <c r="AB499" s="779">
        <v>-8.7311491370201111E-10</v>
      </c>
      <c r="AC499" s="643">
        <v>22847540.82</v>
      </c>
      <c r="AD499" s="643">
        <v>23574337.199999999</v>
      </c>
      <c r="AE499" s="718">
        <v>726796.38</v>
      </c>
    </row>
    <row r="500" spans="1:31" hidden="1" x14ac:dyDescent="0.25">
      <c r="A500" s="721" t="s">
        <v>1089</v>
      </c>
      <c r="B500" s="720">
        <v>0.52067183012027018</v>
      </c>
      <c r="C500" s="635">
        <f t="shared" si="42"/>
        <v>838528.01</v>
      </c>
      <c r="D500" s="635">
        <f t="shared" si="43"/>
        <v>1343911.9300000002</v>
      </c>
      <c r="E500" s="635">
        <f t="shared" si="44"/>
        <v>1684709.97</v>
      </c>
      <c r="F500" s="635">
        <f t="shared" si="45"/>
        <v>1708031.7400000002</v>
      </c>
      <c r="G500" s="635">
        <f t="shared" si="46"/>
        <v>3142901.0799999996</v>
      </c>
      <c r="H500" s="645">
        <v>0</v>
      </c>
      <c r="I500" s="645">
        <v>150218</v>
      </c>
      <c r="J500" s="645">
        <v>317707.52000000002</v>
      </c>
      <c r="K500" s="645">
        <v>370602.49</v>
      </c>
      <c r="L500" s="645">
        <v>371788</v>
      </c>
      <c r="M500" s="645">
        <v>297630.13</v>
      </c>
      <c r="N500" s="645">
        <v>337470.03</v>
      </c>
      <c r="O500" s="645">
        <v>337023.77</v>
      </c>
      <c r="P500" s="645">
        <v>486054</v>
      </c>
      <c r="Q500" s="645">
        <v>357654.92999999993</v>
      </c>
      <c r="R500" s="645">
        <v>427559.61</v>
      </c>
      <c r="S500" s="645">
        <v>413441.42999999988</v>
      </c>
      <c r="T500" s="645">
        <v>464548.21000000049</v>
      </c>
      <c r="U500" s="645">
        <v>382256.34999999969</v>
      </c>
      <c r="V500" s="645">
        <v>427262.86000000016</v>
      </c>
      <c r="W500" s="645">
        <v>433964.31999999995</v>
      </c>
      <c r="X500" s="645">
        <v>456142.30999999994</v>
      </c>
      <c r="Y500" s="645">
        <v>466036.24999999988</v>
      </c>
      <c r="Z500" s="646">
        <v>654253.30999999982</v>
      </c>
      <c r="AA500" s="641">
        <v>1566469.21</v>
      </c>
      <c r="AB500" s="645">
        <v>-9.3132257461547852E-10</v>
      </c>
      <c r="AC500" s="643">
        <v>8718082.7300000004</v>
      </c>
      <c r="AD500" s="643">
        <v>8319215.2999999998</v>
      </c>
      <c r="AE500" s="718">
        <v>-398867.43</v>
      </c>
    </row>
    <row r="501" spans="1:31" hidden="1" x14ac:dyDescent="0.25">
      <c r="A501" s="721" t="s">
        <v>1090</v>
      </c>
      <c r="B501" s="720">
        <v>0.44385550086947823</v>
      </c>
      <c r="C501" s="635">
        <f t="shared" si="42"/>
        <v>410803.78</v>
      </c>
      <c r="D501" s="635">
        <f t="shared" si="43"/>
        <v>1109008.8489999906</v>
      </c>
      <c r="E501" s="635">
        <f t="shared" si="44"/>
        <v>1466821.5099999998</v>
      </c>
      <c r="F501" s="635">
        <f t="shared" si="45"/>
        <v>1679467.5800000005</v>
      </c>
      <c r="G501" s="635">
        <f t="shared" si="46"/>
        <v>2910755.96</v>
      </c>
      <c r="H501" s="645">
        <v>0</v>
      </c>
      <c r="I501" s="645">
        <v>57224</v>
      </c>
      <c r="J501" s="645">
        <v>126162.77</v>
      </c>
      <c r="K501" s="645">
        <v>227417.01</v>
      </c>
      <c r="L501" s="645">
        <v>256662</v>
      </c>
      <c r="M501" s="645">
        <v>235804.0789999906</v>
      </c>
      <c r="N501" s="645">
        <v>286960.34000000003</v>
      </c>
      <c r="O501" s="645">
        <v>329582.43</v>
      </c>
      <c r="P501" s="645">
        <v>336994</v>
      </c>
      <c r="Q501" s="645">
        <v>327656.79000000004</v>
      </c>
      <c r="R501" s="645">
        <v>397487.97000000003</v>
      </c>
      <c r="S501" s="645">
        <v>404682.74999999988</v>
      </c>
      <c r="T501" s="645">
        <v>468312.17000000016</v>
      </c>
      <c r="U501" s="645">
        <v>385479.99000000017</v>
      </c>
      <c r="V501" s="645">
        <v>416357.25000000023</v>
      </c>
      <c r="W501" s="645">
        <v>409318.17</v>
      </c>
      <c r="X501" s="645">
        <v>424578.42</v>
      </c>
      <c r="Y501" s="645">
        <v>441984.25</v>
      </c>
      <c r="Z501" s="646">
        <v>684097.16000000015</v>
      </c>
      <c r="AA501" s="641">
        <v>1360096.13</v>
      </c>
      <c r="AB501" s="645">
        <v>0</v>
      </c>
      <c r="AC501" s="643">
        <v>7576857.6799999997</v>
      </c>
      <c r="AD501" s="643">
        <v>6962937.29</v>
      </c>
      <c r="AE501" s="718">
        <v>-613920.39</v>
      </c>
    </row>
    <row r="502" spans="1:31" hidden="1" x14ac:dyDescent="0.25">
      <c r="A502" s="721" t="s">
        <v>1091</v>
      </c>
      <c r="B502" s="720">
        <v>3.547266901025159E-2</v>
      </c>
      <c r="C502" s="635">
        <f t="shared" si="42"/>
        <v>25371.75</v>
      </c>
      <c r="D502" s="635">
        <f t="shared" si="43"/>
        <v>111100.19699999999</v>
      </c>
      <c r="E502" s="635">
        <f t="shared" si="44"/>
        <v>110785.70999999999</v>
      </c>
      <c r="F502" s="635">
        <f t="shared" si="45"/>
        <v>137129.71999999991</v>
      </c>
      <c r="G502" s="635">
        <f t="shared" si="46"/>
        <v>224031.03999999992</v>
      </c>
      <c r="H502" s="645">
        <v>0</v>
      </c>
      <c r="I502" s="645">
        <v>3180</v>
      </c>
      <c r="J502" s="645">
        <v>7940.1399999999994</v>
      </c>
      <c r="K502" s="645">
        <v>14251.61</v>
      </c>
      <c r="L502" s="645">
        <v>28545</v>
      </c>
      <c r="M502" s="645">
        <v>31413.116999999998</v>
      </c>
      <c r="N502" s="645">
        <v>27269.68</v>
      </c>
      <c r="O502" s="645">
        <v>23872.400000000001</v>
      </c>
      <c r="P502" s="645">
        <v>25655</v>
      </c>
      <c r="Q502" s="645">
        <v>27488.48</v>
      </c>
      <c r="R502" s="645">
        <v>29514.7</v>
      </c>
      <c r="S502" s="645">
        <v>28127.53</v>
      </c>
      <c r="T502" s="645">
        <v>39989.279999999999</v>
      </c>
      <c r="U502" s="645">
        <v>31228.79999999993</v>
      </c>
      <c r="V502" s="645">
        <v>32426.079999999973</v>
      </c>
      <c r="W502" s="645">
        <v>33485.56</v>
      </c>
      <c r="X502" s="645">
        <v>28916.309999999998</v>
      </c>
      <c r="Y502" s="645">
        <v>30573.87999999999</v>
      </c>
      <c r="Z502" s="646">
        <v>53925.279999999955</v>
      </c>
      <c r="AA502" s="641">
        <v>110615.56999999999</v>
      </c>
      <c r="AB502" s="645">
        <v>-5.8207660913467407E-11</v>
      </c>
      <c r="AC502" s="643">
        <v>608418.41999999993</v>
      </c>
      <c r="AD502" s="643">
        <v>565351.64</v>
      </c>
      <c r="AE502" s="718">
        <v>-43066.78</v>
      </c>
    </row>
    <row r="503" spans="1:31" hidden="1" x14ac:dyDescent="0.25">
      <c r="A503" s="721" t="s">
        <v>1092</v>
      </c>
      <c r="B503" s="720"/>
      <c r="C503" s="635">
        <f t="shared" si="42"/>
        <v>294605.61</v>
      </c>
      <c r="D503" s="635">
        <f t="shared" si="43"/>
        <v>608450.06298066897</v>
      </c>
      <c r="E503" s="635">
        <f t="shared" si="44"/>
        <v>755284.17999999993</v>
      </c>
      <c r="F503" s="635">
        <f t="shared" si="45"/>
        <v>874495.37000000011</v>
      </c>
      <c r="G503" s="635">
        <f t="shared" si="46"/>
        <v>1595681.42</v>
      </c>
      <c r="H503" s="645">
        <v>0</v>
      </c>
      <c r="I503" s="645">
        <v>12533</v>
      </c>
      <c r="J503" s="645">
        <v>76616.98</v>
      </c>
      <c r="K503" s="645">
        <v>205455.62999999998</v>
      </c>
      <c r="L503" s="645">
        <v>98854.71</v>
      </c>
      <c r="M503" s="645">
        <v>137392.44298066897</v>
      </c>
      <c r="N503" s="645">
        <v>246558.12</v>
      </c>
      <c r="O503" s="645">
        <v>125644.79000000001</v>
      </c>
      <c r="P503" s="645">
        <v>153851</v>
      </c>
      <c r="Q503" s="645">
        <v>169960.99</v>
      </c>
      <c r="R503" s="645">
        <v>241221.27000000002</v>
      </c>
      <c r="S503" s="645">
        <v>190250.9199999999</v>
      </c>
      <c r="T503" s="645">
        <v>193704.95999999993</v>
      </c>
      <c r="U503" s="645">
        <v>274809.87000000011</v>
      </c>
      <c r="V503" s="645">
        <v>191302.48999999993</v>
      </c>
      <c r="W503" s="645">
        <v>214678.05</v>
      </c>
      <c r="X503" s="645">
        <v>212932.16</v>
      </c>
      <c r="Y503" s="645">
        <v>222447.18</v>
      </c>
      <c r="Z503" s="646">
        <v>310369.68999999994</v>
      </c>
      <c r="AA503" s="641">
        <v>849932.39000000013</v>
      </c>
      <c r="AB503" s="645">
        <v>0</v>
      </c>
      <c r="AC503" s="643">
        <v>4128516.64</v>
      </c>
      <c r="AD503" s="643">
        <v>4296719.8600000003</v>
      </c>
      <c r="AE503" s="718">
        <v>168203.22</v>
      </c>
    </row>
    <row r="504" spans="1:31" hidden="1" x14ac:dyDescent="0.25">
      <c r="A504" s="721" t="s">
        <v>1093</v>
      </c>
      <c r="B504" s="720"/>
      <c r="C504" s="635">
        <f t="shared" si="42"/>
        <v>0</v>
      </c>
      <c r="D504" s="635">
        <f t="shared" si="43"/>
        <v>245362.012011243</v>
      </c>
      <c r="E504" s="635">
        <f t="shared" si="44"/>
        <v>412762.49</v>
      </c>
      <c r="F504" s="635">
        <f t="shared" si="45"/>
        <v>504998</v>
      </c>
      <c r="G504" s="635">
        <f t="shared" si="46"/>
        <v>652542.85</v>
      </c>
      <c r="H504" s="645">
        <v>0</v>
      </c>
      <c r="I504" s="645">
        <v>0</v>
      </c>
      <c r="J504" s="645">
        <v>0</v>
      </c>
      <c r="K504" s="645">
        <v>0</v>
      </c>
      <c r="L504" s="645">
        <v>0</v>
      </c>
      <c r="M504" s="645">
        <v>150742.042011243</v>
      </c>
      <c r="N504" s="645">
        <v>94619.97</v>
      </c>
      <c r="O504" s="645">
        <v>0</v>
      </c>
      <c r="P504" s="645">
        <v>0</v>
      </c>
      <c r="Q504" s="645">
        <v>232501.99000000002</v>
      </c>
      <c r="R504" s="645">
        <v>180260.5</v>
      </c>
      <c r="S504" s="645">
        <v>0</v>
      </c>
      <c r="T504" s="645">
        <v>0</v>
      </c>
      <c r="U504" s="645">
        <v>504998</v>
      </c>
      <c r="V504" s="645">
        <v>0</v>
      </c>
      <c r="W504" s="645">
        <v>0</v>
      </c>
      <c r="X504" s="645">
        <v>0</v>
      </c>
      <c r="Y504" s="645">
        <v>0</v>
      </c>
      <c r="Z504" s="646">
        <v>0</v>
      </c>
      <c r="AA504" s="641">
        <v>652542.85</v>
      </c>
      <c r="AB504" s="645">
        <v>1.1641532182693481E-10</v>
      </c>
      <c r="AC504" s="643">
        <v>1815665.35</v>
      </c>
      <c r="AD504" s="643">
        <v>3430113.11</v>
      </c>
      <c r="AE504" s="718">
        <v>1614447.76</v>
      </c>
    </row>
    <row r="505" spans="1:31" hidden="1" x14ac:dyDescent="0.25">
      <c r="A505" s="781" t="s">
        <v>1094</v>
      </c>
      <c r="B505" s="778"/>
      <c r="C505" s="635">
        <f t="shared" si="42"/>
        <v>587731.76</v>
      </c>
      <c r="D505" s="635">
        <f t="shared" si="43"/>
        <v>1698553.4483290208</v>
      </c>
      <c r="E505" s="635">
        <f t="shared" si="44"/>
        <v>1569343.22</v>
      </c>
      <c r="F505" s="635">
        <f t="shared" si="45"/>
        <v>1461954.6600000001</v>
      </c>
      <c r="G505" s="635">
        <f t="shared" si="46"/>
        <v>2949490.8930000002</v>
      </c>
      <c r="H505" s="779">
        <v>0</v>
      </c>
      <c r="I505" s="779">
        <v>210161.71000000002</v>
      </c>
      <c r="J505" s="779">
        <v>230948.24</v>
      </c>
      <c r="K505" s="779">
        <v>146621.81</v>
      </c>
      <c r="L505" s="779">
        <v>476766.29000000004</v>
      </c>
      <c r="M505" s="779">
        <v>374817.27832902072</v>
      </c>
      <c r="N505" s="779">
        <v>432215.25999999989</v>
      </c>
      <c r="O505" s="779">
        <v>414754.62</v>
      </c>
      <c r="P505" s="779">
        <v>376496.42</v>
      </c>
      <c r="Q505" s="780">
        <v>386080.77</v>
      </c>
      <c r="R505" s="779">
        <v>454718.63</v>
      </c>
      <c r="S505" s="779">
        <v>352047.40000000008</v>
      </c>
      <c r="T505" s="779">
        <v>351739.85999999993</v>
      </c>
      <c r="U505" s="779">
        <v>410964.67000000004</v>
      </c>
      <c r="V505" s="779">
        <v>330340.43000000023</v>
      </c>
      <c r="W505" s="779">
        <v>368909.69999999995</v>
      </c>
      <c r="X505" s="779">
        <v>300467.28999999998</v>
      </c>
      <c r="Y505" s="779">
        <v>382620.6</v>
      </c>
      <c r="Z505" s="779">
        <v>517774.1700000001</v>
      </c>
      <c r="AA505" s="779">
        <v>1748628.8330000001</v>
      </c>
      <c r="AB505" s="779">
        <v>-4.5319861017816265E-3</v>
      </c>
      <c r="AC505" s="643">
        <v>8168194.3930000011</v>
      </c>
      <c r="AD505" s="643">
        <v>10234484.74</v>
      </c>
      <c r="AE505" s="718">
        <v>2066290.35</v>
      </c>
    </row>
    <row r="506" spans="1:31" hidden="1" x14ac:dyDescent="0.25">
      <c r="A506" s="741" t="s">
        <v>1095</v>
      </c>
      <c r="B506" s="692"/>
      <c r="C506" s="635">
        <f t="shared" si="42"/>
        <v>263529.15000000002</v>
      </c>
      <c r="D506" s="635">
        <f t="shared" si="43"/>
        <v>547728.12999998836</v>
      </c>
      <c r="E506" s="635">
        <f t="shared" si="44"/>
        <v>490104.24000000011</v>
      </c>
      <c r="F506" s="635">
        <f t="shared" si="45"/>
        <v>459177.47000000003</v>
      </c>
      <c r="G506" s="635">
        <f t="shared" si="46"/>
        <v>639315.55000000005</v>
      </c>
      <c r="H506" s="649">
        <v>0</v>
      </c>
      <c r="I506" s="649">
        <v>100625</v>
      </c>
      <c r="J506" s="649">
        <v>120249.63</v>
      </c>
      <c r="K506" s="649">
        <v>42654.52</v>
      </c>
      <c r="L506" s="649">
        <v>246052.65000000002</v>
      </c>
      <c r="M506" s="649">
        <v>51321.38999998838</v>
      </c>
      <c r="N506" s="649">
        <v>68609.67</v>
      </c>
      <c r="O506" s="649">
        <v>181744.42</v>
      </c>
      <c r="P506" s="649">
        <v>178929.66</v>
      </c>
      <c r="Q506" s="649">
        <v>66898.97</v>
      </c>
      <c r="R506" s="645">
        <v>95001.75</v>
      </c>
      <c r="S506" s="645">
        <v>149273.8600000001</v>
      </c>
      <c r="T506" s="645">
        <v>56418.429999999935</v>
      </c>
      <c r="U506" s="645">
        <v>156069.5</v>
      </c>
      <c r="V506" s="645">
        <v>79954.380000000121</v>
      </c>
      <c r="W506" s="645">
        <v>166735.15999999997</v>
      </c>
      <c r="X506" s="645">
        <v>149389.21000000002</v>
      </c>
      <c r="Y506" s="645">
        <v>85179.4</v>
      </c>
      <c r="Z506" s="646">
        <v>166181.11000000004</v>
      </c>
      <c r="AA506" s="641">
        <v>238565.83000000002</v>
      </c>
      <c r="AB506" s="645">
        <v>-3.2014213502407074E-10</v>
      </c>
      <c r="AC506" s="643">
        <v>2321212.0500000003</v>
      </c>
      <c r="AD506" s="643">
        <v>2450719.7400000002</v>
      </c>
      <c r="AE506" s="718">
        <v>129507.69</v>
      </c>
    </row>
    <row r="507" spans="1:31" hidden="1" x14ac:dyDescent="0.25">
      <c r="A507" s="741" t="s">
        <v>1096</v>
      </c>
      <c r="B507" s="692"/>
      <c r="C507" s="635">
        <f t="shared" si="42"/>
        <v>33915.5</v>
      </c>
      <c r="D507" s="635">
        <f t="shared" si="43"/>
        <v>53370.306352273998</v>
      </c>
      <c r="E507" s="635">
        <f t="shared" si="44"/>
        <v>38024.420000000035</v>
      </c>
      <c r="F507" s="635">
        <f t="shared" si="45"/>
        <v>42742.739999999925</v>
      </c>
      <c r="G507" s="635">
        <f t="shared" si="46"/>
        <v>92832.389999999956</v>
      </c>
      <c r="H507" s="649">
        <v>0</v>
      </c>
      <c r="I507" s="649">
        <v>3681</v>
      </c>
      <c r="J507" s="649">
        <v>6719.41</v>
      </c>
      <c r="K507" s="649">
        <v>23515.090000000004</v>
      </c>
      <c r="L507" s="649">
        <v>18787</v>
      </c>
      <c r="M507" s="649">
        <v>16296.926352274</v>
      </c>
      <c r="N507" s="649">
        <v>7727</v>
      </c>
      <c r="O507" s="649">
        <v>10559.380000000001</v>
      </c>
      <c r="P507" s="649">
        <v>6174.76</v>
      </c>
      <c r="Q507" s="649">
        <v>7569.3100000000013</v>
      </c>
      <c r="R507" s="645">
        <v>16600.809999999998</v>
      </c>
      <c r="S507" s="645">
        <v>7679.5400000000373</v>
      </c>
      <c r="T507" s="645">
        <v>8663.7399999999907</v>
      </c>
      <c r="U507" s="645">
        <v>6104.679999999993</v>
      </c>
      <c r="V507" s="645">
        <v>18759.939999999944</v>
      </c>
      <c r="W507" s="645">
        <v>9214.3799999999992</v>
      </c>
      <c r="X507" s="645">
        <v>7505.3600000000006</v>
      </c>
      <c r="Y507" s="645">
        <v>17379.349999999999</v>
      </c>
      <c r="Z507" s="646">
        <v>11297.399999999954</v>
      </c>
      <c r="AA507" s="641">
        <v>56650.28</v>
      </c>
      <c r="AB507" s="645">
        <v>0</v>
      </c>
      <c r="AC507" s="643">
        <v>255194.44999999995</v>
      </c>
      <c r="AD507" s="643">
        <v>262507.14</v>
      </c>
      <c r="AE507" s="718">
        <v>7312.69</v>
      </c>
    </row>
    <row r="508" spans="1:31" hidden="1" x14ac:dyDescent="0.25">
      <c r="A508" s="741" t="s">
        <v>580</v>
      </c>
      <c r="B508" s="692"/>
      <c r="C508" s="635">
        <f t="shared" si="42"/>
        <v>40861.57</v>
      </c>
      <c r="D508" s="635">
        <f t="shared" si="43"/>
        <v>141034.15</v>
      </c>
      <c r="E508" s="635">
        <f t="shared" si="44"/>
        <v>226790.81999999995</v>
      </c>
      <c r="F508" s="635">
        <f t="shared" si="45"/>
        <v>215470.96999999991</v>
      </c>
      <c r="G508" s="635">
        <f t="shared" si="46"/>
        <v>235544.21000000008</v>
      </c>
      <c r="H508" s="649">
        <v>0</v>
      </c>
      <c r="I508" s="649">
        <v>4378</v>
      </c>
      <c r="J508" s="649">
        <v>21560.28</v>
      </c>
      <c r="K508" s="649">
        <v>14923.29</v>
      </c>
      <c r="L508" s="649">
        <v>41774</v>
      </c>
      <c r="M508" s="649">
        <v>28154.61</v>
      </c>
      <c r="N508" s="649">
        <v>47307.849999999991</v>
      </c>
      <c r="O508" s="649">
        <v>23797.69</v>
      </c>
      <c r="P508" s="649">
        <v>35944.01</v>
      </c>
      <c r="Q508" s="649">
        <v>61638.7</v>
      </c>
      <c r="R508" s="645">
        <v>79596.160000000003</v>
      </c>
      <c r="S508" s="645">
        <v>49611.949999999953</v>
      </c>
      <c r="T508" s="645">
        <v>56398.449999999953</v>
      </c>
      <c r="U508" s="645">
        <v>56970.119999999995</v>
      </c>
      <c r="V508" s="645">
        <v>66006.14999999998</v>
      </c>
      <c r="W508" s="645">
        <v>36096.25</v>
      </c>
      <c r="X508" s="645">
        <v>66386.150000000009</v>
      </c>
      <c r="Y508" s="645">
        <v>48016.78</v>
      </c>
      <c r="Z508" s="646">
        <v>67480.970000000074</v>
      </c>
      <c r="AA508" s="641">
        <v>53660.31</v>
      </c>
      <c r="AB508" s="645">
        <v>1.0004441719502211E-10</v>
      </c>
      <c r="AC508" s="643">
        <v>848221.27</v>
      </c>
      <c r="AD508" s="643">
        <v>976119.66999999981</v>
      </c>
      <c r="AE508" s="718">
        <v>127898.4</v>
      </c>
    </row>
    <row r="509" spans="1:31" hidden="1" x14ac:dyDescent="0.25">
      <c r="A509" s="741" t="s">
        <v>1097</v>
      </c>
      <c r="B509" s="692"/>
      <c r="C509" s="635">
        <f t="shared" si="42"/>
        <v>19025.43</v>
      </c>
      <c r="D509" s="635">
        <f t="shared" si="43"/>
        <v>30820.920000000006</v>
      </c>
      <c r="E509" s="635">
        <f t="shared" si="44"/>
        <v>26900.960000000054</v>
      </c>
      <c r="F509" s="635">
        <f t="shared" si="45"/>
        <v>23712.370000000086</v>
      </c>
      <c r="G509" s="635">
        <f t="shared" si="46"/>
        <v>48392.37</v>
      </c>
      <c r="H509" s="649">
        <v>0</v>
      </c>
      <c r="I509" s="649">
        <v>10208</v>
      </c>
      <c r="J509" s="649">
        <v>8817.43</v>
      </c>
      <c r="K509" s="649">
        <v>0</v>
      </c>
      <c r="L509" s="649">
        <v>7002.1900000000005</v>
      </c>
      <c r="M509" s="649">
        <v>14475.830000000002</v>
      </c>
      <c r="N509" s="649">
        <v>3172.68</v>
      </c>
      <c r="O509" s="649">
        <v>6170.22</v>
      </c>
      <c r="P509" s="649">
        <v>13978.14</v>
      </c>
      <c r="Q509" s="649">
        <v>0</v>
      </c>
      <c r="R509" s="645">
        <v>11492.91</v>
      </c>
      <c r="S509" s="645">
        <v>1429.9100000000558</v>
      </c>
      <c r="T509" s="645">
        <v>14406.650000000081</v>
      </c>
      <c r="U509" s="645">
        <v>3900.359999999986</v>
      </c>
      <c r="V509" s="645">
        <v>4850.170000000021</v>
      </c>
      <c r="W509" s="645">
        <v>555.19000000000005</v>
      </c>
      <c r="X509" s="645">
        <v>17229.52</v>
      </c>
      <c r="Y509" s="645">
        <v>11744.88</v>
      </c>
      <c r="Z509" s="646">
        <v>2168.38</v>
      </c>
      <c r="AA509" s="641">
        <v>17249.59</v>
      </c>
      <c r="AB509" s="645">
        <v>-1.5688783605583012E-11</v>
      </c>
      <c r="AC509" s="643">
        <v>147265.83000000002</v>
      </c>
      <c r="AD509" s="643">
        <v>286700.76999999996</v>
      </c>
      <c r="AE509" s="718">
        <v>139434.94</v>
      </c>
    </row>
    <row r="510" spans="1:31" hidden="1" x14ac:dyDescent="0.25">
      <c r="A510" s="741" t="s">
        <v>1098</v>
      </c>
      <c r="B510" s="692"/>
      <c r="C510" s="635">
        <f t="shared" si="42"/>
        <v>79976.450000000012</v>
      </c>
      <c r="D510" s="635">
        <f t="shared" si="43"/>
        <v>650329.44999999995</v>
      </c>
      <c r="E510" s="635">
        <f t="shared" si="44"/>
        <v>594050.7699999999</v>
      </c>
      <c r="F510" s="635">
        <f t="shared" si="45"/>
        <v>585957.00000000023</v>
      </c>
      <c r="G510" s="635">
        <f t="shared" si="46"/>
        <v>961346.46000000008</v>
      </c>
      <c r="H510" s="649">
        <v>0</v>
      </c>
      <c r="I510" s="649">
        <v>724.21</v>
      </c>
      <c r="J510" s="649">
        <v>35405.550000000003</v>
      </c>
      <c r="K510" s="649">
        <v>43846.69</v>
      </c>
      <c r="L510" s="649">
        <v>103245</v>
      </c>
      <c r="M510" s="649">
        <v>171416.43</v>
      </c>
      <c r="N510" s="649">
        <v>187018.22999999998</v>
      </c>
      <c r="O510" s="649">
        <v>188649.78999999998</v>
      </c>
      <c r="P510" s="649">
        <v>90548.9</v>
      </c>
      <c r="Q510" s="649">
        <v>181604.6</v>
      </c>
      <c r="R510" s="645">
        <v>227727.51</v>
      </c>
      <c r="S510" s="645">
        <v>94169.759999999893</v>
      </c>
      <c r="T510" s="645">
        <v>177261.66000000009</v>
      </c>
      <c r="U510" s="645">
        <v>168022.19000000006</v>
      </c>
      <c r="V510" s="645">
        <v>90512.050000000047</v>
      </c>
      <c r="W510" s="645">
        <v>150161.1</v>
      </c>
      <c r="X510" s="645">
        <v>98104.25</v>
      </c>
      <c r="Y510" s="645">
        <v>100048.1</v>
      </c>
      <c r="Z510" s="646">
        <v>133819.58000000002</v>
      </c>
      <c r="AA510" s="641">
        <v>629374.53</v>
      </c>
      <c r="AB510" s="645">
        <v>5.3550763823295711E-10</v>
      </c>
      <c r="AC510" s="643">
        <v>2871595.08</v>
      </c>
      <c r="AD510" s="643">
        <v>4111790.49</v>
      </c>
      <c r="AE510" s="718">
        <v>1240195.4099999999</v>
      </c>
    </row>
    <row r="511" spans="1:31" hidden="1" x14ac:dyDescent="0.25">
      <c r="A511" s="741" t="s">
        <v>1099</v>
      </c>
      <c r="B511" s="692"/>
      <c r="C511" s="635">
        <f t="shared" si="42"/>
        <v>135544.84</v>
      </c>
      <c r="D511" s="635">
        <f t="shared" si="43"/>
        <v>272653.01197675831</v>
      </c>
      <c r="E511" s="635">
        <f t="shared" si="44"/>
        <v>150957.14999999997</v>
      </c>
      <c r="F511" s="635">
        <f t="shared" si="45"/>
        <v>120076.51999999984</v>
      </c>
      <c r="G511" s="635">
        <f t="shared" si="46"/>
        <v>466038.15300000005</v>
      </c>
      <c r="H511" s="649">
        <v>0</v>
      </c>
      <c r="I511" s="649">
        <v>88729</v>
      </c>
      <c r="J511" s="649">
        <v>26301.61</v>
      </c>
      <c r="K511" s="649">
        <v>20514.230000000003</v>
      </c>
      <c r="L511" s="649">
        <v>73750.45</v>
      </c>
      <c r="M511" s="649">
        <v>83115.091976758296</v>
      </c>
      <c r="N511" s="649">
        <v>109083.83</v>
      </c>
      <c r="O511" s="649">
        <v>6703.64</v>
      </c>
      <c r="P511" s="649">
        <v>27166.68</v>
      </c>
      <c r="Q511" s="649">
        <v>40533.14</v>
      </c>
      <c r="R511" s="645">
        <v>41958.29</v>
      </c>
      <c r="S511" s="645">
        <v>41299.03999999995</v>
      </c>
      <c r="T511" s="645">
        <v>33921.479999999807</v>
      </c>
      <c r="U511" s="645">
        <v>14859.02999999997</v>
      </c>
      <c r="V511" s="645">
        <v>54734.820000000065</v>
      </c>
      <c r="W511" s="645">
        <v>16561.190000000002</v>
      </c>
      <c r="X511" s="645">
        <v>49645.509999999995</v>
      </c>
      <c r="Y511" s="645">
        <v>63761.53</v>
      </c>
      <c r="Z511" s="646">
        <v>124665.58000000002</v>
      </c>
      <c r="AA511" s="641">
        <v>227965.53300000002</v>
      </c>
      <c r="AB511" s="645">
        <v>-4.531986634333407E-3</v>
      </c>
      <c r="AC511" s="643">
        <v>1144722.7030000002</v>
      </c>
      <c r="AD511" s="643">
        <v>1258306.31</v>
      </c>
      <c r="AE511" s="718">
        <v>113583.61</v>
      </c>
    </row>
    <row r="512" spans="1:31" hidden="1" x14ac:dyDescent="0.25">
      <c r="A512" s="741" t="s">
        <v>1100</v>
      </c>
      <c r="B512" s="692"/>
      <c r="C512" s="635">
        <f t="shared" si="42"/>
        <v>14878.820000000002</v>
      </c>
      <c r="D512" s="635">
        <f t="shared" si="43"/>
        <v>2617.4799999999977</v>
      </c>
      <c r="E512" s="635">
        <f t="shared" si="44"/>
        <v>42514.860000000088</v>
      </c>
      <c r="F512" s="635">
        <f t="shared" si="45"/>
        <v>14817.590000000149</v>
      </c>
      <c r="G512" s="635">
        <f t="shared" si="46"/>
        <v>506021.76</v>
      </c>
      <c r="H512" s="649">
        <v>0</v>
      </c>
      <c r="I512" s="649">
        <v>1816.5</v>
      </c>
      <c r="J512" s="649">
        <v>11894.330000000002</v>
      </c>
      <c r="K512" s="649">
        <v>1167.9900000000002</v>
      </c>
      <c r="L512" s="649">
        <v>-13845.000000000002</v>
      </c>
      <c r="M512" s="649">
        <v>10037</v>
      </c>
      <c r="N512" s="649">
        <v>9296</v>
      </c>
      <c r="O512" s="649">
        <v>-2870.5200000000004</v>
      </c>
      <c r="P512" s="649">
        <v>23754.27</v>
      </c>
      <c r="Q512" s="649">
        <v>27836.050000000003</v>
      </c>
      <c r="R512" s="645">
        <v>-17658.8</v>
      </c>
      <c r="S512" s="645">
        <v>8583.3400000000838</v>
      </c>
      <c r="T512" s="645">
        <v>4669.4500000000698</v>
      </c>
      <c r="U512" s="645">
        <v>5038.7900000000373</v>
      </c>
      <c r="V512" s="645">
        <v>15522.920000000042</v>
      </c>
      <c r="W512" s="645">
        <v>-10413.57</v>
      </c>
      <c r="X512" s="645">
        <v>-87792.71</v>
      </c>
      <c r="Y512" s="645">
        <v>56490.559999999998</v>
      </c>
      <c r="Z512" s="646">
        <v>12161.150000000009</v>
      </c>
      <c r="AA512" s="641">
        <v>525162.76</v>
      </c>
      <c r="AB512" s="645">
        <v>2.3283064365386963E-10</v>
      </c>
      <c r="AC512" s="643">
        <v>579983.01</v>
      </c>
      <c r="AD512" s="643">
        <v>888340.62</v>
      </c>
      <c r="AE512" s="718">
        <v>308357.61</v>
      </c>
    </row>
    <row r="513" spans="1:31" hidden="1" x14ac:dyDescent="0.25">
      <c r="A513" s="781" t="s">
        <v>1101</v>
      </c>
      <c r="B513" s="778"/>
      <c r="C513" s="635">
        <f t="shared" si="42"/>
        <v>521650.79000000004</v>
      </c>
      <c r="D513" s="635">
        <f t="shared" si="43"/>
        <v>184846.43000000002</v>
      </c>
      <c r="E513" s="635">
        <f t="shared" si="44"/>
        <v>176655.78000000009</v>
      </c>
      <c r="F513" s="635">
        <f t="shared" si="45"/>
        <v>9553.129999999961</v>
      </c>
      <c r="G513" s="635">
        <f t="shared" si="46"/>
        <v>65216.810000000005</v>
      </c>
      <c r="H513" s="779">
        <v>0</v>
      </c>
      <c r="I513" s="779">
        <v>0</v>
      </c>
      <c r="J513" s="779">
        <v>97389.65</v>
      </c>
      <c r="K513" s="779">
        <v>424261.14</v>
      </c>
      <c r="L513" s="779">
        <v>70162.8</v>
      </c>
      <c r="M513" s="779">
        <v>81611.350000000006</v>
      </c>
      <c r="N513" s="779">
        <v>20506.48</v>
      </c>
      <c r="O513" s="779">
        <v>12565.8</v>
      </c>
      <c r="P513" s="779">
        <v>10900</v>
      </c>
      <c r="Q513" s="780">
        <v>29407.079999999998</v>
      </c>
      <c r="R513" s="779">
        <v>131096.84</v>
      </c>
      <c r="S513" s="779">
        <v>5251.8600000001024</v>
      </c>
      <c r="T513" s="779">
        <v>0</v>
      </c>
      <c r="U513" s="779">
        <v>1773.5400000000081</v>
      </c>
      <c r="V513" s="779">
        <v>1384.6999999999534</v>
      </c>
      <c r="W513" s="779">
        <v>6394.8899999999994</v>
      </c>
      <c r="X513" s="779">
        <v>65216.810000000005</v>
      </c>
      <c r="Y513" s="779">
        <v>0</v>
      </c>
      <c r="Z513" s="779">
        <v>0</v>
      </c>
      <c r="AA513" s="779">
        <v>0</v>
      </c>
      <c r="AB513" s="779">
        <v>1315.4399999999769</v>
      </c>
      <c r="AC513" s="643">
        <v>957922.94</v>
      </c>
      <c r="AD513" s="643">
        <v>993623.78</v>
      </c>
      <c r="AE513" s="718">
        <v>35700.839999999997</v>
      </c>
    </row>
    <row r="514" spans="1:31" hidden="1" x14ac:dyDescent="0.25">
      <c r="A514" s="782" t="s">
        <v>1102</v>
      </c>
      <c r="B514" s="783"/>
      <c r="C514" s="635">
        <f t="shared" si="42"/>
        <v>180787.94</v>
      </c>
      <c r="D514" s="635">
        <f t="shared" si="43"/>
        <v>27017.48</v>
      </c>
      <c r="E514" s="635">
        <f t="shared" si="44"/>
        <v>27184.360000000088</v>
      </c>
      <c r="F514" s="635">
        <f t="shared" si="45"/>
        <v>1054.7000000000116</v>
      </c>
      <c r="G514" s="635">
        <f t="shared" si="46"/>
        <v>4976.49</v>
      </c>
      <c r="H514" s="677">
        <v>0</v>
      </c>
      <c r="I514" s="677">
        <v>0</v>
      </c>
      <c r="J514" s="677">
        <v>35368.54</v>
      </c>
      <c r="K514" s="677">
        <v>145419.4</v>
      </c>
      <c r="L514" s="677">
        <v>6592</v>
      </c>
      <c r="M514" s="677">
        <v>19035</v>
      </c>
      <c r="N514" s="677">
        <v>0</v>
      </c>
      <c r="O514" s="677">
        <v>1390.48</v>
      </c>
      <c r="P514" s="677">
        <v>3001</v>
      </c>
      <c r="Q514" s="677">
        <v>20397.39</v>
      </c>
      <c r="R514" s="645">
        <v>0</v>
      </c>
      <c r="S514" s="645">
        <v>3785.9700000000885</v>
      </c>
      <c r="T514" s="645">
        <v>0</v>
      </c>
      <c r="U514" s="645">
        <v>1054.7000000000116</v>
      </c>
      <c r="V514" s="645">
        <v>0</v>
      </c>
      <c r="W514" s="645">
        <v>0</v>
      </c>
      <c r="X514" s="645">
        <v>4976.49</v>
      </c>
      <c r="Y514" s="645">
        <v>0</v>
      </c>
      <c r="Z514" s="646">
        <v>0</v>
      </c>
      <c r="AA514" s="641">
        <v>0</v>
      </c>
      <c r="AB514" s="645">
        <v>0.45999999999185093</v>
      </c>
      <c r="AC514" s="643">
        <v>241020.97</v>
      </c>
      <c r="AD514" s="643">
        <v>249521.43</v>
      </c>
      <c r="AE514" s="718">
        <v>8500.4599999999991</v>
      </c>
    </row>
    <row r="515" spans="1:31" hidden="1" x14ac:dyDescent="0.25">
      <c r="A515" s="782" t="s">
        <v>1103</v>
      </c>
      <c r="B515" s="783"/>
      <c r="C515" s="635">
        <f t="shared" si="42"/>
        <v>43438.3</v>
      </c>
      <c r="D515" s="635">
        <f t="shared" si="43"/>
        <v>27067.19</v>
      </c>
      <c r="E515" s="635">
        <f t="shared" si="44"/>
        <v>8768.6200000000135</v>
      </c>
      <c r="F515" s="635">
        <f t="shared" si="45"/>
        <v>4076.3799999999533</v>
      </c>
      <c r="G515" s="635">
        <f t="shared" si="46"/>
        <v>689.02</v>
      </c>
      <c r="H515" s="677">
        <v>0</v>
      </c>
      <c r="I515" s="677">
        <v>0</v>
      </c>
      <c r="J515" s="677">
        <v>0</v>
      </c>
      <c r="K515" s="677">
        <v>43438.3</v>
      </c>
      <c r="L515" s="677">
        <v>10896</v>
      </c>
      <c r="M515" s="677">
        <v>0</v>
      </c>
      <c r="N515" s="677">
        <v>4995.87</v>
      </c>
      <c r="O515" s="677">
        <v>11175.32</v>
      </c>
      <c r="P515" s="677">
        <v>3222</v>
      </c>
      <c r="Q515" s="677">
        <v>3320.73</v>
      </c>
      <c r="R515" s="645">
        <v>760</v>
      </c>
      <c r="S515" s="645">
        <v>1465.890000000014</v>
      </c>
      <c r="T515" s="645">
        <v>0</v>
      </c>
      <c r="U515" s="645">
        <v>0</v>
      </c>
      <c r="V515" s="645">
        <v>1384.6999999999534</v>
      </c>
      <c r="W515" s="645">
        <v>2691.68</v>
      </c>
      <c r="X515" s="645">
        <v>689.02</v>
      </c>
      <c r="Y515" s="645">
        <v>0</v>
      </c>
      <c r="Z515" s="646">
        <v>0</v>
      </c>
      <c r="AA515" s="641">
        <v>0</v>
      </c>
      <c r="AB515" s="645">
        <v>0.15000000000873115</v>
      </c>
      <c r="AC515" s="643">
        <v>84039.51</v>
      </c>
      <c r="AD515" s="643">
        <v>93039.66</v>
      </c>
      <c r="AE515" s="718">
        <v>9000.15</v>
      </c>
    </row>
    <row r="516" spans="1:31" hidden="1" x14ac:dyDescent="0.25">
      <c r="A516" s="782" t="s">
        <v>1104</v>
      </c>
      <c r="B516" s="783"/>
      <c r="C516" s="635">
        <f t="shared" si="42"/>
        <v>0</v>
      </c>
      <c r="D516" s="635">
        <f t="shared" si="43"/>
        <v>15500.800000000001</v>
      </c>
      <c r="E516" s="635">
        <f t="shared" si="44"/>
        <v>6714</v>
      </c>
      <c r="F516" s="635">
        <f t="shared" si="45"/>
        <v>0</v>
      </c>
      <c r="G516" s="635">
        <f t="shared" si="46"/>
        <v>0</v>
      </c>
      <c r="H516" s="677">
        <v>0</v>
      </c>
      <c r="I516" s="677">
        <v>0</v>
      </c>
      <c r="J516" s="677">
        <v>0</v>
      </c>
      <c r="K516" s="677">
        <v>0</v>
      </c>
      <c r="L516" s="677">
        <v>15871.29</v>
      </c>
      <c r="M516" s="677">
        <v>-370.49</v>
      </c>
      <c r="N516" s="677">
        <v>0</v>
      </c>
      <c r="O516" s="677">
        <v>0</v>
      </c>
      <c r="P516" s="677">
        <v>599</v>
      </c>
      <c r="Q516" s="677">
        <v>0</v>
      </c>
      <c r="R516" s="645">
        <v>6115</v>
      </c>
      <c r="S516" s="645">
        <v>0</v>
      </c>
      <c r="T516" s="645">
        <v>0</v>
      </c>
      <c r="U516" s="645">
        <v>0</v>
      </c>
      <c r="V516" s="645">
        <v>0</v>
      </c>
      <c r="W516" s="645">
        <v>0</v>
      </c>
      <c r="X516" s="645">
        <v>0</v>
      </c>
      <c r="Y516" s="645">
        <v>0</v>
      </c>
      <c r="Z516" s="646">
        <v>0</v>
      </c>
      <c r="AA516" s="641">
        <v>0</v>
      </c>
      <c r="AB516" s="645">
        <v>0.22999999999956344</v>
      </c>
      <c r="AC516" s="643">
        <v>22214.799999999999</v>
      </c>
      <c r="AD516" s="643">
        <v>32215.03</v>
      </c>
      <c r="AE516" s="718">
        <v>10000.23</v>
      </c>
    </row>
    <row r="517" spans="1:31" hidden="1" x14ac:dyDescent="0.25">
      <c r="A517" s="782" t="s">
        <v>1105</v>
      </c>
      <c r="B517" s="783"/>
      <c r="C517" s="635">
        <f t="shared" si="42"/>
        <v>268390.24</v>
      </c>
      <c r="D517" s="635">
        <f t="shared" si="43"/>
        <v>12383.75</v>
      </c>
      <c r="E517" s="635">
        <f t="shared" si="44"/>
        <v>9766.9599999999991</v>
      </c>
      <c r="F517" s="635">
        <f t="shared" si="45"/>
        <v>4422.0499999999965</v>
      </c>
      <c r="G517" s="635">
        <f t="shared" si="46"/>
        <v>0</v>
      </c>
      <c r="H517" s="677">
        <v>0</v>
      </c>
      <c r="I517" s="677">
        <v>0</v>
      </c>
      <c r="J517" s="677">
        <v>62021.11</v>
      </c>
      <c r="K517" s="677">
        <v>206369.13</v>
      </c>
      <c r="L517" s="677">
        <v>0</v>
      </c>
      <c r="M517" s="677">
        <v>12383.75</v>
      </c>
      <c r="N517" s="677">
        <v>0</v>
      </c>
      <c r="O517" s="677">
        <v>0</v>
      </c>
      <c r="P517" s="677">
        <v>4078</v>
      </c>
      <c r="Q517" s="677">
        <v>5688.96</v>
      </c>
      <c r="R517" s="645">
        <v>0</v>
      </c>
      <c r="S517" s="645">
        <v>0</v>
      </c>
      <c r="T517" s="645">
        <v>0</v>
      </c>
      <c r="U517" s="645">
        <v>718.83999999999651</v>
      </c>
      <c r="V517" s="645">
        <v>0</v>
      </c>
      <c r="W517" s="645">
        <v>3703.21</v>
      </c>
      <c r="X517" s="645">
        <v>0</v>
      </c>
      <c r="Y517" s="645">
        <v>0</v>
      </c>
      <c r="Z517" s="646">
        <v>0</v>
      </c>
      <c r="AA517" s="641">
        <v>0</v>
      </c>
      <c r="AB517" s="645">
        <v>1314.5999999999767</v>
      </c>
      <c r="AC517" s="643">
        <v>294963</v>
      </c>
      <c r="AD517" s="643">
        <v>303163</v>
      </c>
      <c r="AE517" s="718">
        <v>8200</v>
      </c>
    </row>
    <row r="518" spans="1:31" hidden="1" x14ac:dyDescent="0.25">
      <c r="A518" s="782" t="s">
        <v>1106</v>
      </c>
      <c r="B518" s="783"/>
      <c r="C518" s="635">
        <f t="shared" ref="C518:C552" si="47">SUM(H518:K518)</f>
        <v>29034.31</v>
      </c>
      <c r="D518" s="635">
        <f t="shared" ref="D518:D552" si="48">SUM(L518:O518)</f>
        <v>102877.21</v>
      </c>
      <c r="E518" s="635">
        <f t="shared" ref="E518:E552" si="49">SUM(P518:S518)</f>
        <v>124221.84</v>
      </c>
      <c r="F518" s="635">
        <f t="shared" ref="F518:F552" si="50">SUM(T518:W518)</f>
        <v>0</v>
      </c>
      <c r="G518" s="635">
        <f t="shared" ref="G518:G552" si="51">SUM(X518:AA518)</f>
        <v>59551.3</v>
      </c>
      <c r="H518" s="677">
        <v>0</v>
      </c>
      <c r="I518" s="677">
        <v>0</v>
      </c>
      <c r="J518" s="677">
        <v>0</v>
      </c>
      <c r="K518" s="677">
        <v>29034.31</v>
      </c>
      <c r="L518" s="677">
        <v>36803.51</v>
      </c>
      <c r="M518" s="677">
        <v>50563.09</v>
      </c>
      <c r="N518" s="677">
        <v>15510.61</v>
      </c>
      <c r="O518" s="677">
        <v>0</v>
      </c>
      <c r="P518" s="677">
        <v>0</v>
      </c>
      <c r="Q518" s="677">
        <v>0</v>
      </c>
      <c r="R518" s="645">
        <v>124221.84</v>
      </c>
      <c r="S518" s="645">
        <v>0</v>
      </c>
      <c r="T518" s="645">
        <v>0</v>
      </c>
      <c r="U518" s="645">
        <v>0</v>
      </c>
      <c r="V518" s="645">
        <v>0</v>
      </c>
      <c r="W518" s="645">
        <v>0</v>
      </c>
      <c r="X518" s="645">
        <v>59551.3</v>
      </c>
      <c r="Y518" s="645">
        <v>0</v>
      </c>
      <c r="Z518" s="646">
        <v>0</v>
      </c>
      <c r="AA518" s="641">
        <v>0</v>
      </c>
      <c r="AB518" s="645">
        <v>0</v>
      </c>
      <c r="AC518" s="643">
        <v>315684.65999999997</v>
      </c>
      <c r="AD518" s="643">
        <v>315684.65999999997</v>
      </c>
      <c r="AE518" s="718">
        <v>0</v>
      </c>
    </row>
    <row r="519" spans="1:31" hidden="1" x14ac:dyDescent="0.25">
      <c r="A519" s="771" t="s">
        <v>1107</v>
      </c>
      <c r="B519" s="772"/>
      <c r="C519" s="635">
        <f t="shared" si="47"/>
        <v>999168.82000000007</v>
      </c>
      <c r="D519" s="635">
        <f t="shared" si="48"/>
        <v>2650765.1650980394</v>
      </c>
      <c r="E519" s="635">
        <f t="shared" si="49"/>
        <v>4378864.99</v>
      </c>
      <c r="F519" s="635">
        <f t="shared" si="50"/>
        <v>1774157.62</v>
      </c>
      <c r="G519" s="635">
        <f t="shared" si="51"/>
        <v>220754.43000000002</v>
      </c>
      <c r="H519" s="784">
        <v>0</v>
      </c>
      <c r="I519" s="784">
        <v>18323</v>
      </c>
      <c r="J519" s="784">
        <v>297585.5</v>
      </c>
      <c r="K519" s="784">
        <v>683260.32000000007</v>
      </c>
      <c r="L519" s="784">
        <v>621134.13</v>
      </c>
      <c r="M519" s="784">
        <v>693761.82509803912</v>
      </c>
      <c r="N519" s="784">
        <v>472212.07000000007</v>
      </c>
      <c r="O519" s="784">
        <v>863657.14000000013</v>
      </c>
      <c r="P519" s="784">
        <v>880969.37</v>
      </c>
      <c r="Q519" s="785">
        <v>1232432.97</v>
      </c>
      <c r="R519" s="784">
        <v>1150972.56</v>
      </c>
      <c r="S519" s="784">
        <v>1114490.0899999999</v>
      </c>
      <c r="T519" s="784">
        <v>1209624.32</v>
      </c>
      <c r="U519" s="784">
        <v>335373.94999999995</v>
      </c>
      <c r="V519" s="784">
        <v>110879.55000000002</v>
      </c>
      <c r="W519" s="784">
        <v>118279.80000000002</v>
      </c>
      <c r="X519" s="784">
        <v>58486.35</v>
      </c>
      <c r="Y519" s="784">
        <v>41685.42</v>
      </c>
      <c r="Z519" s="784">
        <v>40214.530000000057</v>
      </c>
      <c r="AA519" s="666">
        <v>80368.129999999976</v>
      </c>
      <c r="AB519" s="784">
        <v>1.5200000000991167</v>
      </c>
      <c r="AC519" s="775">
        <v>10000604.01</v>
      </c>
      <c r="AD519" s="775">
        <v>10162429.369999999</v>
      </c>
      <c r="AE519" s="776">
        <v>161825.35999999999</v>
      </c>
    </row>
    <row r="520" spans="1:31" hidden="1" x14ac:dyDescent="0.25">
      <c r="A520" s="786" t="s">
        <v>1108</v>
      </c>
      <c r="B520" s="787"/>
      <c r="C520" s="635">
        <f t="shared" si="47"/>
        <v>291383.38</v>
      </c>
      <c r="D520" s="635">
        <f t="shared" si="48"/>
        <v>908078.81</v>
      </c>
      <c r="E520" s="635">
        <f t="shared" si="49"/>
        <v>897563.19000000006</v>
      </c>
      <c r="F520" s="635">
        <f t="shared" si="50"/>
        <v>511988.5299999998</v>
      </c>
      <c r="G520" s="635">
        <f t="shared" si="51"/>
        <v>58307.35</v>
      </c>
      <c r="H520" s="788">
        <v>0</v>
      </c>
      <c r="I520" s="788">
        <v>14638</v>
      </c>
      <c r="J520" s="788">
        <v>78655.73000000001</v>
      </c>
      <c r="K520" s="788">
        <v>198089.65000000002</v>
      </c>
      <c r="L520" s="788">
        <v>244800.09000000003</v>
      </c>
      <c r="M520" s="788">
        <v>254139.77</v>
      </c>
      <c r="N520" s="788">
        <v>172863.68</v>
      </c>
      <c r="O520" s="788">
        <v>236275.27000000002</v>
      </c>
      <c r="P520" s="788">
        <v>202025.21999999997</v>
      </c>
      <c r="Q520" s="789">
        <v>159317.74</v>
      </c>
      <c r="R520" s="788">
        <v>254846.88999999998</v>
      </c>
      <c r="S520" s="788">
        <v>281373.34000000008</v>
      </c>
      <c r="T520" s="788">
        <v>364615.06999999983</v>
      </c>
      <c r="U520" s="788">
        <v>106059.37999999998</v>
      </c>
      <c r="V520" s="788">
        <v>26424.019999999982</v>
      </c>
      <c r="W520" s="788">
        <v>14890.060000000001</v>
      </c>
      <c r="X520" s="788">
        <v>17929.77</v>
      </c>
      <c r="Y520" s="788">
        <v>20262.189999999999</v>
      </c>
      <c r="Z520" s="788">
        <v>20115.39</v>
      </c>
      <c r="AA520" s="788">
        <v>0</v>
      </c>
      <c r="AB520" s="788">
        <v>1.5399999999544889</v>
      </c>
      <c r="AC520" s="790">
        <v>2660129.2800000003</v>
      </c>
      <c r="AD520" s="790">
        <v>2682027.84</v>
      </c>
      <c r="AE520" s="791">
        <v>21898.560000000001</v>
      </c>
    </row>
    <row r="521" spans="1:31" hidden="1" x14ac:dyDescent="0.25">
      <c r="A521" s="691" t="s">
        <v>584</v>
      </c>
      <c r="B521" s="692"/>
      <c r="C521" s="635">
        <f t="shared" si="47"/>
        <v>181126.09</v>
      </c>
      <c r="D521" s="635">
        <f t="shared" si="48"/>
        <v>503060.22000000003</v>
      </c>
      <c r="E521" s="635">
        <f t="shared" si="49"/>
        <v>485391.57999999996</v>
      </c>
      <c r="F521" s="635">
        <f t="shared" si="50"/>
        <v>160695.29</v>
      </c>
      <c r="G521" s="635">
        <f t="shared" si="51"/>
        <v>0</v>
      </c>
      <c r="H521" s="641">
        <v>0</v>
      </c>
      <c r="I521" s="641">
        <v>0</v>
      </c>
      <c r="J521" s="641">
        <v>68873.070000000007</v>
      </c>
      <c r="K521" s="641">
        <v>112253.01999999999</v>
      </c>
      <c r="L521" s="641">
        <v>115022.56999999999</v>
      </c>
      <c r="M521" s="641">
        <v>171040.74</v>
      </c>
      <c r="N521" s="641">
        <v>107759.64</v>
      </c>
      <c r="O521" s="641">
        <v>109237.27</v>
      </c>
      <c r="P521" s="641">
        <v>101215.38</v>
      </c>
      <c r="Q521" s="641">
        <v>100976.2</v>
      </c>
      <c r="R521" s="645">
        <v>150436</v>
      </c>
      <c r="S521" s="645">
        <v>132763.99999999997</v>
      </c>
      <c r="T521" s="645">
        <v>160695.29</v>
      </c>
      <c r="U521" s="645">
        <v>0</v>
      </c>
      <c r="V521" s="645">
        <v>0</v>
      </c>
      <c r="W521" s="645">
        <v>0</v>
      </c>
      <c r="X521" s="645">
        <v>0</v>
      </c>
      <c r="Y521" s="645">
        <v>0</v>
      </c>
      <c r="Z521" s="646">
        <v>0</v>
      </c>
      <c r="AA521" s="641">
        <v>0</v>
      </c>
      <c r="AB521" s="645">
        <v>0</v>
      </c>
      <c r="AC521" s="643">
        <v>1330273.18</v>
      </c>
      <c r="AD521" s="643">
        <v>1330273.18</v>
      </c>
      <c r="AE521" s="643">
        <v>0</v>
      </c>
    </row>
    <row r="522" spans="1:31" hidden="1" x14ac:dyDescent="0.25">
      <c r="A522" s="691" t="s">
        <v>585</v>
      </c>
      <c r="B522" s="692"/>
      <c r="C522" s="635">
        <f t="shared" si="47"/>
        <v>110257.29000000001</v>
      </c>
      <c r="D522" s="635">
        <f t="shared" si="48"/>
        <v>405018.58999999997</v>
      </c>
      <c r="E522" s="635">
        <f t="shared" si="49"/>
        <v>412171.6100000001</v>
      </c>
      <c r="F522" s="635">
        <f t="shared" si="50"/>
        <v>351293.23999999976</v>
      </c>
      <c r="G522" s="635">
        <f t="shared" si="51"/>
        <v>58307.35</v>
      </c>
      <c r="H522" s="641">
        <v>0</v>
      </c>
      <c r="I522" s="641">
        <v>14638</v>
      </c>
      <c r="J522" s="641">
        <v>9782.66</v>
      </c>
      <c r="K522" s="641">
        <v>85836.63</v>
      </c>
      <c r="L522" s="641">
        <v>129777.52</v>
      </c>
      <c r="M522" s="641">
        <v>83099.03</v>
      </c>
      <c r="N522" s="641">
        <v>65104.04</v>
      </c>
      <c r="O522" s="641">
        <v>127038</v>
      </c>
      <c r="P522" s="641">
        <v>100809.84</v>
      </c>
      <c r="Q522" s="641">
        <v>58341.540000000008</v>
      </c>
      <c r="R522" s="645">
        <v>104410.89</v>
      </c>
      <c r="S522" s="645">
        <v>148609.34000000008</v>
      </c>
      <c r="T522" s="645">
        <v>203919.77999999985</v>
      </c>
      <c r="U522" s="645">
        <v>106059.37999999998</v>
      </c>
      <c r="V522" s="645">
        <v>26424.019999999982</v>
      </c>
      <c r="W522" s="645">
        <v>14890.060000000001</v>
      </c>
      <c r="X522" s="645">
        <v>17929.77</v>
      </c>
      <c r="Y522" s="645">
        <v>20262.189999999999</v>
      </c>
      <c r="Z522" s="646">
        <v>20115.39</v>
      </c>
      <c r="AA522" s="641">
        <v>0</v>
      </c>
      <c r="AB522" s="645">
        <v>1.5399999999544889</v>
      </c>
      <c r="AC522" s="643">
        <v>1329856.0999999999</v>
      </c>
      <c r="AD522" s="643">
        <v>1351754.66</v>
      </c>
      <c r="AE522" s="643">
        <v>21898.560000000001</v>
      </c>
    </row>
    <row r="523" spans="1:31" hidden="1" x14ac:dyDescent="0.25">
      <c r="A523" s="691" t="s">
        <v>483</v>
      </c>
      <c r="B523" s="692"/>
      <c r="C523" s="635">
        <f t="shared" si="47"/>
        <v>0</v>
      </c>
      <c r="D523" s="635">
        <f t="shared" si="48"/>
        <v>0</v>
      </c>
      <c r="E523" s="635">
        <f t="shared" si="49"/>
        <v>0</v>
      </c>
      <c r="F523" s="635">
        <f t="shared" si="50"/>
        <v>0</v>
      </c>
      <c r="G523" s="635">
        <f t="shared" si="51"/>
        <v>0</v>
      </c>
      <c r="H523" s="641"/>
      <c r="I523" s="641"/>
      <c r="J523" s="641"/>
      <c r="K523" s="641"/>
      <c r="L523" s="641"/>
      <c r="M523" s="641"/>
      <c r="N523" s="641"/>
      <c r="O523" s="641">
        <v>0</v>
      </c>
      <c r="P523" s="641">
        <v>0</v>
      </c>
      <c r="Q523" s="641">
        <v>0</v>
      </c>
      <c r="R523" s="641">
        <v>0</v>
      </c>
      <c r="S523" s="641">
        <v>0</v>
      </c>
      <c r="T523" s="641">
        <v>0</v>
      </c>
      <c r="U523" s="645">
        <v>0</v>
      </c>
      <c r="V523" s="645">
        <v>0</v>
      </c>
      <c r="W523" s="645">
        <v>0</v>
      </c>
      <c r="X523" s="645">
        <v>0</v>
      </c>
      <c r="Y523" s="645">
        <v>0</v>
      </c>
      <c r="Z523" s="645">
        <v>0</v>
      </c>
      <c r="AA523" s="641">
        <v>0</v>
      </c>
      <c r="AB523" s="645">
        <v>0</v>
      </c>
      <c r="AC523" s="643">
        <v>0</v>
      </c>
      <c r="AD523" s="643">
        <v>0</v>
      </c>
      <c r="AE523" s="643">
        <v>0</v>
      </c>
    </row>
    <row r="524" spans="1:31" hidden="1" x14ac:dyDescent="0.25">
      <c r="A524" s="786" t="s">
        <v>1293</v>
      </c>
      <c r="B524" s="787"/>
      <c r="C524" s="635">
        <f t="shared" si="47"/>
        <v>285405.69</v>
      </c>
      <c r="D524" s="635">
        <f t="shared" si="48"/>
        <v>707211.96509803925</v>
      </c>
      <c r="E524" s="635">
        <f t="shared" si="49"/>
        <v>1474036.0199999998</v>
      </c>
      <c r="F524" s="635">
        <f t="shared" si="50"/>
        <v>748344.55</v>
      </c>
      <c r="G524" s="635">
        <f t="shared" si="51"/>
        <v>136248.32000000007</v>
      </c>
      <c r="H524" s="788">
        <v>0</v>
      </c>
      <c r="I524" s="788">
        <v>1267</v>
      </c>
      <c r="J524" s="788">
        <v>48800.639999999999</v>
      </c>
      <c r="K524" s="788">
        <v>235338.05000000002</v>
      </c>
      <c r="L524" s="788">
        <v>178453.57</v>
      </c>
      <c r="M524" s="788">
        <v>174597.5350980392</v>
      </c>
      <c r="N524" s="788">
        <v>172324.19</v>
      </c>
      <c r="O524" s="788">
        <v>181836.66999999998</v>
      </c>
      <c r="P524" s="788">
        <v>208025.99</v>
      </c>
      <c r="Q524" s="789">
        <v>489070.95</v>
      </c>
      <c r="R524" s="788">
        <v>454292.38999999996</v>
      </c>
      <c r="S524" s="788">
        <v>322646.68999999994</v>
      </c>
      <c r="T524" s="788">
        <v>403124.67000000004</v>
      </c>
      <c r="U524" s="788">
        <v>164370.60999999999</v>
      </c>
      <c r="V524" s="788">
        <v>77459.530000000028</v>
      </c>
      <c r="W524" s="788">
        <v>103389.74</v>
      </c>
      <c r="X524" s="788">
        <v>36828.380000000005</v>
      </c>
      <c r="Y524" s="788">
        <v>21423.15</v>
      </c>
      <c r="Z524" s="788">
        <v>20099.140000000058</v>
      </c>
      <c r="AA524" s="788">
        <v>57897.65</v>
      </c>
      <c r="AB524" s="788">
        <v>1.5734258340671659E-10</v>
      </c>
      <c r="AC524" s="790">
        <v>3345294.5</v>
      </c>
      <c r="AD524" s="790">
        <v>3485221.4</v>
      </c>
      <c r="AE524" s="791">
        <v>139926.9</v>
      </c>
    </row>
    <row r="525" spans="1:31" hidden="1" x14ac:dyDescent="0.25">
      <c r="A525" s="691" t="s">
        <v>584</v>
      </c>
      <c r="B525" s="692"/>
      <c r="C525" s="635">
        <f t="shared" si="47"/>
        <v>159365.75000000003</v>
      </c>
      <c r="D525" s="635">
        <f t="shared" si="48"/>
        <v>430713.05</v>
      </c>
      <c r="E525" s="635">
        <f t="shared" si="49"/>
        <v>889605.99999999988</v>
      </c>
      <c r="F525" s="635">
        <f t="shared" si="50"/>
        <v>-34094.079999999929</v>
      </c>
      <c r="G525" s="635">
        <f t="shared" si="51"/>
        <v>0</v>
      </c>
      <c r="H525" s="641">
        <v>0</v>
      </c>
      <c r="I525" s="641">
        <v>0</v>
      </c>
      <c r="J525" s="641">
        <v>21221.48</v>
      </c>
      <c r="K525" s="641">
        <v>138144.27000000002</v>
      </c>
      <c r="L525" s="641">
        <v>88908.24</v>
      </c>
      <c r="M525" s="641">
        <v>140655.78</v>
      </c>
      <c r="N525" s="641">
        <v>90602.360000000015</v>
      </c>
      <c r="O525" s="641">
        <v>110546.67</v>
      </c>
      <c r="P525" s="641">
        <v>138447.53</v>
      </c>
      <c r="Q525" s="641">
        <v>401187.95</v>
      </c>
      <c r="R525" s="645">
        <v>186267.18</v>
      </c>
      <c r="S525" s="645">
        <v>163703.33999999997</v>
      </c>
      <c r="T525" s="645">
        <v>-34094.079999999929</v>
      </c>
      <c r="U525" s="645">
        <v>0</v>
      </c>
      <c r="V525" s="645">
        <v>0</v>
      </c>
      <c r="W525" s="645">
        <v>0</v>
      </c>
      <c r="X525" s="645">
        <v>0</v>
      </c>
      <c r="Y525" s="645">
        <v>0</v>
      </c>
      <c r="Z525" s="646">
        <v>0</v>
      </c>
      <c r="AA525" s="641">
        <v>0</v>
      </c>
      <c r="AB525" s="645">
        <v>0</v>
      </c>
      <c r="AC525" s="643">
        <v>1445590.72</v>
      </c>
      <c r="AD525" s="643">
        <v>1445590.72</v>
      </c>
      <c r="AE525" s="643">
        <v>0</v>
      </c>
    </row>
    <row r="526" spans="1:31" hidden="1" x14ac:dyDescent="0.25">
      <c r="A526" s="691" t="s">
        <v>585</v>
      </c>
      <c r="B526" s="692"/>
      <c r="C526" s="635">
        <f t="shared" si="47"/>
        <v>126039.94</v>
      </c>
      <c r="D526" s="635">
        <f t="shared" si="48"/>
        <v>276498.9150980392</v>
      </c>
      <c r="E526" s="635">
        <f t="shared" si="49"/>
        <v>584430.02</v>
      </c>
      <c r="F526" s="635">
        <f t="shared" si="50"/>
        <v>782438.63</v>
      </c>
      <c r="G526" s="635">
        <f t="shared" si="51"/>
        <v>136248.32000000007</v>
      </c>
      <c r="H526" s="641">
        <v>0</v>
      </c>
      <c r="I526" s="641">
        <v>1267</v>
      </c>
      <c r="J526" s="641">
        <v>27579.16</v>
      </c>
      <c r="K526" s="641">
        <v>97193.78</v>
      </c>
      <c r="L526" s="641">
        <v>89545.33</v>
      </c>
      <c r="M526" s="641">
        <v>33941.755098039197</v>
      </c>
      <c r="N526" s="641">
        <v>81721.83</v>
      </c>
      <c r="O526" s="641">
        <v>71290</v>
      </c>
      <c r="P526" s="641">
        <v>69578.459999999992</v>
      </c>
      <c r="Q526" s="641">
        <v>87883</v>
      </c>
      <c r="R526" s="645">
        <v>268025.21000000002</v>
      </c>
      <c r="S526" s="645">
        <v>158943.34999999998</v>
      </c>
      <c r="T526" s="645">
        <v>437218.75</v>
      </c>
      <c r="U526" s="645">
        <v>164370.60999999999</v>
      </c>
      <c r="V526" s="645">
        <v>77459.530000000028</v>
      </c>
      <c r="W526" s="645">
        <v>103389.74</v>
      </c>
      <c r="X526" s="645">
        <v>36828.380000000005</v>
      </c>
      <c r="Y526" s="645">
        <v>21423.15</v>
      </c>
      <c r="Z526" s="646">
        <v>20099.140000000058</v>
      </c>
      <c r="AA526" s="641">
        <v>57897.65</v>
      </c>
      <c r="AB526" s="645">
        <v>1.5734258340671659E-10</v>
      </c>
      <c r="AC526" s="643">
        <v>1899703.78</v>
      </c>
      <c r="AD526" s="643">
        <v>2039630.68</v>
      </c>
      <c r="AE526" s="643">
        <v>139926.9</v>
      </c>
    </row>
    <row r="527" spans="1:31" hidden="1" x14ac:dyDescent="0.25">
      <c r="A527" s="691" t="s">
        <v>483</v>
      </c>
      <c r="B527" s="692"/>
      <c r="C527" s="635">
        <f t="shared" si="47"/>
        <v>0</v>
      </c>
      <c r="D527" s="635">
        <f t="shared" si="48"/>
        <v>0</v>
      </c>
      <c r="E527" s="635">
        <f t="shared" si="49"/>
        <v>0</v>
      </c>
      <c r="F527" s="635">
        <f t="shared" si="50"/>
        <v>0</v>
      </c>
      <c r="G527" s="635">
        <f t="shared" si="51"/>
        <v>0</v>
      </c>
      <c r="H527" s="641"/>
      <c r="I527" s="641"/>
      <c r="J527" s="641"/>
      <c r="K527" s="641"/>
      <c r="L527" s="641"/>
      <c r="M527" s="641"/>
      <c r="N527" s="641"/>
      <c r="O527" s="641">
        <v>0</v>
      </c>
      <c r="P527" s="641">
        <v>0</v>
      </c>
      <c r="Q527" s="641">
        <v>0</v>
      </c>
      <c r="R527" s="641">
        <v>0</v>
      </c>
      <c r="S527" s="641">
        <v>0</v>
      </c>
      <c r="T527" s="641">
        <v>0</v>
      </c>
      <c r="U527" s="645">
        <v>0</v>
      </c>
      <c r="V527" s="645">
        <v>0</v>
      </c>
      <c r="W527" s="645">
        <v>0</v>
      </c>
      <c r="X527" s="645">
        <v>0</v>
      </c>
      <c r="Y527" s="645">
        <v>0</v>
      </c>
      <c r="Z527" s="645">
        <v>0</v>
      </c>
      <c r="AA527" s="641">
        <v>0</v>
      </c>
      <c r="AB527" s="645">
        <v>0</v>
      </c>
      <c r="AC527" s="643">
        <v>0</v>
      </c>
      <c r="AD527" s="643">
        <v>0</v>
      </c>
      <c r="AE527" s="643">
        <v>0</v>
      </c>
    </row>
    <row r="528" spans="1:31" hidden="1" x14ac:dyDescent="0.25">
      <c r="A528" s="786" t="s">
        <v>1109</v>
      </c>
      <c r="B528" s="787"/>
      <c r="C528" s="635">
        <f t="shared" si="47"/>
        <v>206036.93</v>
      </c>
      <c r="D528" s="635">
        <f t="shared" si="48"/>
        <v>395967.17000000004</v>
      </c>
      <c r="E528" s="635">
        <f t="shared" si="49"/>
        <v>410180.2</v>
      </c>
      <c r="F528" s="635">
        <f t="shared" si="50"/>
        <v>85168.600000000035</v>
      </c>
      <c r="G528" s="635">
        <f t="shared" si="51"/>
        <v>0.16</v>
      </c>
      <c r="H528" s="788">
        <v>0</v>
      </c>
      <c r="I528" s="788">
        <v>841</v>
      </c>
      <c r="J528" s="788">
        <v>80401.63</v>
      </c>
      <c r="K528" s="788">
        <v>124794.29999999999</v>
      </c>
      <c r="L528" s="788">
        <v>66156.459999999992</v>
      </c>
      <c r="M528" s="788">
        <v>113622.69</v>
      </c>
      <c r="N528" s="788">
        <v>75413.05</v>
      </c>
      <c r="O528" s="788">
        <v>140774.97</v>
      </c>
      <c r="P528" s="788">
        <v>78163.81</v>
      </c>
      <c r="Q528" s="789">
        <v>110271.70999999999</v>
      </c>
      <c r="R528" s="788">
        <v>104988.25</v>
      </c>
      <c r="S528" s="788">
        <v>116756.42999999998</v>
      </c>
      <c r="T528" s="788">
        <v>85168.520000000019</v>
      </c>
      <c r="U528" s="788">
        <v>8.0000000016298145E-2</v>
      </c>
      <c r="V528" s="788">
        <v>0</v>
      </c>
      <c r="W528" s="788">
        <v>0</v>
      </c>
      <c r="X528" s="788">
        <v>0.08</v>
      </c>
      <c r="Y528" s="788">
        <v>0.08</v>
      </c>
      <c r="Z528" s="788">
        <v>0</v>
      </c>
      <c r="AA528" s="788">
        <v>0</v>
      </c>
      <c r="AB528" s="788">
        <v>-5.0022208597511053E-12</v>
      </c>
      <c r="AC528" s="790">
        <v>1093803.4300000002</v>
      </c>
      <c r="AD528" s="790">
        <v>1093803.3499999999</v>
      </c>
      <c r="AE528" s="790">
        <v>-0.08</v>
      </c>
    </row>
    <row r="529" spans="1:31" hidden="1" x14ac:dyDescent="0.25">
      <c r="A529" s="691" t="s">
        <v>584</v>
      </c>
      <c r="B529" s="692"/>
      <c r="C529" s="635">
        <f t="shared" si="47"/>
        <v>150691.66</v>
      </c>
      <c r="D529" s="635">
        <f t="shared" si="48"/>
        <v>304774.65000000002</v>
      </c>
      <c r="E529" s="635">
        <f t="shared" si="49"/>
        <v>362225.02000000008</v>
      </c>
      <c r="F529" s="635">
        <f t="shared" si="50"/>
        <v>76858.6700000001</v>
      </c>
      <c r="G529" s="635">
        <f t="shared" si="51"/>
        <v>0.16</v>
      </c>
      <c r="H529" s="641">
        <v>0</v>
      </c>
      <c r="I529" s="641">
        <v>0</v>
      </c>
      <c r="J529" s="641">
        <v>80259.5</v>
      </c>
      <c r="K529" s="641">
        <v>70432.160000000003</v>
      </c>
      <c r="L529" s="641">
        <v>56840.259999999995</v>
      </c>
      <c r="M529" s="641">
        <v>105135.69</v>
      </c>
      <c r="N529" s="641">
        <v>69661.73000000001</v>
      </c>
      <c r="O529" s="641">
        <v>73136.97</v>
      </c>
      <c r="P529" s="641">
        <v>70863.100000000006</v>
      </c>
      <c r="Q529" s="641">
        <v>86673.010000000009</v>
      </c>
      <c r="R529" s="645">
        <v>93217.67</v>
      </c>
      <c r="S529" s="645">
        <v>111471.24000000003</v>
      </c>
      <c r="T529" s="645">
        <v>76858.590000000084</v>
      </c>
      <c r="U529" s="645">
        <v>8.0000000016298145E-2</v>
      </c>
      <c r="V529" s="645">
        <v>0</v>
      </c>
      <c r="W529" s="645">
        <v>0</v>
      </c>
      <c r="X529" s="645">
        <v>0.08</v>
      </c>
      <c r="Y529" s="645">
        <v>0.08</v>
      </c>
      <c r="Z529" s="645">
        <v>0</v>
      </c>
      <c r="AA529" s="641">
        <v>0</v>
      </c>
      <c r="AB529" s="645">
        <v>0</v>
      </c>
      <c r="AC529" s="742">
        <v>894550.16</v>
      </c>
      <c r="AD529" s="742">
        <v>894550.08</v>
      </c>
      <c r="AE529" s="742">
        <v>-0.08</v>
      </c>
    </row>
    <row r="530" spans="1:31" hidden="1" x14ac:dyDescent="0.25">
      <c r="A530" s="691" t="s">
        <v>585</v>
      </c>
      <c r="B530" s="692"/>
      <c r="C530" s="635">
        <f t="shared" si="47"/>
        <v>55345.27</v>
      </c>
      <c r="D530" s="635">
        <f t="shared" si="48"/>
        <v>91192.52</v>
      </c>
      <c r="E530" s="635">
        <f t="shared" si="49"/>
        <v>47955.179999999942</v>
      </c>
      <c r="F530" s="635">
        <f t="shared" si="50"/>
        <v>8309.9299999999348</v>
      </c>
      <c r="G530" s="635">
        <f t="shared" si="51"/>
        <v>0</v>
      </c>
      <c r="H530" s="641">
        <v>0</v>
      </c>
      <c r="I530" s="641">
        <v>841</v>
      </c>
      <c r="J530" s="641">
        <v>142.13</v>
      </c>
      <c r="K530" s="641">
        <v>54362.14</v>
      </c>
      <c r="L530" s="641">
        <v>9316.2000000000007</v>
      </c>
      <c r="M530" s="641">
        <v>8487</v>
      </c>
      <c r="N530" s="641">
        <v>5751.32</v>
      </c>
      <c r="O530" s="641">
        <v>67638</v>
      </c>
      <c r="P530" s="641">
        <v>7300.71</v>
      </c>
      <c r="Q530" s="641">
        <v>23598.699999999997</v>
      </c>
      <c r="R530" s="645">
        <v>11770.58</v>
      </c>
      <c r="S530" s="645">
        <v>5285.1899999999441</v>
      </c>
      <c r="T530" s="645">
        <v>8309.9299999999348</v>
      </c>
      <c r="U530" s="645">
        <v>0</v>
      </c>
      <c r="V530" s="645">
        <v>0</v>
      </c>
      <c r="W530" s="645">
        <v>0</v>
      </c>
      <c r="X530" s="645">
        <v>0</v>
      </c>
      <c r="Y530" s="645">
        <v>0</v>
      </c>
      <c r="Z530" s="645">
        <v>0</v>
      </c>
      <c r="AA530" s="641">
        <v>0</v>
      </c>
      <c r="AB530" s="645">
        <v>-5.0022208597511053E-12</v>
      </c>
      <c r="AC530" s="742">
        <v>199253.27</v>
      </c>
      <c r="AD530" s="742">
        <v>199253.27</v>
      </c>
      <c r="AE530" s="742">
        <v>0</v>
      </c>
    </row>
    <row r="531" spans="1:31" hidden="1" x14ac:dyDescent="0.25">
      <c r="A531" s="691" t="s">
        <v>483</v>
      </c>
      <c r="B531" s="692"/>
      <c r="C531" s="635">
        <f t="shared" si="47"/>
        <v>0</v>
      </c>
      <c r="D531" s="635">
        <f t="shared" si="48"/>
        <v>0</v>
      </c>
      <c r="E531" s="635">
        <f t="shared" si="49"/>
        <v>0</v>
      </c>
      <c r="F531" s="635">
        <f t="shared" si="50"/>
        <v>0</v>
      </c>
      <c r="G531" s="635">
        <f t="shared" si="51"/>
        <v>0</v>
      </c>
      <c r="H531" s="641"/>
      <c r="I531" s="641"/>
      <c r="J531" s="641"/>
      <c r="K531" s="641"/>
      <c r="L531" s="641"/>
      <c r="M531" s="641"/>
      <c r="N531" s="641"/>
      <c r="O531" s="641">
        <v>0</v>
      </c>
      <c r="P531" s="641">
        <v>0</v>
      </c>
      <c r="Q531" s="641">
        <v>0</v>
      </c>
      <c r="R531" s="641">
        <v>0</v>
      </c>
      <c r="S531" s="641">
        <v>0</v>
      </c>
      <c r="T531" s="641">
        <v>0</v>
      </c>
      <c r="U531" s="645">
        <v>0</v>
      </c>
      <c r="V531" s="645">
        <v>0</v>
      </c>
      <c r="W531" s="645">
        <v>0</v>
      </c>
      <c r="X531" s="645">
        <v>0</v>
      </c>
      <c r="Y531" s="645">
        <v>0</v>
      </c>
      <c r="Z531" s="645">
        <v>0</v>
      </c>
      <c r="AA531" s="641">
        <v>0</v>
      </c>
      <c r="AB531" s="645">
        <v>0</v>
      </c>
      <c r="AC531" s="742">
        <v>0</v>
      </c>
      <c r="AD531" s="742">
        <v>0</v>
      </c>
      <c r="AE531" s="742">
        <v>0</v>
      </c>
    </row>
    <row r="532" spans="1:31" hidden="1" x14ac:dyDescent="0.25">
      <c r="A532" s="786" t="s">
        <v>1110</v>
      </c>
      <c r="B532" s="787"/>
      <c r="C532" s="635">
        <f t="shared" si="47"/>
        <v>216342.82</v>
      </c>
      <c r="D532" s="635">
        <f t="shared" si="48"/>
        <v>639507.22</v>
      </c>
      <c r="E532" s="635">
        <f t="shared" si="49"/>
        <v>1597085.58</v>
      </c>
      <c r="F532" s="635">
        <f t="shared" si="50"/>
        <v>428655.94000000006</v>
      </c>
      <c r="G532" s="635">
        <f t="shared" si="51"/>
        <v>26198.599999999984</v>
      </c>
      <c r="H532" s="792">
        <v>0</v>
      </c>
      <c r="I532" s="792">
        <v>1577</v>
      </c>
      <c r="J532" s="792">
        <v>89727.5</v>
      </c>
      <c r="K532" s="792">
        <v>125038.32</v>
      </c>
      <c r="L532" s="792">
        <v>131724.01</v>
      </c>
      <c r="M532" s="792">
        <v>151401.83000000002</v>
      </c>
      <c r="N532" s="792">
        <v>51611.150000000009</v>
      </c>
      <c r="O532" s="792">
        <v>304770.23</v>
      </c>
      <c r="P532" s="792">
        <v>392754.35</v>
      </c>
      <c r="Q532" s="793">
        <v>473772.57</v>
      </c>
      <c r="R532" s="792">
        <v>336845.03</v>
      </c>
      <c r="S532" s="792">
        <v>393713.63</v>
      </c>
      <c r="T532" s="792">
        <v>356716.06000000006</v>
      </c>
      <c r="U532" s="792">
        <v>64943.880000000012</v>
      </c>
      <c r="V532" s="792">
        <v>6996</v>
      </c>
      <c r="W532" s="792">
        <v>0</v>
      </c>
      <c r="X532" s="792">
        <v>3728.12</v>
      </c>
      <c r="Y532" s="792">
        <v>0</v>
      </c>
      <c r="Z532" s="792">
        <v>0</v>
      </c>
      <c r="AA532" s="792">
        <v>22470.479999999985</v>
      </c>
      <c r="AB532" s="792">
        <v>-2.0000000007712515E-2</v>
      </c>
      <c r="AC532" s="790">
        <v>2901376.8000000003</v>
      </c>
      <c r="AD532" s="790">
        <v>2901376.78</v>
      </c>
      <c r="AE532" s="790">
        <v>-0.02</v>
      </c>
    </row>
    <row r="533" spans="1:31" hidden="1" x14ac:dyDescent="0.25">
      <c r="A533" s="691" t="s">
        <v>584</v>
      </c>
      <c r="B533" s="692"/>
      <c r="C533" s="635">
        <f t="shared" si="47"/>
        <v>138663.65000000002</v>
      </c>
      <c r="D533" s="635">
        <f t="shared" si="48"/>
        <v>513155.15</v>
      </c>
      <c r="E533" s="635">
        <f t="shared" si="49"/>
        <v>1152348.92</v>
      </c>
      <c r="F533" s="635">
        <f t="shared" si="50"/>
        <v>284881.94</v>
      </c>
      <c r="G533" s="635">
        <f t="shared" si="51"/>
        <v>0</v>
      </c>
      <c r="H533" s="641">
        <v>0</v>
      </c>
      <c r="I533" s="641">
        <v>0</v>
      </c>
      <c r="J533" s="641">
        <v>89727.5</v>
      </c>
      <c r="K533" s="641">
        <v>48936.150000000009</v>
      </c>
      <c r="L533" s="641">
        <v>85632.390000000014</v>
      </c>
      <c r="M533" s="641">
        <v>122424.59</v>
      </c>
      <c r="N533" s="641">
        <v>50311.94</v>
      </c>
      <c r="O533" s="641">
        <v>254786.23</v>
      </c>
      <c r="P533" s="641">
        <v>287034.31</v>
      </c>
      <c r="Q533" s="641">
        <v>291801.63</v>
      </c>
      <c r="R533" s="645">
        <v>266662.63</v>
      </c>
      <c r="S533" s="645">
        <v>306850.34999999998</v>
      </c>
      <c r="T533" s="645">
        <v>284881.94</v>
      </c>
      <c r="U533" s="645">
        <v>0</v>
      </c>
      <c r="V533" s="645">
        <v>0</v>
      </c>
      <c r="W533" s="645">
        <v>0</v>
      </c>
      <c r="X533" s="645">
        <v>0</v>
      </c>
      <c r="Y533" s="645">
        <v>0</v>
      </c>
      <c r="Z533" s="645">
        <v>0</v>
      </c>
      <c r="AA533" s="641">
        <v>0</v>
      </c>
      <c r="AB533" s="645">
        <v>0</v>
      </c>
      <c r="AC533" s="742">
        <v>2089049.66</v>
      </c>
      <c r="AD533" s="742">
        <v>2089049.66</v>
      </c>
      <c r="AE533" s="742">
        <v>0</v>
      </c>
    </row>
    <row r="534" spans="1:31" hidden="1" x14ac:dyDescent="0.25">
      <c r="A534" s="691" t="s">
        <v>585</v>
      </c>
      <c r="B534" s="692"/>
      <c r="C534" s="635">
        <f t="shared" si="47"/>
        <v>77679.17</v>
      </c>
      <c r="D534" s="635">
        <f t="shared" si="48"/>
        <v>126352.07</v>
      </c>
      <c r="E534" s="635">
        <f t="shared" si="49"/>
        <v>444736.66000000003</v>
      </c>
      <c r="F534" s="635">
        <f t="shared" si="50"/>
        <v>143774.00000000003</v>
      </c>
      <c r="G534" s="635">
        <f t="shared" si="51"/>
        <v>26198.599999999984</v>
      </c>
      <c r="H534" s="641">
        <v>0</v>
      </c>
      <c r="I534" s="641">
        <v>1577</v>
      </c>
      <c r="J534" s="641">
        <v>0</v>
      </c>
      <c r="K534" s="641">
        <v>76102.17</v>
      </c>
      <c r="L534" s="641">
        <v>46091.62</v>
      </c>
      <c r="M534" s="641">
        <v>28977.239999999998</v>
      </c>
      <c r="N534" s="641">
        <v>1299.2100000000009</v>
      </c>
      <c r="O534" s="641">
        <v>49984</v>
      </c>
      <c r="P534" s="641">
        <v>105720.04</v>
      </c>
      <c r="Q534" s="641">
        <v>181970.93999999997</v>
      </c>
      <c r="R534" s="645">
        <v>70182.399999999994</v>
      </c>
      <c r="S534" s="645">
        <v>86863.280000000028</v>
      </c>
      <c r="T534" s="645">
        <v>71834.120000000024</v>
      </c>
      <c r="U534" s="645">
        <v>64943.880000000012</v>
      </c>
      <c r="V534" s="645">
        <v>6996</v>
      </c>
      <c r="W534" s="645">
        <v>0</v>
      </c>
      <c r="X534" s="645">
        <v>3728.12</v>
      </c>
      <c r="Y534" s="645">
        <v>0</v>
      </c>
      <c r="Z534" s="646">
        <v>0</v>
      </c>
      <c r="AA534" s="641">
        <v>22470.479999999985</v>
      </c>
      <c r="AB534" s="645">
        <v>-2.0000000007712515E-2</v>
      </c>
      <c r="AC534" s="742">
        <v>812327.14</v>
      </c>
      <c r="AD534" s="742">
        <v>812327.12</v>
      </c>
      <c r="AE534" s="742">
        <v>-0.02</v>
      </c>
    </row>
    <row r="535" spans="1:31" hidden="1" x14ac:dyDescent="0.25">
      <c r="A535" s="691" t="s">
        <v>483</v>
      </c>
      <c r="B535" s="692"/>
      <c r="C535" s="635">
        <f t="shared" si="47"/>
        <v>0</v>
      </c>
      <c r="D535" s="635">
        <f t="shared" si="48"/>
        <v>0</v>
      </c>
      <c r="E535" s="635">
        <f t="shared" si="49"/>
        <v>0</v>
      </c>
      <c r="F535" s="635">
        <f t="shared" si="50"/>
        <v>0</v>
      </c>
      <c r="G535" s="635">
        <f t="shared" si="51"/>
        <v>0</v>
      </c>
      <c r="H535" s="641"/>
      <c r="I535" s="641"/>
      <c r="J535" s="641"/>
      <c r="K535" s="641"/>
      <c r="L535" s="641"/>
      <c r="M535" s="641"/>
      <c r="N535" s="641"/>
      <c r="O535" s="641">
        <v>0</v>
      </c>
      <c r="P535" s="641">
        <v>0</v>
      </c>
      <c r="Q535" s="641">
        <v>0</v>
      </c>
      <c r="R535" s="641">
        <v>0</v>
      </c>
      <c r="S535" s="641">
        <v>0</v>
      </c>
      <c r="T535" s="641">
        <v>0</v>
      </c>
      <c r="U535" s="645">
        <v>0</v>
      </c>
      <c r="V535" s="645">
        <v>0</v>
      </c>
      <c r="W535" s="645">
        <v>0</v>
      </c>
      <c r="X535" s="645">
        <v>0</v>
      </c>
      <c r="Y535" s="645">
        <v>0</v>
      </c>
      <c r="Z535" s="645">
        <v>0</v>
      </c>
      <c r="AA535" s="641">
        <v>0</v>
      </c>
      <c r="AB535" s="645">
        <v>0</v>
      </c>
      <c r="AC535" s="742">
        <v>0</v>
      </c>
      <c r="AD535" s="742">
        <v>0</v>
      </c>
      <c r="AE535" s="742">
        <v>0</v>
      </c>
    </row>
    <row r="536" spans="1:31" ht="25.5" hidden="1" x14ac:dyDescent="0.25">
      <c r="A536" s="658" t="s">
        <v>482</v>
      </c>
      <c r="B536" s="659"/>
      <c r="C536" s="635">
        <f t="shared" si="47"/>
        <v>0</v>
      </c>
      <c r="D536" s="635">
        <f t="shared" si="48"/>
        <v>0</v>
      </c>
      <c r="E536" s="635">
        <f t="shared" si="49"/>
        <v>0</v>
      </c>
      <c r="F536" s="635">
        <f t="shared" si="50"/>
        <v>0</v>
      </c>
      <c r="G536" s="635">
        <f t="shared" si="51"/>
        <v>0</v>
      </c>
      <c r="H536" s="660">
        <v>0</v>
      </c>
      <c r="I536" s="660">
        <v>0</v>
      </c>
      <c r="J536" s="660">
        <v>0</v>
      </c>
      <c r="K536" s="660">
        <v>0</v>
      </c>
      <c r="L536" s="660">
        <v>0</v>
      </c>
      <c r="M536" s="660">
        <v>0</v>
      </c>
      <c r="N536" s="660">
        <v>0</v>
      </c>
      <c r="O536" s="660">
        <v>0</v>
      </c>
      <c r="P536" s="660">
        <v>0</v>
      </c>
      <c r="Q536" s="660">
        <v>0</v>
      </c>
      <c r="R536" s="660">
        <v>0</v>
      </c>
      <c r="S536" s="660">
        <v>0</v>
      </c>
      <c r="T536" s="660">
        <v>0</v>
      </c>
      <c r="U536" s="660">
        <v>0</v>
      </c>
      <c r="V536" s="660">
        <v>0</v>
      </c>
      <c r="W536" s="660">
        <v>0</v>
      </c>
      <c r="X536" s="660">
        <v>0</v>
      </c>
      <c r="Y536" s="660">
        <v>0</v>
      </c>
      <c r="Z536" s="660">
        <v>0</v>
      </c>
      <c r="AA536" s="661">
        <v>0</v>
      </c>
      <c r="AB536" s="660">
        <v>5162331.3499999996</v>
      </c>
      <c r="AC536" s="718">
        <v>0</v>
      </c>
      <c r="AD536" s="718">
        <v>2317490.02</v>
      </c>
      <c r="AE536" s="643">
        <v>2317490.02</v>
      </c>
    </row>
    <row r="537" spans="1:31" hidden="1" x14ac:dyDescent="0.25">
      <c r="A537" s="658" t="s">
        <v>483</v>
      </c>
      <c r="B537" s="659"/>
      <c r="C537" s="635">
        <f t="shared" si="47"/>
        <v>0</v>
      </c>
      <c r="D537" s="635">
        <f t="shared" si="48"/>
        <v>0</v>
      </c>
      <c r="E537" s="635">
        <f t="shared" si="49"/>
        <v>0</v>
      </c>
      <c r="F537" s="635">
        <f t="shared" si="50"/>
        <v>0</v>
      </c>
      <c r="G537" s="635">
        <f t="shared" si="51"/>
        <v>502931.76</v>
      </c>
      <c r="H537" s="660">
        <v>0</v>
      </c>
      <c r="I537" s="660">
        <v>0</v>
      </c>
      <c r="J537" s="660">
        <v>0</v>
      </c>
      <c r="K537" s="660">
        <v>0</v>
      </c>
      <c r="L537" s="660">
        <v>0</v>
      </c>
      <c r="M537" s="660">
        <v>0</v>
      </c>
      <c r="N537" s="660">
        <v>0</v>
      </c>
      <c r="O537" s="660">
        <v>0</v>
      </c>
      <c r="P537" s="660">
        <v>0</v>
      </c>
      <c r="Q537" s="660">
        <v>0</v>
      </c>
      <c r="R537" s="660">
        <v>0</v>
      </c>
      <c r="S537" s="660">
        <v>0</v>
      </c>
      <c r="T537" s="660">
        <v>0</v>
      </c>
      <c r="U537" s="660">
        <v>0</v>
      </c>
      <c r="V537" s="660">
        <v>0</v>
      </c>
      <c r="W537" s="660">
        <v>0</v>
      </c>
      <c r="X537" s="660">
        <v>0</v>
      </c>
      <c r="Y537" s="660">
        <v>0</v>
      </c>
      <c r="Z537" s="661">
        <v>0</v>
      </c>
      <c r="AA537" s="661">
        <v>502931.76</v>
      </c>
      <c r="AB537" s="660"/>
      <c r="AC537" s="718">
        <v>502931.76</v>
      </c>
      <c r="AD537" s="718">
        <v>370262.43</v>
      </c>
      <c r="AE537" s="643">
        <v>-132669.32999999999</v>
      </c>
    </row>
    <row r="538" spans="1:31" hidden="1" x14ac:dyDescent="0.25">
      <c r="A538" s="794" t="s">
        <v>1111</v>
      </c>
      <c r="B538" s="795"/>
      <c r="C538" s="635">
        <f t="shared" si="47"/>
        <v>701405.8600000001</v>
      </c>
      <c r="D538" s="635">
        <f t="shared" si="48"/>
        <v>1745546.2250000001</v>
      </c>
      <c r="E538" s="635">
        <f t="shared" si="49"/>
        <v>1433959.01</v>
      </c>
      <c r="F538" s="635">
        <f t="shared" si="50"/>
        <v>1583474.87</v>
      </c>
      <c r="G538" s="635">
        <f t="shared" si="51"/>
        <v>2002126.6999999997</v>
      </c>
      <c r="H538" s="662">
        <v>0</v>
      </c>
      <c r="I538" s="662">
        <v>0</v>
      </c>
      <c r="J538" s="662">
        <v>350469.84</v>
      </c>
      <c r="K538" s="662">
        <v>350936.02</v>
      </c>
      <c r="L538" s="662">
        <v>492304.06</v>
      </c>
      <c r="M538" s="662">
        <v>626595.77499999991</v>
      </c>
      <c r="N538" s="662">
        <v>313541.39</v>
      </c>
      <c r="O538" s="662">
        <v>313105</v>
      </c>
      <c r="P538" s="662">
        <v>452635.69</v>
      </c>
      <c r="Q538" s="663">
        <v>326535.78000000003</v>
      </c>
      <c r="R538" s="662">
        <v>327393.77</v>
      </c>
      <c r="S538" s="662">
        <v>327393.77</v>
      </c>
      <c r="T538" s="662">
        <v>461234.39</v>
      </c>
      <c r="U538" s="662">
        <v>330277</v>
      </c>
      <c r="V538" s="662">
        <v>329575.86</v>
      </c>
      <c r="W538" s="662">
        <v>462387.62</v>
      </c>
      <c r="X538" s="662">
        <v>297768.07</v>
      </c>
      <c r="Y538" s="662">
        <v>330074.37</v>
      </c>
      <c r="Z538" s="662">
        <v>330074.36</v>
      </c>
      <c r="AA538" s="636">
        <v>1044209.8999999999</v>
      </c>
      <c r="AB538" s="662">
        <v>1.9199999998090789</v>
      </c>
      <c r="AC538" s="638">
        <v>7466512.6699999999</v>
      </c>
      <c r="AD538" s="662">
        <v>7466513.5300000003</v>
      </c>
      <c r="AE538" s="638">
        <v>0.86</v>
      </c>
    </row>
    <row r="539" spans="1:31" hidden="1" x14ac:dyDescent="0.25">
      <c r="A539" s="739" t="s">
        <v>1112</v>
      </c>
      <c r="B539" s="692" t="s">
        <v>1113</v>
      </c>
      <c r="C539" s="635">
        <f t="shared" si="47"/>
        <v>701405.8600000001</v>
      </c>
      <c r="D539" s="635">
        <f t="shared" si="48"/>
        <v>1745546.2250000001</v>
      </c>
      <c r="E539" s="635">
        <f t="shared" si="49"/>
        <v>1433959.01</v>
      </c>
      <c r="F539" s="635">
        <f t="shared" si="50"/>
        <v>1583474.87</v>
      </c>
      <c r="G539" s="635">
        <f t="shared" si="51"/>
        <v>2002126.7</v>
      </c>
      <c r="H539" s="641">
        <v>0</v>
      </c>
      <c r="I539" s="641">
        <v>0</v>
      </c>
      <c r="J539" s="641">
        <v>350469.84</v>
      </c>
      <c r="K539" s="641">
        <v>350936.02</v>
      </c>
      <c r="L539" s="641">
        <v>492304.06</v>
      </c>
      <c r="M539" s="641">
        <v>626595.77499999991</v>
      </c>
      <c r="N539" s="641">
        <v>313541.39</v>
      </c>
      <c r="O539" s="641">
        <v>313105</v>
      </c>
      <c r="P539" s="641">
        <v>452635.69</v>
      </c>
      <c r="Q539" s="641">
        <v>326535.78000000003</v>
      </c>
      <c r="R539" s="641">
        <v>327393.77</v>
      </c>
      <c r="S539" s="641">
        <v>327393.77</v>
      </c>
      <c r="T539" s="641">
        <v>461234.39</v>
      </c>
      <c r="U539" s="645">
        <v>330277</v>
      </c>
      <c r="V539" s="641">
        <v>329575.86</v>
      </c>
      <c r="W539" s="641">
        <v>462387.62</v>
      </c>
      <c r="X539" s="641">
        <v>297768.07</v>
      </c>
      <c r="Y539" s="641">
        <v>330074.37</v>
      </c>
      <c r="Z539" s="642">
        <v>330074.36</v>
      </c>
      <c r="AA539" s="641">
        <v>1044209.9</v>
      </c>
      <c r="AB539" s="645">
        <v>1.9199999996926636</v>
      </c>
      <c r="AC539" s="647">
        <v>7466512.6700000009</v>
      </c>
      <c r="AD539" s="647">
        <v>7466513.5300000003</v>
      </c>
      <c r="AE539" s="718">
        <v>0.86</v>
      </c>
    </row>
    <row r="540" spans="1:31" ht="25.5" hidden="1" x14ac:dyDescent="0.25">
      <c r="A540" s="658" t="s">
        <v>482</v>
      </c>
      <c r="B540" s="659"/>
      <c r="C540" s="635">
        <f t="shared" si="47"/>
        <v>0</v>
      </c>
      <c r="D540" s="635">
        <f t="shared" si="48"/>
        <v>0</v>
      </c>
      <c r="E540" s="635">
        <f t="shared" si="49"/>
        <v>0</v>
      </c>
      <c r="F540" s="635">
        <f t="shared" si="50"/>
        <v>0</v>
      </c>
      <c r="G540" s="635">
        <f t="shared" si="51"/>
        <v>-1.1641532182693481E-10</v>
      </c>
      <c r="H540" s="660">
        <v>0</v>
      </c>
      <c r="I540" s="660">
        <v>0</v>
      </c>
      <c r="J540" s="660">
        <v>0</v>
      </c>
      <c r="K540" s="660">
        <v>0</v>
      </c>
      <c r="L540" s="660">
        <v>0</v>
      </c>
      <c r="M540" s="660">
        <v>0</v>
      </c>
      <c r="N540" s="660">
        <v>0</v>
      </c>
      <c r="O540" s="660">
        <v>0</v>
      </c>
      <c r="P540" s="660">
        <v>0</v>
      </c>
      <c r="Q540" s="660">
        <v>0</v>
      </c>
      <c r="R540" s="660">
        <v>0</v>
      </c>
      <c r="S540" s="660">
        <v>0</v>
      </c>
      <c r="T540" s="660">
        <v>0</v>
      </c>
      <c r="U540" s="660">
        <v>0</v>
      </c>
      <c r="V540" s="660">
        <v>0</v>
      </c>
      <c r="W540" s="660">
        <v>0</v>
      </c>
      <c r="X540" s="660">
        <v>0</v>
      </c>
      <c r="Y540" s="660">
        <v>0</v>
      </c>
      <c r="Z540" s="660">
        <v>0</v>
      </c>
      <c r="AA540" s="661">
        <v>-1.1641532182693481E-10</v>
      </c>
      <c r="AB540" s="660">
        <v>1.1641532182693481E-10</v>
      </c>
      <c r="AC540" s="647">
        <v>0</v>
      </c>
      <c r="AD540" s="647">
        <v>0</v>
      </c>
      <c r="AE540" s="643">
        <v>0</v>
      </c>
    </row>
    <row r="541" spans="1:31" hidden="1" x14ac:dyDescent="0.25">
      <c r="A541" s="658" t="s">
        <v>483</v>
      </c>
      <c r="B541" s="659"/>
      <c r="C541" s="635">
        <f t="shared" si="47"/>
        <v>0</v>
      </c>
      <c r="D541" s="635">
        <f t="shared" si="48"/>
        <v>0</v>
      </c>
      <c r="E541" s="635">
        <f t="shared" si="49"/>
        <v>0</v>
      </c>
      <c r="F541" s="635">
        <f t="shared" si="50"/>
        <v>0</v>
      </c>
      <c r="G541" s="635">
        <f t="shared" si="51"/>
        <v>0</v>
      </c>
      <c r="H541" s="660"/>
      <c r="I541" s="660"/>
      <c r="J541" s="660"/>
      <c r="K541" s="660"/>
      <c r="L541" s="660"/>
      <c r="M541" s="660"/>
      <c r="N541" s="660">
        <v>0</v>
      </c>
      <c r="O541" s="660">
        <v>0</v>
      </c>
      <c r="P541" s="660">
        <v>0</v>
      </c>
      <c r="Q541" s="660">
        <v>0</v>
      </c>
      <c r="R541" s="660">
        <v>0</v>
      </c>
      <c r="S541" s="660">
        <v>0</v>
      </c>
      <c r="T541" s="660">
        <v>0</v>
      </c>
      <c r="U541" s="660">
        <v>0</v>
      </c>
      <c r="V541" s="660">
        <v>0</v>
      </c>
      <c r="W541" s="660">
        <v>0</v>
      </c>
      <c r="X541" s="660">
        <v>0</v>
      </c>
      <c r="Y541" s="660">
        <v>0</v>
      </c>
      <c r="Z541" s="660">
        <v>0</v>
      </c>
      <c r="AA541" s="661">
        <v>0</v>
      </c>
      <c r="AB541" s="660"/>
      <c r="AC541" s="647">
        <v>0</v>
      </c>
      <c r="AD541" s="647">
        <v>0</v>
      </c>
      <c r="AE541" s="643">
        <v>0</v>
      </c>
    </row>
    <row r="542" spans="1:31" hidden="1" x14ac:dyDescent="0.25">
      <c r="A542" s="794" t="s">
        <v>1114</v>
      </c>
      <c r="B542" s="768"/>
      <c r="C542" s="635">
        <f t="shared" si="47"/>
        <v>220474.58000000002</v>
      </c>
      <c r="D542" s="635">
        <f t="shared" si="48"/>
        <v>2071359.0499999998</v>
      </c>
      <c r="E542" s="635">
        <f t="shared" si="49"/>
        <v>1978592.8800000001</v>
      </c>
      <c r="F542" s="635">
        <f t="shared" si="50"/>
        <v>1548641.8699999999</v>
      </c>
      <c r="G542" s="635">
        <f t="shared" si="51"/>
        <v>1329252.23</v>
      </c>
      <c r="H542" s="662">
        <v>0</v>
      </c>
      <c r="I542" s="662">
        <v>0</v>
      </c>
      <c r="J542" s="662">
        <v>0</v>
      </c>
      <c r="K542" s="662">
        <v>220474.58000000002</v>
      </c>
      <c r="L542" s="662">
        <v>432748.81</v>
      </c>
      <c r="M542" s="662">
        <v>365807.43000000005</v>
      </c>
      <c r="N542" s="662">
        <v>1151116.6499999999</v>
      </c>
      <c r="O542" s="662">
        <v>121686.15999999999</v>
      </c>
      <c r="P542" s="662">
        <v>1345466.08</v>
      </c>
      <c r="Q542" s="663">
        <v>228080.72999999998</v>
      </c>
      <c r="R542" s="662">
        <v>13050.73</v>
      </c>
      <c r="S542" s="662">
        <v>391995.34</v>
      </c>
      <c r="T542" s="662">
        <v>126561.66</v>
      </c>
      <c r="U542" s="662">
        <v>0</v>
      </c>
      <c r="V542" s="662">
        <v>1281354.31</v>
      </c>
      <c r="W542" s="662">
        <v>140725.9</v>
      </c>
      <c r="X542" s="662">
        <v>211291.28999999998</v>
      </c>
      <c r="Y542" s="662">
        <v>204152.61</v>
      </c>
      <c r="Z542" s="662">
        <v>178105.55</v>
      </c>
      <c r="AA542" s="636">
        <v>735702.78</v>
      </c>
      <c r="AB542" s="662">
        <v>-0.25999999951454811</v>
      </c>
      <c r="AC542" s="638">
        <v>7148320.6100000003</v>
      </c>
      <c r="AD542" s="662">
        <v>7131321.8399999999</v>
      </c>
      <c r="AE542" s="638">
        <v>-16998.77</v>
      </c>
    </row>
    <row r="543" spans="1:31" ht="25.5" hidden="1" x14ac:dyDescent="0.25">
      <c r="A543" s="739" t="s">
        <v>1115</v>
      </c>
      <c r="B543" s="692" t="s">
        <v>1116</v>
      </c>
      <c r="C543" s="635">
        <f t="shared" si="47"/>
        <v>57139.4</v>
      </c>
      <c r="D543" s="635">
        <f t="shared" si="48"/>
        <v>87043.55</v>
      </c>
      <c r="E543" s="635">
        <f t="shared" si="49"/>
        <v>0</v>
      </c>
      <c r="F543" s="635">
        <f t="shared" si="50"/>
        <v>0</v>
      </c>
      <c r="G543" s="635">
        <f t="shared" si="51"/>
        <v>0</v>
      </c>
      <c r="H543" s="641">
        <v>0</v>
      </c>
      <c r="I543" s="641">
        <v>0</v>
      </c>
      <c r="J543" s="641">
        <v>0</v>
      </c>
      <c r="K543" s="641">
        <v>57139.4</v>
      </c>
      <c r="L543" s="641">
        <v>87043.55</v>
      </c>
      <c r="M543" s="641">
        <v>0</v>
      </c>
      <c r="N543" s="641">
        <v>0</v>
      </c>
      <c r="O543" s="641">
        <v>0</v>
      </c>
      <c r="P543" s="641">
        <v>0</v>
      </c>
      <c r="Q543" s="641">
        <v>0</v>
      </c>
      <c r="R543" s="641">
        <v>0</v>
      </c>
      <c r="S543" s="641">
        <v>0</v>
      </c>
      <c r="T543" s="641">
        <v>0</v>
      </c>
      <c r="U543" s="645">
        <v>0</v>
      </c>
      <c r="V543" s="645">
        <v>0</v>
      </c>
      <c r="W543" s="645">
        <v>0</v>
      </c>
      <c r="X543" s="645">
        <v>0</v>
      </c>
      <c r="Y543" s="645">
        <v>0</v>
      </c>
      <c r="Z543" s="645">
        <v>0</v>
      </c>
      <c r="AA543" s="641">
        <v>0</v>
      </c>
      <c r="AB543" s="645">
        <v>0</v>
      </c>
      <c r="AC543" s="647">
        <v>144182.95000000001</v>
      </c>
      <c r="AD543" s="647">
        <v>144182.95000000001</v>
      </c>
      <c r="AE543" s="718">
        <v>0</v>
      </c>
    </row>
    <row r="544" spans="1:31" hidden="1" x14ac:dyDescent="0.25">
      <c r="A544" s="739" t="s">
        <v>1117</v>
      </c>
      <c r="B544" s="692" t="s">
        <v>1118</v>
      </c>
      <c r="C544" s="635">
        <f t="shared" si="47"/>
        <v>163335.18</v>
      </c>
      <c r="D544" s="635">
        <f t="shared" si="48"/>
        <v>1984315.4999999998</v>
      </c>
      <c r="E544" s="635">
        <f t="shared" si="49"/>
        <v>1978592.8800000001</v>
      </c>
      <c r="F544" s="635">
        <f t="shared" si="50"/>
        <v>1548641.8699999999</v>
      </c>
      <c r="G544" s="635">
        <f t="shared" si="51"/>
        <v>1329252.23</v>
      </c>
      <c r="H544" s="641">
        <v>0</v>
      </c>
      <c r="I544" s="641">
        <v>0</v>
      </c>
      <c r="J544" s="641">
        <v>0</v>
      </c>
      <c r="K544" s="641">
        <v>163335.18</v>
      </c>
      <c r="L544" s="641">
        <v>345705.26</v>
      </c>
      <c r="M544" s="641">
        <v>365807.43000000005</v>
      </c>
      <c r="N544" s="641">
        <v>1151116.6499999999</v>
      </c>
      <c r="O544" s="641">
        <v>121686.15999999999</v>
      </c>
      <c r="P544" s="641">
        <v>1345466.08</v>
      </c>
      <c r="Q544" s="641">
        <v>228080.72999999998</v>
      </c>
      <c r="R544" s="641">
        <v>13050.73</v>
      </c>
      <c r="S544" s="641">
        <v>391995.34</v>
      </c>
      <c r="T544" s="641">
        <v>126561.66</v>
      </c>
      <c r="U544" s="645">
        <v>0</v>
      </c>
      <c r="V544" s="641">
        <v>1281354.31</v>
      </c>
      <c r="W544" s="641">
        <v>140725.9</v>
      </c>
      <c r="X544" s="641">
        <v>211291.28999999998</v>
      </c>
      <c r="Y544" s="641">
        <v>204152.61</v>
      </c>
      <c r="Z544" s="642">
        <v>178105.55</v>
      </c>
      <c r="AA544" s="641">
        <v>735702.78</v>
      </c>
      <c r="AB544" s="645">
        <v>-0.25999999954365194</v>
      </c>
      <c r="AC544" s="647">
        <v>7004137.6600000001</v>
      </c>
      <c r="AD544" s="647">
        <v>6987138.8899999997</v>
      </c>
      <c r="AE544" s="718">
        <v>-16998.77</v>
      </c>
    </row>
    <row r="545" spans="1:33" ht="25.5" hidden="1" x14ac:dyDescent="0.25">
      <c r="A545" s="658" t="s">
        <v>482</v>
      </c>
      <c r="B545" s="659"/>
      <c r="C545" s="635">
        <f t="shared" si="47"/>
        <v>0</v>
      </c>
      <c r="D545" s="635">
        <f t="shared" si="48"/>
        <v>0</v>
      </c>
      <c r="E545" s="635">
        <f t="shared" si="49"/>
        <v>0</v>
      </c>
      <c r="F545" s="635">
        <f t="shared" si="50"/>
        <v>0</v>
      </c>
      <c r="G545" s="635">
        <f t="shared" si="51"/>
        <v>-2.9103830456733704E-11</v>
      </c>
      <c r="H545" s="660">
        <v>0</v>
      </c>
      <c r="I545" s="660">
        <v>0</v>
      </c>
      <c r="J545" s="660">
        <v>0</v>
      </c>
      <c r="K545" s="660">
        <v>0</v>
      </c>
      <c r="L545" s="660">
        <v>0</v>
      </c>
      <c r="M545" s="660">
        <v>0</v>
      </c>
      <c r="N545" s="660">
        <v>0</v>
      </c>
      <c r="O545" s="660">
        <v>0</v>
      </c>
      <c r="P545" s="660">
        <v>0</v>
      </c>
      <c r="Q545" s="660">
        <v>0</v>
      </c>
      <c r="R545" s="660">
        <v>0</v>
      </c>
      <c r="S545" s="660">
        <v>0</v>
      </c>
      <c r="T545" s="660">
        <v>0</v>
      </c>
      <c r="U545" s="660">
        <v>0</v>
      </c>
      <c r="V545" s="660">
        <v>0</v>
      </c>
      <c r="W545" s="660">
        <v>0</v>
      </c>
      <c r="X545" s="660">
        <v>0</v>
      </c>
      <c r="Y545" s="660">
        <v>0</v>
      </c>
      <c r="Z545" s="660">
        <v>0</v>
      </c>
      <c r="AA545" s="661">
        <v>-2.9103830456733704E-11</v>
      </c>
      <c r="AB545" s="660">
        <v>2.9103830456733704E-11</v>
      </c>
      <c r="AC545" s="647">
        <v>0</v>
      </c>
      <c r="AD545" s="647">
        <v>0</v>
      </c>
      <c r="AE545" s="643">
        <v>0</v>
      </c>
    </row>
    <row r="546" spans="1:33" hidden="1" x14ac:dyDescent="0.25">
      <c r="A546" s="658" t="s">
        <v>483</v>
      </c>
      <c r="B546" s="659"/>
      <c r="C546" s="635">
        <f t="shared" si="47"/>
        <v>0</v>
      </c>
      <c r="D546" s="635">
        <f t="shared" si="48"/>
        <v>0</v>
      </c>
      <c r="E546" s="635">
        <f t="shared" si="49"/>
        <v>0</v>
      </c>
      <c r="F546" s="635">
        <f t="shared" si="50"/>
        <v>0</v>
      </c>
      <c r="G546" s="635">
        <f t="shared" si="51"/>
        <v>0</v>
      </c>
      <c r="H546" s="660">
        <v>0</v>
      </c>
      <c r="I546" s="660">
        <v>0</v>
      </c>
      <c r="J546" s="660">
        <v>0</v>
      </c>
      <c r="K546" s="660">
        <v>0</v>
      </c>
      <c r="L546" s="660">
        <v>0</v>
      </c>
      <c r="M546" s="660">
        <v>0</v>
      </c>
      <c r="N546" s="660">
        <v>0</v>
      </c>
      <c r="O546" s="660">
        <v>0</v>
      </c>
      <c r="P546" s="660">
        <v>0</v>
      </c>
      <c r="Q546" s="660">
        <v>0</v>
      </c>
      <c r="R546" s="660">
        <v>0</v>
      </c>
      <c r="S546" s="660">
        <v>0</v>
      </c>
      <c r="T546" s="660">
        <v>0</v>
      </c>
      <c r="U546" s="660">
        <v>0</v>
      </c>
      <c r="V546" s="660">
        <v>0</v>
      </c>
      <c r="W546" s="660">
        <v>0</v>
      </c>
      <c r="X546" s="660">
        <v>0</v>
      </c>
      <c r="Y546" s="660">
        <v>0</v>
      </c>
      <c r="Z546" s="660">
        <v>0</v>
      </c>
      <c r="AA546" s="661">
        <v>0</v>
      </c>
      <c r="AB546" s="660"/>
      <c r="AC546" s="647">
        <v>0</v>
      </c>
      <c r="AD546" s="647">
        <v>0</v>
      </c>
      <c r="AE546" s="643">
        <v>0</v>
      </c>
    </row>
    <row r="547" spans="1:33" hidden="1" x14ac:dyDescent="0.25">
      <c r="A547" s="794" t="s">
        <v>1119</v>
      </c>
      <c r="B547" s="768"/>
      <c r="C547" s="635">
        <f t="shared" si="47"/>
        <v>0</v>
      </c>
      <c r="D547" s="635">
        <f t="shared" si="48"/>
        <v>23463.079999999998</v>
      </c>
      <c r="E547" s="635">
        <f t="shared" si="49"/>
        <v>88190.6</v>
      </c>
      <c r="F547" s="635">
        <f t="shared" si="50"/>
        <v>80641.37000000001</v>
      </c>
      <c r="G547" s="635">
        <f t="shared" si="51"/>
        <v>215254.2</v>
      </c>
      <c r="H547" s="662">
        <v>0</v>
      </c>
      <c r="I547" s="662">
        <v>0</v>
      </c>
      <c r="J547" s="662">
        <v>0</v>
      </c>
      <c r="K547" s="662">
        <v>0</v>
      </c>
      <c r="L547" s="662">
        <v>3078.11</v>
      </c>
      <c r="M547" s="662">
        <v>10446.17</v>
      </c>
      <c r="N547" s="662">
        <v>5328.93</v>
      </c>
      <c r="O547" s="662">
        <v>4609.87</v>
      </c>
      <c r="P547" s="662">
        <v>33087.96</v>
      </c>
      <c r="Q547" s="663">
        <v>18261.93</v>
      </c>
      <c r="R547" s="662">
        <v>30069.11</v>
      </c>
      <c r="S547" s="662">
        <v>6771.6</v>
      </c>
      <c r="T547" s="662">
        <v>14436</v>
      </c>
      <c r="U547" s="662">
        <v>20367.27</v>
      </c>
      <c r="V547" s="662">
        <v>35316.58</v>
      </c>
      <c r="W547" s="662">
        <v>10521.52</v>
      </c>
      <c r="X547" s="662">
        <v>12189.91</v>
      </c>
      <c r="Y547" s="662">
        <v>24247.35</v>
      </c>
      <c r="Z547" s="662">
        <v>19390.410000000007</v>
      </c>
      <c r="AA547" s="636">
        <v>159426.53</v>
      </c>
      <c r="AB547" s="662">
        <v>0</v>
      </c>
      <c r="AC547" s="638">
        <v>407549.25</v>
      </c>
      <c r="AD547" s="662">
        <v>412763.50000000006</v>
      </c>
      <c r="AE547" s="638">
        <v>5214.25</v>
      </c>
    </row>
    <row r="548" spans="1:33" hidden="1" x14ac:dyDescent="0.25">
      <c r="A548" s="741" t="s">
        <v>1120</v>
      </c>
      <c r="B548" s="692" t="s">
        <v>1121</v>
      </c>
      <c r="C548" s="635">
        <f t="shared" si="47"/>
        <v>0</v>
      </c>
      <c r="D548" s="635">
        <f t="shared" si="48"/>
        <v>23463.079999999998</v>
      </c>
      <c r="E548" s="635">
        <f t="shared" si="49"/>
        <v>88190.6</v>
      </c>
      <c r="F548" s="635">
        <f t="shared" si="50"/>
        <v>80641.37000000001</v>
      </c>
      <c r="G548" s="635">
        <f t="shared" si="51"/>
        <v>213254.2</v>
      </c>
      <c r="H548" s="648">
        <v>0</v>
      </c>
      <c r="I548" s="648">
        <v>0</v>
      </c>
      <c r="J548" s="648">
        <v>0</v>
      </c>
      <c r="K548" s="648">
        <v>0</v>
      </c>
      <c r="L548" s="648">
        <v>3078.11</v>
      </c>
      <c r="M548" s="648">
        <v>10446.17</v>
      </c>
      <c r="N548" s="648">
        <v>5328.93</v>
      </c>
      <c r="O548" s="648">
        <v>4609.87</v>
      </c>
      <c r="P548" s="648">
        <v>33087.96</v>
      </c>
      <c r="Q548" s="648">
        <v>18261.93</v>
      </c>
      <c r="R548" s="648">
        <v>30069.11</v>
      </c>
      <c r="S548" s="648">
        <v>6771.6</v>
      </c>
      <c r="T548" s="648">
        <v>14436</v>
      </c>
      <c r="U548" s="645">
        <v>20367.27</v>
      </c>
      <c r="V548" s="648">
        <v>35316.58</v>
      </c>
      <c r="W548" s="648">
        <v>10521.52</v>
      </c>
      <c r="X548" s="648">
        <v>12189.91</v>
      </c>
      <c r="Y548" s="648">
        <v>24247.35</v>
      </c>
      <c r="Z548" s="657">
        <v>19390.410000000007</v>
      </c>
      <c r="AA548" s="641">
        <v>157426.53</v>
      </c>
      <c r="AB548" s="645"/>
      <c r="AC548" s="647">
        <v>405549.25</v>
      </c>
      <c r="AD548" s="647">
        <v>407053.04000000004</v>
      </c>
      <c r="AE548" s="718">
        <v>1503.79</v>
      </c>
    </row>
    <row r="549" spans="1:33" ht="25.5" hidden="1" x14ac:dyDescent="0.25">
      <c r="A549" s="658" t="s">
        <v>482</v>
      </c>
      <c r="B549" s="659"/>
      <c r="C549" s="635">
        <f t="shared" si="47"/>
        <v>0</v>
      </c>
      <c r="D549" s="635">
        <f t="shared" si="48"/>
        <v>0</v>
      </c>
      <c r="E549" s="635">
        <f t="shared" si="49"/>
        <v>0</v>
      </c>
      <c r="F549" s="635">
        <f t="shared" si="50"/>
        <v>0</v>
      </c>
      <c r="G549" s="635">
        <f t="shared" si="51"/>
        <v>0</v>
      </c>
      <c r="H549" s="660">
        <v>0</v>
      </c>
      <c r="I549" s="660">
        <v>0</v>
      </c>
      <c r="J549" s="660">
        <v>0</v>
      </c>
      <c r="K549" s="660">
        <v>0</v>
      </c>
      <c r="L549" s="660">
        <v>0</v>
      </c>
      <c r="M549" s="660">
        <v>0</v>
      </c>
      <c r="N549" s="660">
        <v>0</v>
      </c>
      <c r="O549" s="660">
        <v>0</v>
      </c>
      <c r="P549" s="660">
        <v>0</v>
      </c>
      <c r="Q549" s="660">
        <v>0</v>
      </c>
      <c r="R549" s="660">
        <v>0</v>
      </c>
      <c r="S549" s="660">
        <v>0</v>
      </c>
      <c r="T549" s="660">
        <v>0</v>
      </c>
      <c r="U549" s="660">
        <v>0</v>
      </c>
      <c r="V549" s="660">
        <v>0</v>
      </c>
      <c r="W549" s="660">
        <v>0</v>
      </c>
      <c r="X549" s="660">
        <v>0</v>
      </c>
      <c r="Y549" s="660">
        <v>0</v>
      </c>
      <c r="Z549" s="660">
        <v>0</v>
      </c>
      <c r="AA549" s="661">
        <v>0</v>
      </c>
      <c r="AB549" s="660">
        <v>0</v>
      </c>
      <c r="AC549" s="647">
        <v>0</v>
      </c>
      <c r="AD549" s="647">
        <v>0</v>
      </c>
      <c r="AE549" s="643">
        <v>0</v>
      </c>
    </row>
    <row r="550" spans="1:33" hidden="1" x14ac:dyDescent="0.25">
      <c r="A550" s="658" t="s">
        <v>483</v>
      </c>
      <c r="B550" s="659"/>
      <c r="C550" s="635">
        <f t="shared" si="47"/>
        <v>0</v>
      </c>
      <c r="D550" s="635">
        <f t="shared" si="48"/>
        <v>0</v>
      </c>
      <c r="E550" s="635">
        <f t="shared" si="49"/>
        <v>0</v>
      </c>
      <c r="F550" s="635">
        <f t="shared" si="50"/>
        <v>0</v>
      </c>
      <c r="G550" s="635">
        <f t="shared" si="51"/>
        <v>2000</v>
      </c>
      <c r="H550" s="660">
        <v>0</v>
      </c>
      <c r="I550" s="660">
        <v>0</v>
      </c>
      <c r="J550" s="660">
        <v>0</v>
      </c>
      <c r="K550" s="660">
        <v>0</v>
      </c>
      <c r="L550" s="660">
        <v>0</v>
      </c>
      <c r="M550" s="660">
        <v>0</v>
      </c>
      <c r="N550" s="660">
        <v>0</v>
      </c>
      <c r="O550" s="660">
        <v>0</v>
      </c>
      <c r="P550" s="660">
        <v>0</v>
      </c>
      <c r="Q550" s="660">
        <v>0</v>
      </c>
      <c r="R550" s="660">
        <v>0</v>
      </c>
      <c r="S550" s="660">
        <v>0</v>
      </c>
      <c r="T550" s="660">
        <v>0</v>
      </c>
      <c r="U550" s="660">
        <v>0</v>
      </c>
      <c r="V550" s="660">
        <v>0</v>
      </c>
      <c r="W550" s="660">
        <v>0</v>
      </c>
      <c r="X550" s="660">
        <v>0</v>
      </c>
      <c r="Y550" s="660">
        <v>0</v>
      </c>
      <c r="Z550" s="661">
        <v>0</v>
      </c>
      <c r="AA550" s="661">
        <v>2000</v>
      </c>
      <c r="AB550" s="660"/>
      <c r="AC550" s="647">
        <v>2000</v>
      </c>
      <c r="AD550" s="647">
        <v>5710.46</v>
      </c>
      <c r="AE550" s="643">
        <v>3710.46</v>
      </c>
    </row>
    <row r="551" spans="1:33" x14ac:dyDescent="0.25">
      <c r="A551" s="796" t="s">
        <v>1122</v>
      </c>
      <c r="B551" s="797"/>
      <c r="C551" s="635">
        <f t="shared" si="47"/>
        <v>4599740.96</v>
      </c>
      <c r="D551" s="635">
        <f t="shared" si="48"/>
        <v>11792366.449418964</v>
      </c>
      <c r="E551" s="635">
        <f t="shared" si="49"/>
        <v>14055970.34</v>
      </c>
      <c r="F551" s="635">
        <f t="shared" si="50"/>
        <v>11362545.930000002</v>
      </c>
      <c r="G551" s="635">
        <f t="shared" si="51"/>
        <v>15810939.373</v>
      </c>
      <c r="H551" s="697">
        <v>0</v>
      </c>
      <c r="I551" s="697">
        <v>451639.71</v>
      </c>
      <c r="J551" s="697">
        <v>1504820.64</v>
      </c>
      <c r="K551" s="697">
        <v>2643280.6100000003</v>
      </c>
      <c r="L551" s="697">
        <v>2852043.91</v>
      </c>
      <c r="M551" s="697">
        <v>3006021.6394189629</v>
      </c>
      <c r="N551" s="697">
        <v>3387798.92</v>
      </c>
      <c r="O551" s="697">
        <v>2546501.98</v>
      </c>
      <c r="P551" s="697">
        <v>4102109.52</v>
      </c>
      <c r="Q551" s="711">
        <v>3336062.4400000004</v>
      </c>
      <c r="R551" s="697">
        <v>3383345.6899999995</v>
      </c>
      <c r="S551" s="697">
        <v>3234452.6899999995</v>
      </c>
      <c r="T551" s="697">
        <v>3330150.8500000006</v>
      </c>
      <c r="U551" s="697">
        <v>2677529.44</v>
      </c>
      <c r="V551" s="697">
        <v>3156200.1100000003</v>
      </c>
      <c r="W551" s="697">
        <v>2198665.5299999998</v>
      </c>
      <c r="X551" s="697">
        <v>2067988.9199999997</v>
      </c>
      <c r="Y551" s="697">
        <v>2143821.91</v>
      </c>
      <c r="Z551" s="697">
        <v>2788204.46</v>
      </c>
      <c r="AA551" s="697">
        <v>8810924.0830000006</v>
      </c>
      <c r="AB551" s="697">
        <v>5163649.9654680127</v>
      </c>
      <c r="AC551" s="697">
        <v>57499576.443000004</v>
      </c>
      <c r="AD551" s="697">
        <v>62663226.409999996</v>
      </c>
      <c r="AE551" s="697">
        <v>5163649.97</v>
      </c>
    </row>
    <row r="552" spans="1:33" x14ac:dyDescent="0.25">
      <c r="A552" s="798" t="s">
        <v>1123</v>
      </c>
      <c r="B552" s="799"/>
      <c r="C552" s="635">
        <f t="shared" si="47"/>
        <v>17881610.879999999</v>
      </c>
      <c r="D552" s="635">
        <f t="shared" si="48"/>
        <v>61112672.766152292</v>
      </c>
      <c r="E552" s="635">
        <f t="shared" si="49"/>
        <v>124275538.59999999</v>
      </c>
      <c r="F552" s="635">
        <f t="shared" si="50"/>
        <v>167724636.59999999</v>
      </c>
      <c r="G552" s="635">
        <f t="shared" si="51"/>
        <v>151346271.05000001</v>
      </c>
      <c r="H552" s="800">
        <v>0</v>
      </c>
      <c r="I552" s="800">
        <v>524591.61</v>
      </c>
      <c r="J552" s="800">
        <v>10106946.960000001</v>
      </c>
      <c r="K552" s="800">
        <v>7250072.3099999996</v>
      </c>
      <c r="L552" s="800">
        <v>13167756.249999998</v>
      </c>
      <c r="M552" s="800">
        <v>13099539.226152295</v>
      </c>
      <c r="N552" s="800">
        <v>18567885.960000001</v>
      </c>
      <c r="O552" s="800">
        <v>16277491.33</v>
      </c>
      <c r="P552" s="800">
        <v>21129644.539999999</v>
      </c>
      <c r="Q552" s="801">
        <v>32852842.93</v>
      </c>
      <c r="R552" s="800">
        <v>41962553.619999997</v>
      </c>
      <c r="S552" s="800">
        <v>28330497.509999998</v>
      </c>
      <c r="T552" s="800">
        <v>38012270.280000001</v>
      </c>
      <c r="U552" s="800">
        <v>45438156.030000001</v>
      </c>
      <c r="V552" s="800">
        <v>49833828.239999995</v>
      </c>
      <c r="W552" s="800">
        <v>34440382.049999997</v>
      </c>
      <c r="X552" s="800">
        <v>32697326.140000001</v>
      </c>
      <c r="Y552" s="800">
        <v>61622807.609999999</v>
      </c>
      <c r="Z552" s="800">
        <v>57026137.299999997</v>
      </c>
      <c r="AA552" s="800"/>
      <c r="AB552" s="800">
        <v>40391461.248641893</v>
      </c>
      <c r="AC552" s="800"/>
      <c r="AD552" s="800">
        <v>693797180.82999992</v>
      </c>
      <c r="AE552" s="800"/>
    </row>
    <row r="554" spans="1:33" x14ac:dyDescent="0.25">
      <c r="A554" s="618" t="s">
        <v>1124</v>
      </c>
      <c r="C554" s="802">
        <f>C551+C495</f>
        <v>4652221.5</v>
      </c>
      <c r="D554" s="802">
        <f t="shared" ref="D554:G554" si="52">D551+D495</f>
        <v>13207206.569418963</v>
      </c>
      <c r="E554" s="802">
        <f t="shared" si="52"/>
        <v>18033233.789999999</v>
      </c>
      <c r="F554" s="802">
        <f t="shared" si="52"/>
        <v>15642879.330000002</v>
      </c>
      <c r="G554" s="802">
        <f t="shared" si="52"/>
        <v>22341168.062090911</v>
      </c>
      <c r="AB554" s="618" t="s">
        <v>1125</v>
      </c>
      <c r="AC554" s="802">
        <f>SUM(AC551,AC495)</f>
        <v>73754722.642090917</v>
      </c>
    </row>
    <row r="555" spans="1:33" x14ac:dyDescent="0.25">
      <c r="AB555" s="886" t="s">
        <v>1370</v>
      </c>
      <c r="AC555" s="887">
        <f>AD552-AG555</f>
        <v>39838370.829999924</v>
      </c>
      <c r="AD555" s="888"/>
      <c r="AE555" s="888"/>
      <c r="AF555" s="888"/>
      <c r="AG555" s="889">
        <v>653958810</v>
      </c>
    </row>
    <row r="556" spans="1:33" x14ac:dyDescent="0.25">
      <c r="AB556" s="886" t="s">
        <v>1371</v>
      </c>
      <c r="AC556" s="890">
        <f>AD552-AC555-AC554</f>
        <v>580204087.35790908</v>
      </c>
      <c r="AD556" s="888"/>
      <c r="AE556" s="888"/>
      <c r="AF556" s="888"/>
      <c r="AG556" s="888"/>
    </row>
  </sheetData>
  <mergeCells count="2">
    <mergeCell ref="AD1:AD2"/>
    <mergeCell ref="AE1:AE2"/>
  </mergeCells>
  <dataValidations count="29">
    <dataValidation type="textLength" errorStyle="information" allowBlank="1" showInputMessage="1" showErrorMessage="1" error="XLBVal:6=26549.34_x000d__x000a_" sqref="J533">
      <formula1>0</formula1>
      <formula2>300</formula2>
    </dataValidation>
    <dataValidation type="textLength" errorStyle="information" allowBlank="1" showInputMessage="1" showErrorMessage="1" error="XLBVal:6=26496.5_x000d__x000a_" sqref="J534:J535">
      <formula1>0</formula1>
      <formula2>300</formula2>
    </dataValidation>
    <dataValidation type="textLength" errorStyle="information" allowBlank="1" showInputMessage="1" showErrorMessage="1" error="XLBVal:6=22010.7_x000d__x000a_" sqref="J529">
      <formula1>0</formula1>
      <formula2>300</formula2>
    </dataValidation>
    <dataValidation type="textLength" errorStyle="information" allowBlank="1" showInputMessage="1" showErrorMessage="1" error="XLBVal:6=153678.62_x000d__x000a_" sqref="J473:J477">
      <formula1>0</formula1>
      <formula2>300</formula2>
    </dataValidation>
    <dataValidation type="textLength" errorStyle="information" allowBlank="1" showInputMessage="1" showErrorMessage="1" error="XLBVal:6=178520_x000d__x000a_" sqref="I482:I485">
      <formula1>0</formula1>
      <formula2>300</formula2>
    </dataValidation>
    <dataValidation type="textLength" errorStyle="information" allowBlank="1" showInputMessage="1" showErrorMessage="1" error="XLBVal:6=665365_x000d__x000a_" sqref="I473:I477">
      <formula1>0</formula1>
      <formula2>300</formula2>
    </dataValidation>
    <dataValidation type="textLength" errorStyle="information" allowBlank="1" showInputMessage="1" showErrorMessage="1" error="XLBVal:5=8553.25_x000d__x000a_" sqref="H482:H485">
      <formula1>0</formula1>
      <formula2>300</formula2>
    </dataValidation>
    <dataValidation type="textLength" errorStyle="information" allowBlank="1" showInputMessage="1" showErrorMessage="1" error="XLBVal:5=161734.77_x000d__x000a_" sqref="H473:H477">
      <formula1>0</formula1>
      <formula2>300</formula2>
    </dataValidation>
    <dataValidation type="textLength" errorStyle="information" allowBlank="1" showInputMessage="1" showErrorMessage="1" error="XLBVal:6=2372103_x000d__x000a_" sqref="AB80">
      <formula1>0</formula1>
      <formula2>300</formula2>
    </dataValidation>
    <dataValidation type="textLength" errorStyle="information" allowBlank="1" showInputMessage="1" showErrorMessage="1" error="XLBVal:6=131463.11_x000d__x000a_" sqref="V185:Z185 AB185">
      <formula1>0</formula1>
      <formula2>300</formula2>
    </dataValidation>
    <dataValidation type="textLength" errorStyle="information" allowBlank="1" showInputMessage="1" showErrorMessage="1" error="XLBVal:6=448.19_x000d__x000a_" sqref="J309 J307">
      <formula1>0</formula1>
      <formula2>300</formula2>
    </dataValidation>
    <dataValidation type="textLength" errorStyle="information" allowBlank="1" showInputMessage="1" showErrorMessage="1" error="XLBVal:6=71224.01_x000d__x000a_" sqref="J305">
      <formula1>0</formula1>
      <formula2>300</formula2>
    </dataValidation>
    <dataValidation type="textLength" errorStyle="information" allowBlank="1" showInputMessage="1" showErrorMessage="1" error="XLBVal:6=70775.82_x000d__x000a_" sqref="J306">
      <formula1>0</formula1>
      <formula2>300</formula2>
    </dataValidation>
    <dataValidation type="textLength" errorStyle="information" allowBlank="1" showInputMessage="1" showErrorMessage="1" error="XLBVal:2=0_x000d__x000a_" sqref="I513:J513 I310:J312 I181 I505:J505 J530:J531 I455:I467 I108 I314:J314 I514:I518 I176 I106 J362:J365 J482:J485 N513:Z513 N362:Z362">
      <formula1>0</formula1>
      <formula2>300</formula2>
    </dataValidation>
    <dataValidation type="textLength" errorStyle="information" allowBlank="1" showInputMessage="1" showErrorMessage="1" error="XLBVal:6=13791_x000d__x000a_" sqref="I305">
      <formula1>0</formula1>
      <formula2>300</formula2>
    </dataValidation>
    <dataValidation type="textLength" errorStyle="information" allowBlank="1" showInputMessage="1" showErrorMessage="1" error="XLBVal:6=12239_x000d__x000a_" sqref="I306">
      <formula1>0</formula1>
      <formula2>300</formula2>
    </dataValidation>
    <dataValidation type="textLength" errorStyle="information" allowBlank="1" showInputMessage="1" showErrorMessage="1" error="XLBVal:6=1552_x000d__x000a_" sqref="I309 I307">
      <formula1>0</formula1>
      <formula2>300</formula2>
    </dataValidation>
    <dataValidation type="textLength" errorStyle="information" allowBlank="1" showInputMessage="1" showErrorMessage="1" error="XLBVal:6=117397_x000d__x000a_" sqref="I177 I185 I182:I183">
      <formula1>0</formula1>
      <formula2>300</formula2>
    </dataValidation>
    <dataValidation type="textLength" errorStyle="information" allowBlank="1" showInputMessage="1" showErrorMessage="1" error="XLBVal:6=257000_x000d__x000a_" sqref="I105">
      <formula1>0</formula1>
      <formula2>300</formula2>
    </dataValidation>
    <dataValidation type="textLength" errorStyle="information" allowBlank="1" showInputMessage="1" showErrorMessage="1" error="XLBVal:6=12083_x000d__x000a_" sqref="I104">
      <formula1>0</formula1>
      <formula2>300</formula2>
    </dataValidation>
    <dataValidation type="textLength" errorStyle="information" allowBlank="1" showInputMessage="1" showErrorMessage="1" error="XLBVal:5=0_x000d__x000a_" sqref="H209 H185 H314 H312 H181:H183 H306 H310 H176:H177 H455:H467">
      <formula1>0</formula1>
      <formula2>300</formula2>
    </dataValidation>
    <dataValidation type="textLength" errorStyle="information" allowBlank="1" showInputMessage="1" showErrorMessage="1" error="XLBVal:5=136983.19_x000d__x000a_" sqref="H307 H309">
      <formula1>0</formula1>
      <formula2>300</formula2>
    </dataValidation>
    <dataValidation type="textLength" errorStyle="information" allowBlank="1" showInputMessage="1" showErrorMessage="1" error="XLBVal:5=558068.85_x000d__x000a_" sqref="H305">
      <formula1>0</formula1>
      <formula2>300</formula2>
    </dataValidation>
    <dataValidation type="textLength" errorStyle="information" allowBlank="1" showInputMessage="1" showErrorMessage="1" error="XLBVal:5=1972.29_x000d__x000a_" sqref="H311">
      <formula1>0</formula1>
      <formula2>300</formula2>
    </dataValidation>
    <dataValidation type="textLength" errorStyle="information" allowBlank="1" showInputMessage="1" showErrorMessage="1" error="XLBVal:5=72952_x000d__x000a_" sqref="H247:H256">
      <formula1>0</formula1>
      <formula2>300</formula2>
    </dataValidation>
    <dataValidation type="textLength" errorStyle="information" allowBlank="1" showInputMessage="1" showErrorMessage="1" error="XLBVal:5=1869.7_x000d__x000a_" sqref="H178 H180">
      <formula1>0</formula1>
      <formula2>300</formula2>
    </dataValidation>
    <dataValidation type="textLength" errorStyle="information" allowBlank="1" showInputMessage="1" showErrorMessage="1" error="XLBVal:5=84459.97_x000d__x000a_" sqref="H105">
      <formula1>0</formula1>
      <formula2>300</formula2>
    </dataValidation>
    <dataValidation type="textLength" errorStyle="information" allowBlank="1" showInputMessage="1" showErrorMessage="1" error="XLBVal:5=16164.52_x000d__x000a_" sqref="H106 H108">
      <formula1>0</formula1>
      <formula2>300</formula2>
    </dataValidation>
    <dataValidation type="textLength" errorStyle="information" allowBlank="1" showInputMessage="1" showErrorMessage="1" error="XLBVal:5=13781.35_x000d__x000a_" sqref="H104">
      <formula1>0</formula1>
      <formula2>300</formula2>
    </dataValidation>
  </dataValidations>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8"/>
  <sheetViews>
    <sheetView topLeftCell="Q1" workbookViewId="0">
      <selection activeCell="S17" sqref="S17"/>
    </sheetView>
  </sheetViews>
  <sheetFormatPr defaultColWidth="9.140625" defaultRowHeight="12.75" x14ac:dyDescent="0.2"/>
  <cols>
    <col min="1" max="15" width="9.140625" style="555"/>
    <col min="16" max="16" width="20.85546875" style="555" customWidth="1"/>
    <col min="17" max="18" width="9.140625" style="555"/>
    <col min="19" max="19" width="12.28515625" style="555" bestFit="1" customWidth="1"/>
    <col min="20" max="20" width="13.42578125" style="555" bestFit="1" customWidth="1"/>
    <col min="21" max="32" width="9.140625" style="555"/>
    <col min="33" max="33" width="12.28515625" style="555" bestFit="1" customWidth="1"/>
    <col min="34" max="16384" width="9.140625" style="555"/>
  </cols>
  <sheetData>
    <row r="1" spans="1:33" ht="22.5" x14ac:dyDescent="0.2">
      <c r="A1" s="929" t="s">
        <v>243</v>
      </c>
      <c r="B1" s="929" t="s">
        <v>244</v>
      </c>
      <c r="C1" s="929" t="s">
        <v>245</v>
      </c>
      <c r="D1" s="929" t="s">
        <v>246</v>
      </c>
      <c r="E1" s="929" t="s">
        <v>1244</v>
      </c>
      <c r="F1" s="554" t="s">
        <v>247</v>
      </c>
      <c r="G1" s="929" t="s">
        <v>248</v>
      </c>
      <c r="H1" s="929" t="s">
        <v>249</v>
      </c>
      <c r="I1" s="554" t="s">
        <v>250</v>
      </c>
      <c r="L1" s="556" t="s">
        <v>243</v>
      </c>
      <c r="M1" s="556" t="s">
        <v>244</v>
      </c>
      <c r="N1" s="556" t="s">
        <v>245</v>
      </c>
      <c r="O1" s="556" t="s">
        <v>246</v>
      </c>
      <c r="P1" s="556" t="s">
        <v>1244</v>
      </c>
      <c r="Q1" s="554" t="s">
        <v>247</v>
      </c>
      <c r="R1" s="556" t="s">
        <v>248</v>
      </c>
      <c r="S1" s="556" t="s">
        <v>249</v>
      </c>
      <c r="T1" s="557"/>
      <c r="U1" s="554" t="s">
        <v>250</v>
      </c>
      <c r="X1" s="556" t="s">
        <v>243</v>
      </c>
      <c r="Y1" s="556" t="s">
        <v>244</v>
      </c>
      <c r="Z1" s="556" t="s">
        <v>245</v>
      </c>
      <c r="AA1" s="556" t="s">
        <v>246</v>
      </c>
      <c r="AB1" s="556" t="s">
        <v>1244</v>
      </c>
      <c r="AC1" s="554" t="s">
        <v>247</v>
      </c>
      <c r="AD1" s="556" t="s">
        <v>248</v>
      </c>
      <c r="AE1" s="556" t="s">
        <v>249</v>
      </c>
      <c r="AF1" s="554" t="s">
        <v>250</v>
      </c>
    </row>
    <row r="2" spans="1:33" ht="23.25" thickBot="1" x14ac:dyDescent="0.25">
      <c r="A2" s="944"/>
      <c r="B2" s="944"/>
      <c r="C2" s="944"/>
      <c r="D2" s="944"/>
      <c r="E2" s="944"/>
      <c r="F2" s="558" t="s">
        <v>251</v>
      </c>
      <c r="G2" s="944"/>
      <c r="H2" s="930"/>
      <c r="I2" s="559" t="s">
        <v>252</v>
      </c>
      <c r="L2" s="560"/>
      <c r="M2" s="560"/>
      <c r="N2" s="560"/>
      <c r="O2" s="560"/>
      <c r="P2" s="560"/>
      <c r="Q2" s="558" t="s">
        <v>251</v>
      </c>
      <c r="R2" s="560"/>
      <c r="S2" s="561"/>
      <c r="T2" s="562" t="s">
        <v>301</v>
      </c>
      <c r="U2" s="559" t="s">
        <v>252</v>
      </c>
      <c r="W2" s="563" t="s">
        <v>302</v>
      </c>
      <c r="X2" s="560"/>
      <c r="Y2" s="560"/>
      <c r="Z2" s="560"/>
      <c r="AA2" s="560"/>
      <c r="AB2" s="560"/>
      <c r="AC2" s="558" t="s">
        <v>251</v>
      </c>
      <c r="AD2" s="560"/>
      <c r="AE2" s="561"/>
      <c r="AF2" s="559" t="s">
        <v>252</v>
      </c>
    </row>
    <row r="3" spans="1:33" ht="13.5" thickBot="1" x14ac:dyDescent="0.25">
      <c r="A3" s="931" t="s">
        <v>303</v>
      </c>
      <c r="B3" s="932"/>
      <c r="C3" s="932"/>
      <c r="D3" s="932"/>
      <c r="E3" s="932"/>
      <c r="F3" s="932"/>
      <c r="G3" s="932"/>
      <c r="H3" s="932"/>
      <c r="I3" s="933"/>
      <c r="L3" s="564"/>
      <c r="M3" s="565" t="s">
        <v>304</v>
      </c>
      <c r="N3" s="566" t="s">
        <v>305</v>
      </c>
      <c r="O3" s="567">
        <v>14</v>
      </c>
      <c r="P3" s="568">
        <v>40401</v>
      </c>
      <c r="Q3" s="569">
        <v>1</v>
      </c>
      <c r="R3" s="569">
        <v>0.8</v>
      </c>
      <c r="S3" s="570">
        <v>4187242</v>
      </c>
      <c r="T3" s="571">
        <f>S3*8.2</f>
        <v>34335384.399999999</v>
      </c>
      <c r="U3" s="572" t="s">
        <v>256</v>
      </c>
      <c r="V3" s="563" t="s">
        <v>306</v>
      </c>
      <c r="W3" s="563">
        <f>S3/$S$17</f>
        <v>7.9171669048801421E-2</v>
      </c>
      <c r="X3" s="573" t="s">
        <v>253</v>
      </c>
      <c r="Y3" s="565" t="s">
        <v>254</v>
      </c>
      <c r="Z3" s="566" t="s">
        <v>186</v>
      </c>
      <c r="AA3" s="567">
        <v>12</v>
      </c>
      <c r="AB3" s="567" t="s">
        <v>255</v>
      </c>
      <c r="AC3" s="569">
        <v>1</v>
      </c>
      <c r="AD3" s="569">
        <v>0.9</v>
      </c>
      <c r="AE3" s="574">
        <v>1494166</v>
      </c>
      <c r="AF3" s="572" t="s">
        <v>256</v>
      </c>
    </row>
    <row r="4" spans="1:33" ht="13.5" thickBot="1" x14ac:dyDescent="0.25">
      <c r="A4" s="934" t="s">
        <v>253</v>
      </c>
      <c r="B4" s="565" t="s">
        <v>254</v>
      </c>
      <c r="C4" s="566" t="s">
        <v>186</v>
      </c>
      <c r="D4" s="567">
        <v>12</v>
      </c>
      <c r="E4" s="567" t="s">
        <v>255</v>
      </c>
      <c r="F4" s="569">
        <v>1</v>
      </c>
      <c r="G4" s="569">
        <v>0.9</v>
      </c>
      <c r="H4" s="574" t="s">
        <v>307</v>
      </c>
      <c r="I4" s="572" t="s">
        <v>256</v>
      </c>
      <c r="J4" s="563" t="s">
        <v>11</v>
      </c>
      <c r="L4" s="564"/>
      <c r="M4" s="567" t="s">
        <v>308</v>
      </c>
      <c r="N4" s="575" t="s">
        <v>309</v>
      </c>
      <c r="O4" s="576">
        <v>15</v>
      </c>
      <c r="P4" s="576" t="s">
        <v>265</v>
      </c>
      <c r="Q4" s="577">
        <v>1</v>
      </c>
      <c r="R4" s="577">
        <v>0.76</v>
      </c>
      <c r="S4" s="578">
        <v>3860973</v>
      </c>
      <c r="T4" s="571">
        <f t="shared" ref="T4:T14" si="0">S4*8.2</f>
        <v>31659978.599999998</v>
      </c>
      <c r="U4" s="572" t="s">
        <v>256</v>
      </c>
      <c r="V4" s="579" t="s">
        <v>306</v>
      </c>
      <c r="W4" s="563">
        <f t="shared" ref="W4:W14" si="1">S4/$S$17</f>
        <v>7.3002629550037459E-2</v>
      </c>
      <c r="X4" s="573" t="s">
        <v>259</v>
      </c>
      <c r="Y4" s="567" t="s">
        <v>260</v>
      </c>
      <c r="Z4" s="580" t="s">
        <v>178</v>
      </c>
      <c r="AA4" s="567" t="s">
        <v>261</v>
      </c>
      <c r="AB4" s="567" t="s">
        <v>262</v>
      </c>
      <c r="AC4" s="569">
        <v>1</v>
      </c>
      <c r="AD4" s="569">
        <v>0.89</v>
      </c>
      <c r="AE4" s="574">
        <v>4126633</v>
      </c>
      <c r="AF4" s="572" t="s">
        <v>256</v>
      </c>
    </row>
    <row r="5" spans="1:33" ht="13.5" thickBot="1" x14ac:dyDescent="0.25">
      <c r="A5" s="935"/>
      <c r="B5" s="565" t="s">
        <v>304</v>
      </c>
      <c r="C5" s="566" t="s">
        <v>305</v>
      </c>
      <c r="D5" s="567">
        <v>14</v>
      </c>
      <c r="E5" s="568">
        <v>40401</v>
      </c>
      <c r="F5" s="569">
        <v>1</v>
      </c>
      <c r="G5" s="569">
        <v>0.8</v>
      </c>
      <c r="H5" s="574" t="s">
        <v>310</v>
      </c>
      <c r="I5" s="572" t="s">
        <v>256</v>
      </c>
      <c r="J5" s="563" t="s">
        <v>306</v>
      </c>
      <c r="L5" s="564"/>
      <c r="M5" s="581" t="s">
        <v>311</v>
      </c>
      <c r="N5" s="582" t="s">
        <v>312</v>
      </c>
      <c r="O5" s="581" t="s">
        <v>313</v>
      </c>
      <c r="P5" s="581" t="s">
        <v>314</v>
      </c>
      <c r="Q5" s="581" t="s">
        <v>315</v>
      </c>
      <c r="R5" s="583">
        <v>0.69</v>
      </c>
      <c r="S5" s="584">
        <v>3781233</v>
      </c>
      <c r="T5" s="571">
        <f t="shared" si="0"/>
        <v>31006110.599999998</v>
      </c>
      <c r="U5" s="585">
        <v>41494</v>
      </c>
      <c r="V5" s="579" t="s">
        <v>306</v>
      </c>
      <c r="W5" s="563">
        <f t="shared" si="1"/>
        <v>7.1494919011704253E-2</v>
      </c>
      <c r="X5" s="564"/>
      <c r="Y5" s="567" t="s">
        <v>270</v>
      </c>
      <c r="Z5" s="580" t="s">
        <v>165</v>
      </c>
      <c r="AA5" s="567">
        <v>11</v>
      </c>
      <c r="AB5" s="567" t="s">
        <v>271</v>
      </c>
      <c r="AC5" s="569">
        <v>1</v>
      </c>
      <c r="AD5" s="569">
        <v>0.77</v>
      </c>
      <c r="AE5" s="574">
        <v>1412380</v>
      </c>
      <c r="AF5" s="572" t="s">
        <v>256</v>
      </c>
    </row>
    <row r="6" spans="1:33" ht="23.25" thickBot="1" x14ac:dyDescent="0.25">
      <c r="A6" s="936"/>
      <c r="B6" s="586" t="s">
        <v>257</v>
      </c>
      <c r="C6" s="587" t="s">
        <v>258</v>
      </c>
      <c r="D6" s="576">
        <v>15</v>
      </c>
      <c r="E6" s="588">
        <v>40603</v>
      </c>
      <c r="F6" s="577">
        <v>1</v>
      </c>
      <c r="G6" s="577">
        <v>0.88</v>
      </c>
      <c r="H6" s="589" t="s">
        <v>316</v>
      </c>
      <c r="I6" s="572" t="s">
        <v>256</v>
      </c>
      <c r="J6" s="563" t="s">
        <v>11</v>
      </c>
      <c r="L6" s="564"/>
      <c r="M6" s="590"/>
      <c r="N6" s="580" t="s">
        <v>317</v>
      </c>
      <c r="O6" s="590"/>
      <c r="P6" s="590"/>
      <c r="Q6" s="590"/>
      <c r="R6" s="591"/>
      <c r="S6" s="592"/>
      <c r="T6" s="571">
        <f t="shared" si="0"/>
        <v>0</v>
      </c>
      <c r="U6" s="593"/>
      <c r="W6" s="563">
        <f t="shared" si="1"/>
        <v>0</v>
      </c>
      <c r="X6" s="564"/>
      <c r="Y6" s="567" t="s">
        <v>272</v>
      </c>
      <c r="Z6" s="580" t="s">
        <v>161</v>
      </c>
      <c r="AA6" s="567">
        <v>10</v>
      </c>
      <c r="AB6" s="567" t="s">
        <v>273</v>
      </c>
      <c r="AC6" s="569">
        <v>1</v>
      </c>
      <c r="AD6" s="569">
        <v>0.78</v>
      </c>
      <c r="AE6" s="574">
        <v>692577</v>
      </c>
      <c r="AF6" s="572" t="s">
        <v>256</v>
      </c>
    </row>
    <row r="7" spans="1:33" ht="23.25" thickBot="1" x14ac:dyDescent="0.25">
      <c r="A7" s="937" t="s">
        <v>259</v>
      </c>
      <c r="B7" s="938"/>
      <c r="C7" s="938"/>
      <c r="D7" s="938"/>
      <c r="E7" s="938"/>
      <c r="F7" s="938"/>
      <c r="G7" s="938"/>
      <c r="H7" s="938"/>
      <c r="I7" s="939"/>
      <c r="L7" s="564"/>
      <c r="M7" s="576" t="s">
        <v>318</v>
      </c>
      <c r="N7" s="575" t="s">
        <v>319</v>
      </c>
      <c r="O7" s="576" t="s">
        <v>320</v>
      </c>
      <c r="P7" s="576" t="s">
        <v>271</v>
      </c>
      <c r="Q7" s="577">
        <v>1</v>
      </c>
      <c r="R7" s="577">
        <v>0.7</v>
      </c>
      <c r="S7" s="578">
        <v>2220268</v>
      </c>
      <c r="T7" s="571">
        <f t="shared" si="0"/>
        <v>18206197.599999998</v>
      </c>
      <c r="U7" s="572" t="s">
        <v>256</v>
      </c>
      <c r="V7" s="563" t="s">
        <v>306</v>
      </c>
      <c r="W7" s="563">
        <f t="shared" si="1"/>
        <v>4.1980454746977661E-2</v>
      </c>
      <c r="X7" s="564"/>
      <c r="Y7" s="567" t="s">
        <v>274</v>
      </c>
      <c r="Z7" s="580" t="s">
        <v>14</v>
      </c>
      <c r="AA7" s="567">
        <v>12</v>
      </c>
      <c r="AB7" s="567" t="s">
        <v>275</v>
      </c>
      <c r="AC7" s="569">
        <v>1</v>
      </c>
      <c r="AD7" s="569">
        <v>0.82</v>
      </c>
      <c r="AE7" s="574">
        <v>785977</v>
      </c>
      <c r="AF7" s="572" t="s">
        <v>256</v>
      </c>
    </row>
    <row r="8" spans="1:33" ht="13.5" thickBot="1" x14ac:dyDescent="0.25">
      <c r="A8" s="934" t="s">
        <v>259</v>
      </c>
      <c r="B8" s="567" t="s">
        <v>260</v>
      </c>
      <c r="C8" s="580" t="s">
        <v>178</v>
      </c>
      <c r="D8" s="567" t="s">
        <v>261</v>
      </c>
      <c r="E8" s="567" t="s">
        <v>262</v>
      </c>
      <c r="F8" s="569">
        <v>1</v>
      </c>
      <c r="G8" s="569">
        <v>0.89</v>
      </c>
      <c r="H8" s="574" t="s">
        <v>321</v>
      </c>
      <c r="I8" s="572" t="s">
        <v>256</v>
      </c>
      <c r="J8" s="563" t="s">
        <v>11</v>
      </c>
      <c r="L8" s="573" t="s">
        <v>322</v>
      </c>
      <c r="M8" s="594" t="s">
        <v>323</v>
      </c>
      <c r="N8" s="595" t="s">
        <v>324</v>
      </c>
      <c r="O8" s="594" t="s">
        <v>325</v>
      </c>
      <c r="P8" s="594" t="s">
        <v>326</v>
      </c>
      <c r="Q8" s="596">
        <v>1</v>
      </c>
      <c r="R8" s="596">
        <v>0.76</v>
      </c>
      <c r="S8" s="597">
        <v>3816822</v>
      </c>
      <c r="T8" s="571">
        <f t="shared" si="0"/>
        <v>31297940.399999999</v>
      </c>
      <c r="U8" s="598" t="s">
        <v>256</v>
      </c>
      <c r="V8" s="563" t="s">
        <v>306</v>
      </c>
      <c r="W8" s="563">
        <f t="shared" si="1"/>
        <v>7.2167829851292165E-2</v>
      </c>
      <c r="X8" s="564"/>
      <c r="Y8" s="576" t="s">
        <v>279</v>
      </c>
      <c r="Z8" s="575" t="s">
        <v>163</v>
      </c>
      <c r="AA8" s="576" t="s">
        <v>280</v>
      </c>
      <c r="AB8" s="576" t="s">
        <v>281</v>
      </c>
      <c r="AC8" s="577">
        <v>1</v>
      </c>
      <c r="AD8" s="577">
        <v>0.62</v>
      </c>
      <c r="AE8" s="589">
        <v>1179643</v>
      </c>
      <c r="AF8" s="572" t="s">
        <v>256</v>
      </c>
    </row>
    <row r="9" spans="1:33" ht="13.5" thickBot="1" x14ac:dyDescent="0.25">
      <c r="A9" s="935"/>
      <c r="B9" s="576" t="s">
        <v>263</v>
      </c>
      <c r="C9" s="575" t="s">
        <v>264</v>
      </c>
      <c r="D9" s="576">
        <v>15</v>
      </c>
      <c r="E9" s="576" t="s">
        <v>265</v>
      </c>
      <c r="F9" s="577">
        <v>1</v>
      </c>
      <c r="G9" s="577">
        <v>0.91</v>
      </c>
      <c r="H9" s="589" t="s">
        <v>327</v>
      </c>
      <c r="I9" s="572" t="s">
        <v>256</v>
      </c>
      <c r="J9" s="579" t="s">
        <v>11</v>
      </c>
      <c r="L9" s="573" t="s">
        <v>328</v>
      </c>
      <c r="M9" s="567" t="s">
        <v>329</v>
      </c>
      <c r="N9" s="580" t="s">
        <v>330</v>
      </c>
      <c r="O9" s="567" t="s">
        <v>331</v>
      </c>
      <c r="P9" s="567" t="s">
        <v>281</v>
      </c>
      <c r="Q9" s="569">
        <v>1</v>
      </c>
      <c r="R9" s="569">
        <v>0.39</v>
      </c>
      <c r="S9" s="570">
        <v>1215350</v>
      </c>
      <c r="T9" s="571">
        <f t="shared" si="0"/>
        <v>9965870</v>
      </c>
      <c r="U9" s="572" t="s">
        <v>256</v>
      </c>
      <c r="V9" s="563" t="s">
        <v>306</v>
      </c>
      <c r="W9" s="563">
        <f t="shared" si="1"/>
        <v>2.2979633844535569E-2</v>
      </c>
      <c r="X9" s="564"/>
      <c r="Y9" s="567" t="s">
        <v>287</v>
      </c>
      <c r="Z9" s="580" t="s">
        <v>162</v>
      </c>
      <c r="AA9" s="567" t="s">
        <v>288</v>
      </c>
      <c r="AB9" s="567" t="s">
        <v>289</v>
      </c>
      <c r="AC9" s="569">
        <v>1</v>
      </c>
      <c r="AD9" s="569">
        <v>0.72</v>
      </c>
      <c r="AE9" s="574">
        <v>498040</v>
      </c>
      <c r="AF9" s="572" t="s">
        <v>256</v>
      </c>
    </row>
    <row r="10" spans="1:33" ht="13.5" thickBot="1" x14ac:dyDescent="0.25">
      <c r="A10" s="935"/>
      <c r="B10" s="567" t="s">
        <v>308</v>
      </c>
      <c r="C10" s="575" t="s">
        <v>309</v>
      </c>
      <c r="D10" s="576">
        <v>15</v>
      </c>
      <c r="E10" s="576" t="s">
        <v>265</v>
      </c>
      <c r="F10" s="577">
        <v>1</v>
      </c>
      <c r="G10" s="577">
        <v>0.76</v>
      </c>
      <c r="H10" s="589" t="s">
        <v>332</v>
      </c>
      <c r="I10" s="572" t="s">
        <v>256</v>
      </c>
      <c r="J10" s="579" t="s">
        <v>306</v>
      </c>
      <c r="L10" s="573" t="s">
        <v>333</v>
      </c>
      <c r="M10" s="576" t="s">
        <v>334</v>
      </c>
      <c r="N10" s="575" t="s">
        <v>335</v>
      </c>
      <c r="O10" s="576" t="s">
        <v>336</v>
      </c>
      <c r="P10" s="576" t="s">
        <v>337</v>
      </c>
      <c r="Q10" s="577">
        <v>1</v>
      </c>
      <c r="R10" s="577">
        <v>0.76</v>
      </c>
      <c r="S10" s="578">
        <v>3959272</v>
      </c>
      <c r="T10" s="571">
        <f t="shared" si="0"/>
        <v>32466030.399999999</v>
      </c>
      <c r="U10" s="572" t="s">
        <v>256</v>
      </c>
      <c r="V10" s="563" t="s">
        <v>306</v>
      </c>
      <c r="W10" s="563">
        <f t="shared" si="1"/>
        <v>7.4861250545869118E-2</v>
      </c>
      <c r="X10" s="564"/>
      <c r="Y10" s="576" t="s">
        <v>290</v>
      </c>
      <c r="Z10" s="575" t="s">
        <v>164</v>
      </c>
      <c r="AA10" s="576">
        <v>12</v>
      </c>
      <c r="AB10" s="588">
        <v>41250</v>
      </c>
      <c r="AC10" s="577">
        <v>0.99</v>
      </c>
      <c r="AD10" s="577">
        <v>0.66</v>
      </c>
      <c r="AE10" s="589">
        <v>1482283</v>
      </c>
      <c r="AF10" s="599">
        <v>41402</v>
      </c>
    </row>
    <row r="11" spans="1:33" ht="13.5" thickBot="1" x14ac:dyDescent="0.25">
      <c r="A11" s="935"/>
      <c r="B11" s="940" t="s">
        <v>311</v>
      </c>
      <c r="C11" s="582" t="s">
        <v>312</v>
      </c>
      <c r="D11" s="940" t="s">
        <v>313</v>
      </c>
      <c r="E11" s="940" t="s">
        <v>314</v>
      </c>
      <c r="F11" s="940" t="s">
        <v>315</v>
      </c>
      <c r="G11" s="942">
        <v>0.69</v>
      </c>
      <c r="H11" s="945" t="s">
        <v>338</v>
      </c>
      <c r="I11" s="947">
        <v>41494</v>
      </c>
      <c r="J11" s="579" t="s">
        <v>306</v>
      </c>
      <c r="L11" s="564"/>
      <c r="M11" s="567" t="s">
        <v>339</v>
      </c>
      <c r="N11" s="580" t="s">
        <v>340</v>
      </c>
      <c r="O11" s="567">
        <v>16</v>
      </c>
      <c r="P11" s="567" t="s">
        <v>341</v>
      </c>
      <c r="Q11" s="569">
        <v>1</v>
      </c>
      <c r="R11" s="569">
        <v>0.86</v>
      </c>
      <c r="S11" s="570">
        <v>2624849</v>
      </c>
      <c r="T11" s="571">
        <f t="shared" si="0"/>
        <v>21523761.799999997</v>
      </c>
      <c r="U11" s="572" t="s">
        <v>256</v>
      </c>
      <c r="V11" s="563" t="s">
        <v>306</v>
      </c>
      <c r="W11" s="563">
        <f>S11/$S$17</f>
        <v>4.963020439971641E-2</v>
      </c>
      <c r="X11" s="598" t="s">
        <v>291</v>
      </c>
      <c r="Y11" s="567" t="s">
        <v>292</v>
      </c>
      <c r="Z11" s="580" t="s">
        <v>205</v>
      </c>
      <c r="AA11" s="567">
        <v>12</v>
      </c>
      <c r="AB11" s="567" t="s">
        <v>293</v>
      </c>
      <c r="AC11" s="569">
        <v>1</v>
      </c>
      <c r="AD11" s="569">
        <v>0.68</v>
      </c>
      <c r="AE11" s="574">
        <v>570261</v>
      </c>
      <c r="AF11" s="572" t="s">
        <v>256</v>
      </c>
    </row>
    <row r="12" spans="1:33" ht="23.25" thickBot="1" x14ac:dyDescent="0.25">
      <c r="A12" s="935"/>
      <c r="B12" s="941"/>
      <c r="C12" s="580" t="s">
        <v>317</v>
      </c>
      <c r="D12" s="941"/>
      <c r="E12" s="941"/>
      <c r="F12" s="941"/>
      <c r="G12" s="943"/>
      <c r="H12" s="946"/>
      <c r="I12" s="948"/>
      <c r="L12" s="600"/>
      <c r="M12" s="567" t="s">
        <v>342</v>
      </c>
      <c r="N12" s="580" t="s">
        <v>343</v>
      </c>
      <c r="O12" s="567">
        <v>16</v>
      </c>
      <c r="P12" s="567" t="s">
        <v>341</v>
      </c>
      <c r="Q12" s="569">
        <v>1</v>
      </c>
      <c r="R12" s="569">
        <v>0.67</v>
      </c>
      <c r="S12" s="570">
        <v>3713793</v>
      </c>
      <c r="T12" s="571">
        <f t="shared" si="0"/>
        <v>30453102.599999998</v>
      </c>
      <c r="U12" s="572" t="s">
        <v>256</v>
      </c>
      <c r="V12" s="563" t="s">
        <v>306</v>
      </c>
      <c r="W12" s="563">
        <f t="shared" si="1"/>
        <v>7.021977480923132E-2</v>
      </c>
      <c r="X12" s="601"/>
      <c r="Y12" s="567" t="s">
        <v>294</v>
      </c>
      <c r="Z12" s="580" t="s">
        <v>16</v>
      </c>
      <c r="AA12" s="567" t="s">
        <v>295</v>
      </c>
      <c r="AB12" s="567" t="s">
        <v>296</v>
      </c>
      <c r="AC12" s="569">
        <v>1</v>
      </c>
      <c r="AD12" s="569">
        <v>0.69</v>
      </c>
      <c r="AE12" s="574">
        <v>2139754</v>
      </c>
      <c r="AF12" s="572" t="s">
        <v>256</v>
      </c>
      <c r="AG12" s="602">
        <f>SUM(AE3:AE12)</f>
        <v>14381714</v>
      </c>
    </row>
    <row r="13" spans="1:33" ht="13.5" thickBot="1" x14ac:dyDescent="0.25">
      <c r="A13" s="935"/>
      <c r="B13" s="576" t="s">
        <v>318</v>
      </c>
      <c r="C13" s="575" t="s">
        <v>319</v>
      </c>
      <c r="D13" s="576" t="s">
        <v>320</v>
      </c>
      <c r="E13" s="576" t="s">
        <v>271</v>
      </c>
      <c r="F13" s="577">
        <v>1</v>
      </c>
      <c r="G13" s="577">
        <v>0.7</v>
      </c>
      <c r="H13" s="589" t="s">
        <v>344</v>
      </c>
      <c r="I13" s="572" t="s">
        <v>256</v>
      </c>
      <c r="J13" s="563" t="s">
        <v>306</v>
      </c>
      <c r="L13" s="573" t="s">
        <v>345</v>
      </c>
      <c r="M13" s="567" t="s">
        <v>346</v>
      </c>
      <c r="N13" s="580" t="s">
        <v>347</v>
      </c>
      <c r="O13" s="567">
        <v>12</v>
      </c>
      <c r="P13" s="567" t="s">
        <v>289</v>
      </c>
      <c r="Q13" s="569">
        <v>0.99</v>
      </c>
      <c r="R13" s="569">
        <v>0.69</v>
      </c>
      <c r="S13" s="570">
        <v>2713469</v>
      </c>
      <c r="T13" s="571">
        <f t="shared" si="0"/>
        <v>22250445.799999997</v>
      </c>
      <c r="U13" s="603" t="s">
        <v>348</v>
      </c>
      <c r="V13" s="563" t="s">
        <v>306</v>
      </c>
      <c r="W13" s="563">
        <f t="shared" si="1"/>
        <v>5.1305816487841431E-2</v>
      </c>
    </row>
    <row r="14" spans="1:33" ht="34.5" thickBot="1" x14ac:dyDescent="0.25">
      <c r="A14" s="936"/>
      <c r="B14" s="576" t="s">
        <v>266</v>
      </c>
      <c r="C14" s="575" t="s">
        <v>267</v>
      </c>
      <c r="D14" s="576" t="s">
        <v>268</v>
      </c>
      <c r="E14" s="576" t="s">
        <v>269</v>
      </c>
      <c r="F14" s="577">
        <v>1</v>
      </c>
      <c r="G14" s="577">
        <v>0.75</v>
      </c>
      <c r="H14" s="589" t="s">
        <v>349</v>
      </c>
      <c r="I14" s="572" t="s">
        <v>256</v>
      </c>
      <c r="J14" s="563" t="s">
        <v>11</v>
      </c>
      <c r="L14" s="600"/>
      <c r="M14" s="576" t="s">
        <v>350</v>
      </c>
      <c r="N14" s="575" t="s">
        <v>351</v>
      </c>
      <c r="O14" s="576" t="s">
        <v>352</v>
      </c>
      <c r="P14" s="576" t="s">
        <v>289</v>
      </c>
      <c r="Q14" s="577">
        <v>0.9</v>
      </c>
      <c r="R14" s="577">
        <v>0.44</v>
      </c>
      <c r="S14" s="578">
        <v>6413151</v>
      </c>
      <c r="T14" s="571">
        <f t="shared" si="0"/>
        <v>52587838.199999996</v>
      </c>
      <c r="U14" s="603" t="s">
        <v>353</v>
      </c>
      <c r="V14" s="563" t="s">
        <v>306</v>
      </c>
      <c r="W14" s="563">
        <f t="shared" si="1"/>
        <v>0.12125878287712769</v>
      </c>
      <c r="X14" s="604" t="s">
        <v>297</v>
      </c>
      <c r="Y14" s="605" t="s">
        <v>298</v>
      </c>
      <c r="Z14" s="606"/>
      <c r="AA14" s="567">
        <v>4</v>
      </c>
      <c r="AB14" s="567" t="s">
        <v>299</v>
      </c>
      <c r="AC14" s="569">
        <v>0.87</v>
      </c>
      <c r="AD14" s="569">
        <v>0.54</v>
      </c>
      <c r="AE14" s="574">
        <v>1388288</v>
      </c>
      <c r="AF14" s="603" t="s">
        <v>300</v>
      </c>
    </row>
    <row r="15" spans="1:33" ht="13.5" thickBot="1" x14ac:dyDescent="0.25">
      <c r="A15" s="949" t="s">
        <v>322</v>
      </c>
      <c r="B15" s="950"/>
      <c r="C15" s="950"/>
      <c r="D15" s="950"/>
      <c r="E15" s="950"/>
      <c r="F15" s="950"/>
      <c r="G15" s="950"/>
      <c r="H15" s="950"/>
      <c r="I15" s="951"/>
    </row>
    <row r="16" spans="1:33" ht="13.5" thickBot="1" x14ac:dyDescent="0.25">
      <c r="A16" s="934" t="s">
        <v>322</v>
      </c>
      <c r="B16" s="952" t="s">
        <v>323</v>
      </c>
      <c r="C16" s="595" t="s">
        <v>324</v>
      </c>
      <c r="D16" s="952" t="s">
        <v>325</v>
      </c>
      <c r="E16" s="952" t="s">
        <v>326</v>
      </c>
      <c r="F16" s="954">
        <v>1</v>
      </c>
      <c r="G16" s="954">
        <v>0.76</v>
      </c>
      <c r="H16" s="956" t="s">
        <v>354</v>
      </c>
      <c r="I16" s="961" t="s">
        <v>256</v>
      </c>
      <c r="J16" s="563" t="s">
        <v>306</v>
      </c>
      <c r="S16" s="602">
        <f>SUM(S3:S14)</f>
        <v>38506422</v>
      </c>
      <c r="T16" s="602">
        <f>SUM(T3:T14)</f>
        <v>315752660.39999998</v>
      </c>
      <c r="X16" s="600"/>
      <c r="Y16" s="586" t="s">
        <v>257</v>
      </c>
      <c r="Z16" s="587" t="s">
        <v>258</v>
      </c>
      <c r="AA16" s="576">
        <v>15</v>
      </c>
      <c r="AB16" s="588">
        <v>40603</v>
      </c>
      <c r="AC16" s="577">
        <v>1</v>
      </c>
      <c r="AD16" s="577">
        <v>0.88</v>
      </c>
      <c r="AE16" s="589">
        <v>5330436</v>
      </c>
      <c r="AF16" s="572" t="s">
        <v>256</v>
      </c>
    </row>
    <row r="17" spans="1:32" ht="13.5" thickBot="1" x14ac:dyDescent="0.25">
      <c r="A17" s="935"/>
      <c r="B17" s="953"/>
      <c r="C17" s="575" t="s">
        <v>355</v>
      </c>
      <c r="D17" s="953"/>
      <c r="E17" s="953"/>
      <c r="F17" s="955"/>
      <c r="G17" s="955"/>
      <c r="H17" s="957"/>
      <c r="I17" s="962"/>
      <c r="S17" s="607">
        <f>S16+AG12</f>
        <v>52888136</v>
      </c>
      <c r="X17" s="600"/>
      <c r="Y17" s="576" t="s">
        <v>282</v>
      </c>
      <c r="Z17" s="575" t="s">
        <v>283</v>
      </c>
      <c r="AA17" s="576" t="s">
        <v>284</v>
      </c>
      <c r="AB17" s="576" t="s">
        <v>285</v>
      </c>
      <c r="AC17" s="577">
        <v>0.91</v>
      </c>
      <c r="AD17" s="577">
        <v>0.59</v>
      </c>
      <c r="AE17" s="589">
        <v>6071568</v>
      </c>
      <c r="AF17" s="603" t="s">
        <v>286</v>
      </c>
    </row>
    <row r="18" spans="1:32" ht="13.5" thickBot="1" x14ac:dyDescent="0.25">
      <c r="A18" s="935"/>
      <c r="B18" s="567" t="s">
        <v>270</v>
      </c>
      <c r="C18" s="580" t="s">
        <v>165</v>
      </c>
      <c r="D18" s="567">
        <v>11</v>
      </c>
      <c r="E18" s="567" t="s">
        <v>271</v>
      </c>
      <c r="F18" s="569">
        <v>1</v>
      </c>
      <c r="G18" s="569">
        <v>0.77</v>
      </c>
      <c r="H18" s="574" t="s">
        <v>356</v>
      </c>
      <c r="I18" s="572" t="s">
        <v>256</v>
      </c>
      <c r="X18" s="564"/>
      <c r="Y18" s="576" t="s">
        <v>263</v>
      </c>
      <c r="Z18" s="575" t="s">
        <v>264</v>
      </c>
      <c r="AA18" s="576">
        <v>15</v>
      </c>
      <c r="AB18" s="576" t="s">
        <v>265</v>
      </c>
      <c r="AC18" s="577">
        <v>1</v>
      </c>
      <c r="AD18" s="577">
        <v>0.91</v>
      </c>
      <c r="AE18" s="589">
        <v>5223547</v>
      </c>
      <c r="AF18" s="572" t="s">
        <v>256</v>
      </c>
    </row>
    <row r="19" spans="1:32" ht="23.25" thickBot="1" x14ac:dyDescent="0.25">
      <c r="A19" s="935"/>
      <c r="B19" s="567" t="s">
        <v>272</v>
      </c>
      <c r="C19" s="580" t="s">
        <v>161</v>
      </c>
      <c r="D19" s="567">
        <v>10</v>
      </c>
      <c r="E19" s="567" t="s">
        <v>273</v>
      </c>
      <c r="F19" s="569">
        <v>1</v>
      </c>
      <c r="G19" s="569">
        <v>0.78</v>
      </c>
      <c r="H19" s="574" t="s">
        <v>357</v>
      </c>
      <c r="I19" s="572" t="s">
        <v>256</v>
      </c>
      <c r="P19" s="608" t="s">
        <v>358</v>
      </c>
      <c r="Q19" s="580" t="s">
        <v>340</v>
      </c>
      <c r="R19" s="563">
        <v>4.963020439971641E-2</v>
      </c>
      <c r="S19" s="563" t="s">
        <v>359</v>
      </c>
      <c r="X19" s="600"/>
      <c r="Y19" s="576" t="s">
        <v>276</v>
      </c>
      <c r="Z19" s="575" t="s">
        <v>277</v>
      </c>
      <c r="AA19" s="576" t="s">
        <v>278</v>
      </c>
      <c r="AB19" s="588">
        <v>40585</v>
      </c>
      <c r="AC19" s="577">
        <v>1</v>
      </c>
      <c r="AD19" s="577">
        <v>0.77</v>
      </c>
      <c r="AE19" s="589">
        <v>4838699</v>
      </c>
      <c r="AF19" s="572" t="s">
        <v>256</v>
      </c>
    </row>
    <row r="20" spans="1:32" ht="23.25" thickBot="1" x14ac:dyDescent="0.25">
      <c r="A20" s="935"/>
      <c r="B20" s="567" t="s">
        <v>274</v>
      </c>
      <c r="C20" s="580" t="s">
        <v>14</v>
      </c>
      <c r="D20" s="567">
        <v>12</v>
      </c>
      <c r="E20" s="567" t="s">
        <v>275</v>
      </c>
      <c r="F20" s="569">
        <v>1</v>
      </c>
      <c r="G20" s="569">
        <v>0.82</v>
      </c>
      <c r="H20" s="574" t="s">
        <v>360</v>
      </c>
      <c r="I20" s="572" t="s">
        <v>256</v>
      </c>
      <c r="P20" s="608" t="s">
        <v>361</v>
      </c>
      <c r="Q20" s="580" t="s">
        <v>343</v>
      </c>
      <c r="R20" s="563">
        <v>7.021977480923132E-2</v>
      </c>
      <c r="S20" s="555">
        <f>'ooc2 DFP'!AF112</f>
        <v>0.11412229088004727</v>
      </c>
      <c r="X20" s="600"/>
      <c r="Y20" s="576" t="s">
        <v>266</v>
      </c>
      <c r="Z20" s="575" t="s">
        <v>267</v>
      </c>
      <c r="AA20" s="576" t="s">
        <v>268</v>
      </c>
      <c r="AB20" s="576" t="s">
        <v>269</v>
      </c>
      <c r="AC20" s="577">
        <v>1</v>
      </c>
      <c r="AD20" s="577">
        <v>0.75</v>
      </c>
      <c r="AE20" s="589">
        <v>7835944</v>
      </c>
      <c r="AF20" s="572" t="s">
        <v>256</v>
      </c>
    </row>
    <row r="21" spans="1:32" ht="13.5" thickBot="1" x14ac:dyDescent="0.25">
      <c r="A21" s="936"/>
      <c r="B21" s="576" t="s">
        <v>276</v>
      </c>
      <c r="C21" s="575" t="s">
        <v>277</v>
      </c>
      <c r="D21" s="576" t="s">
        <v>278</v>
      </c>
      <c r="E21" s="588">
        <v>40585</v>
      </c>
      <c r="F21" s="577">
        <v>1</v>
      </c>
      <c r="G21" s="577">
        <v>0.77</v>
      </c>
      <c r="H21" s="589" t="s">
        <v>362</v>
      </c>
      <c r="I21" s="572" t="s">
        <v>256</v>
      </c>
      <c r="P21" s="608" t="s">
        <v>363</v>
      </c>
      <c r="Q21" s="595" t="s">
        <v>324</v>
      </c>
      <c r="R21" s="563">
        <v>7.2167829851292165E-2</v>
      </c>
      <c r="S21" s="563" t="s">
        <v>364</v>
      </c>
    </row>
    <row r="22" spans="1:32" ht="23.25" thickBot="1" x14ac:dyDescent="0.25">
      <c r="A22" s="965" t="s">
        <v>328</v>
      </c>
      <c r="B22" s="966"/>
      <c r="C22" s="966"/>
      <c r="D22" s="966"/>
      <c r="E22" s="966"/>
      <c r="F22" s="966"/>
      <c r="G22" s="966"/>
      <c r="H22" s="966"/>
      <c r="I22" s="967"/>
      <c r="P22" s="609" t="s">
        <v>365</v>
      </c>
      <c r="Q22" s="595" t="s">
        <v>351</v>
      </c>
      <c r="R22" s="563">
        <v>0.12125878287712769</v>
      </c>
      <c r="S22" s="555">
        <f>S20*S16/S17</f>
        <v>8.3089354713386979E-2</v>
      </c>
    </row>
    <row r="23" spans="1:32" ht="13.5" thickBot="1" x14ac:dyDescent="0.25">
      <c r="A23" s="934" t="s">
        <v>328</v>
      </c>
      <c r="B23" s="567" t="s">
        <v>329</v>
      </c>
      <c r="C23" s="580" t="s">
        <v>330</v>
      </c>
      <c r="D23" s="567" t="s">
        <v>331</v>
      </c>
      <c r="E23" s="567" t="s">
        <v>281</v>
      </c>
      <c r="F23" s="569">
        <v>1</v>
      </c>
      <c r="G23" s="569">
        <v>0.39</v>
      </c>
      <c r="H23" s="574" t="s">
        <v>366</v>
      </c>
      <c r="I23" s="572" t="s">
        <v>256</v>
      </c>
      <c r="J23" s="563" t="s">
        <v>306</v>
      </c>
      <c r="P23" s="608" t="s">
        <v>367</v>
      </c>
      <c r="Q23" s="580" t="s">
        <v>330</v>
      </c>
      <c r="R23" s="563">
        <v>2.2979633844535569E-2</v>
      </c>
    </row>
    <row r="24" spans="1:32" ht="13.5" thickBot="1" x14ac:dyDescent="0.25">
      <c r="A24" s="935"/>
      <c r="B24" s="576" t="s">
        <v>279</v>
      </c>
      <c r="C24" s="575" t="s">
        <v>163</v>
      </c>
      <c r="D24" s="576" t="s">
        <v>280</v>
      </c>
      <c r="E24" s="576" t="s">
        <v>281</v>
      </c>
      <c r="F24" s="577">
        <v>1</v>
      </c>
      <c r="G24" s="577">
        <v>0.62</v>
      </c>
      <c r="H24" s="589" t="s">
        <v>368</v>
      </c>
      <c r="I24" s="572" t="s">
        <v>256</v>
      </c>
      <c r="P24" s="609" t="s">
        <v>369</v>
      </c>
      <c r="Q24" s="575" t="s">
        <v>335</v>
      </c>
      <c r="R24" s="563">
        <v>7.4861250545869118E-2</v>
      </c>
      <c r="S24" s="555" t="s">
        <v>1127</v>
      </c>
    </row>
    <row r="25" spans="1:32" ht="13.5" thickBot="1" x14ac:dyDescent="0.25">
      <c r="A25" s="936"/>
      <c r="B25" s="576" t="s">
        <v>282</v>
      </c>
      <c r="C25" s="575" t="s">
        <v>283</v>
      </c>
      <c r="D25" s="576" t="s">
        <v>284</v>
      </c>
      <c r="E25" s="576" t="s">
        <v>285</v>
      </c>
      <c r="F25" s="577">
        <v>0.91</v>
      </c>
      <c r="G25" s="577">
        <v>0.59</v>
      </c>
      <c r="H25" s="589" t="s">
        <v>370</v>
      </c>
      <c r="I25" s="603" t="s">
        <v>286</v>
      </c>
      <c r="P25" s="608" t="s">
        <v>371</v>
      </c>
      <c r="Q25" s="580" t="s">
        <v>312</v>
      </c>
      <c r="R25" s="563">
        <v>7.1494919011704253E-2</v>
      </c>
      <c r="S25" s="555">
        <f>S20-S22</f>
        <v>3.1032936166660294E-2</v>
      </c>
    </row>
    <row r="26" spans="1:32" ht="13.5" thickBot="1" x14ac:dyDescent="0.25">
      <c r="A26" s="968" t="s">
        <v>333</v>
      </c>
      <c r="B26" s="969"/>
      <c r="C26" s="969"/>
      <c r="D26" s="969"/>
      <c r="E26" s="969"/>
      <c r="F26" s="969"/>
      <c r="G26" s="969"/>
      <c r="H26" s="969"/>
      <c r="I26" s="970"/>
      <c r="P26" s="608" t="s">
        <v>309</v>
      </c>
      <c r="Q26" s="575" t="s">
        <v>309</v>
      </c>
      <c r="R26" s="563">
        <v>7.3002629550037459E-2</v>
      </c>
    </row>
    <row r="27" spans="1:32" ht="13.5" thickBot="1" x14ac:dyDescent="0.25">
      <c r="A27" s="934" t="s">
        <v>333</v>
      </c>
      <c r="B27" s="576" t="s">
        <v>334</v>
      </c>
      <c r="C27" s="575" t="s">
        <v>335</v>
      </c>
      <c r="D27" s="576" t="s">
        <v>336</v>
      </c>
      <c r="E27" s="576" t="s">
        <v>337</v>
      </c>
      <c r="F27" s="577">
        <v>1</v>
      </c>
      <c r="G27" s="577">
        <v>0.76</v>
      </c>
      <c r="H27" s="589" t="s">
        <v>372</v>
      </c>
      <c r="I27" s="572" t="s">
        <v>256</v>
      </c>
      <c r="J27" s="563" t="s">
        <v>306</v>
      </c>
      <c r="P27" s="608" t="s">
        <v>373</v>
      </c>
      <c r="Q27" s="575" t="s">
        <v>319</v>
      </c>
      <c r="R27" s="563">
        <v>4.1980454746977661E-2</v>
      </c>
    </row>
    <row r="28" spans="1:32" ht="13.5" thickBot="1" x14ac:dyDescent="0.25">
      <c r="A28" s="935"/>
      <c r="B28" s="567" t="s">
        <v>339</v>
      </c>
      <c r="C28" s="580" t="s">
        <v>340</v>
      </c>
      <c r="D28" s="567">
        <v>16</v>
      </c>
      <c r="E28" s="567" t="s">
        <v>341</v>
      </c>
      <c r="F28" s="569">
        <v>1</v>
      </c>
      <c r="G28" s="569">
        <v>0.86</v>
      </c>
      <c r="H28" s="574" t="s">
        <v>374</v>
      </c>
      <c r="I28" s="572" t="s">
        <v>256</v>
      </c>
      <c r="J28" s="563" t="s">
        <v>306</v>
      </c>
      <c r="P28" s="608" t="s">
        <v>375</v>
      </c>
      <c r="Q28" s="566" t="s">
        <v>305</v>
      </c>
      <c r="R28" s="563">
        <v>7.9171669048801421E-2</v>
      </c>
    </row>
    <row r="29" spans="1:32" ht="13.5" thickBot="1" x14ac:dyDescent="0.25">
      <c r="A29" s="936"/>
      <c r="B29" s="567" t="s">
        <v>342</v>
      </c>
      <c r="C29" s="580" t="s">
        <v>343</v>
      </c>
      <c r="D29" s="567">
        <v>16</v>
      </c>
      <c r="E29" s="567" t="s">
        <v>341</v>
      </c>
      <c r="F29" s="569">
        <v>1</v>
      </c>
      <c r="G29" s="569">
        <v>0.67</v>
      </c>
      <c r="H29" s="574" t="s">
        <v>376</v>
      </c>
      <c r="I29" s="572" t="s">
        <v>256</v>
      </c>
      <c r="J29" s="563" t="s">
        <v>306</v>
      </c>
      <c r="P29" s="608" t="s">
        <v>377</v>
      </c>
      <c r="Q29" s="580" t="s">
        <v>347</v>
      </c>
      <c r="R29" s="563">
        <v>5.1305816487841431E-2</v>
      </c>
    </row>
    <row r="30" spans="1:32" ht="13.5" thickBot="1" x14ac:dyDescent="0.25">
      <c r="A30" s="971" t="s">
        <v>345</v>
      </c>
      <c r="B30" s="972"/>
      <c r="C30" s="972"/>
      <c r="D30" s="972"/>
      <c r="E30" s="972"/>
      <c r="F30" s="972"/>
      <c r="G30" s="972"/>
      <c r="H30" s="972"/>
      <c r="I30" s="973"/>
    </row>
    <row r="31" spans="1:32" ht="13.5" thickBot="1" x14ac:dyDescent="0.25">
      <c r="A31" s="934" t="s">
        <v>345</v>
      </c>
      <c r="B31" s="567" t="s">
        <v>346</v>
      </c>
      <c r="C31" s="580" t="s">
        <v>347</v>
      </c>
      <c r="D31" s="567">
        <v>12</v>
      </c>
      <c r="E31" s="567" t="s">
        <v>289</v>
      </c>
      <c r="F31" s="569">
        <v>0.99</v>
      </c>
      <c r="G31" s="569">
        <v>0.69</v>
      </c>
      <c r="H31" s="574" t="s">
        <v>378</v>
      </c>
      <c r="I31" s="603" t="s">
        <v>348</v>
      </c>
      <c r="J31" s="563" t="s">
        <v>306</v>
      </c>
      <c r="P31" s="555" t="s">
        <v>1135</v>
      </c>
      <c r="R31" s="555">
        <f>AG12/S17</f>
        <v>0.27192703482686553</v>
      </c>
    </row>
    <row r="32" spans="1:32" ht="13.5" thickBot="1" x14ac:dyDescent="0.25">
      <c r="A32" s="935"/>
      <c r="B32" s="567" t="s">
        <v>287</v>
      </c>
      <c r="C32" s="580" t="s">
        <v>162</v>
      </c>
      <c r="D32" s="567" t="s">
        <v>288</v>
      </c>
      <c r="E32" s="567" t="s">
        <v>289</v>
      </c>
      <c r="F32" s="569">
        <v>1</v>
      </c>
      <c r="G32" s="569">
        <v>0.72</v>
      </c>
      <c r="H32" s="574" t="s">
        <v>379</v>
      </c>
      <c r="I32" s="572" t="s">
        <v>256</v>
      </c>
    </row>
    <row r="33" spans="1:10" ht="13.5" thickBot="1" x14ac:dyDescent="0.25">
      <c r="A33" s="935"/>
      <c r="B33" s="576" t="s">
        <v>290</v>
      </c>
      <c r="C33" s="575" t="s">
        <v>164</v>
      </c>
      <c r="D33" s="576">
        <v>12</v>
      </c>
      <c r="E33" s="588">
        <v>41250</v>
      </c>
      <c r="F33" s="577">
        <v>0.99</v>
      </c>
      <c r="G33" s="577">
        <v>0.66</v>
      </c>
      <c r="H33" s="589" t="s">
        <v>380</v>
      </c>
      <c r="I33" s="599">
        <v>41402</v>
      </c>
    </row>
    <row r="34" spans="1:10" ht="13.5" thickBot="1" x14ac:dyDescent="0.25">
      <c r="A34" s="936"/>
      <c r="B34" s="576" t="s">
        <v>350</v>
      </c>
      <c r="C34" s="575" t="s">
        <v>351</v>
      </c>
      <c r="D34" s="576" t="s">
        <v>352</v>
      </c>
      <c r="E34" s="576" t="s">
        <v>289</v>
      </c>
      <c r="F34" s="577">
        <v>0.9</v>
      </c>
      <c r="G34" s="577">
        <v>0.44</v>
      </c>
      <c r="H34" s="589" t="s">
        <v>381</v>
      </c>
      <c r="I34" s="603" t="s">
        <v>353</v>
      </c>
      <c r="J34" s="563" t="s">
        <v>306</v>
      </c>
    </row>
    <row r="35" spans="1:10" ht="13.5" thickBot="1" x14ac:dyDescent="0.25">
      <c r="A35" s="958" t="s">
        <v>291</v>
      </c>
      <c r="B35" s="959"/>
      <c r="C35" s="959"/>
      <c r="D35" s="959"/>
      <c r="E35" s="959"/>
      <c r="F35" s="959"/>
      <c r="G35" s="959"/>
      <c r="H35" s="959"/>
      <c r="I35" s="960"/>
    </row>
    <row r="36" spans="1:10" ht="13.5" thickBot="1" x14ac:dyDescent="0.25">
      <c r="A36" s="961" t="s">
        <v>291</v>
      </c>
      <c r="B36" s="567" t="s">
        <v>292</v>
      </c>
      <c r="C36" s="580" t="s">
        <v>205</v>
      </c>
      <c r="D36" s="567">
        <v>12</v>
      </c>
      <c r="E36" s="567" t="s">
        <v>293</v>
      </c>
      <c r="F36" s="569">
        <v>1</v>
      </c>
      <c r="G36" s="569">
        <v>0.68</v>
      </c>
      <c r="H36" s="574" t="s">
        <v>382</v>
      </c>
      <c r="I36" s="572" t="s">
        <v>256</v>
      </c>
    </row>
    <row r="37" spans="1:10" ht="13.5" thickBot="1" x14ac:dyDescent="0.25">
      <c r="A37" s="962"/>
      <c r="B37" s="567" t="s">
        <v>294</v>
      </c>
      <c r="C37" s="580" t="s">
        <v>16</v>
      </c>
      <c r="D37" s="567" t="s">
        <v>295</v>
      </c>
      <c r="E37" s="567" t="s">
        <v>296</v>
      </c>
      <c r="F37" s="569">
        <v>1</v>
      </c>
      <c r="G37" s="569">
        <v>0.69</v>
      </c>
      <c r="H37" s="574" t="s">
        <v>383</v>
      </c>
      <c r="I37" s="572" t="s">
        <v>256</v>
      </c>
    </row>
    <row r="38" spans="1:10" ht="13.5" thickBot="1" x14ac:dyDescent="0.25">
      <c r="A38" s="604" t="s">
        <v>297</v>
      </c>
      <c r="B38" s="963" t="s">
        <v>298</v>
      </c>
      <c r="C38" s="964"/>
      <c r="D38" s="567">
        <v>4</v>
      </c>
      <c r="E38" s="567" t="s">
        <v>299</v>
      </c>
      <c r="F38" s="569">
        <v>0.87</v>
      </c>
      <c r="G38" s="569">
        <v>0.54</v>
      </c>
      <c r="H38" s="574" t="s">
        <v>384</v>
      </c>
      <c r="I38" s="603" t="s">
        <v>300</v>
      </c>
    </row>
  </sheetData>
  <mergeCells count="36">
    <mergeCell ref="A31:A34"/>
    <mergeCell ref="A35:I35"/>
    <mergeCell ref="A36:A37"/>
    <mergeCell ref="B38:C38"/>
    <mergeCell ref="I16:I17"/>
    <mergeCell ref="A22:I22"/>
    <mergeCell ref="A23:A25"/>
    <mergeCell ref="A26:I26"/>
    <mergeCell ref="A27:A29"/>
    <mergeCell ref="A30:I30"/>
    <mergeCell ref="H11:H12"/>
    <mergeCell ref="I11:I12"/>
    <mergeCell ref="A15:I15"/>
    <mergeCell ref="A16:A21"/>
    <mergeCell ref="B16:B17"/>
    <mergeCell ref="D16:D17"/>
    <mergeCell ref="E16:E17"/>
    <mergeCell ref="F16:F17"/>
    <mergeCell ref="G16:G17"/>
    <mergeCell ref="H16:H17"/>
    <mergeCell ref="H1:H2"/>
    <mergeCell ref="A3:I3"/>
    <mergeCell ref="A4:A6"/>
    <mergeCell ref="A7:I7"/>
    <mergeCell ref="A8:A14"/>
    <mergeCell ref="B11:B12"/>
    <mergeCell ref="D11:D12"/>
    <mergeCell ref="E11:E12"/>
    <mergeCell ref="F11:F12"/>
    <mergeCell ref="G11:G12"/>
    <mergeCell ref="A1:A2"/>
    <mergeCell ref="B1:B2"/>
    <mergeCell ref="C1:C2"/>
    <mergeCell ref="D1:D2"/>
    <mergeCell ref="E1:E2"/>
    <mergeCell ref="G1:G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U47"/>
  <sheetViews>
    <sheetView showGridLines="0" workbookViewId="0">
      <pane xSplit="1" ySplit="1" topLeftCell="B2" activePane="bottomRight" state="frozen"/>
      <selection pane="topRight" activeCell="B1" sqref="B1"/>
      <selection pane="bottomLeft" activeCell="A2" sqref="A2"/>
      <selection pane="bottomRight" activeCell="H18" sqref="H18"/>
    </sheetView>
  </sheetViews>
  <sheetFormatPr defaultColWidth="11.42578125" defaultRowHeight="12.75" x14ac:dyDescent="0.2"/>
  <cols>
    <col min="1" max="1" width="47.42578125" customWidth="1"/>
    <col min="2" max="2" width="12.28515625" style="7" customWidth="1"/>
    <col min="3" max="3" width="12.140625" customWidth="1"/>
    <col min="4" max="5" width="10.42578125" customWidth="1"/>
    <col min="6" max="6" width="9.85546875" style="7" customWidth="1"/>
    <col min="7" max="7" width="11.140625" style="7" customWidth="1"/>
    <col min="8" max="8" width="11.5703125" customWidth="1"/>
  </cols>
  <sheetData>
    <row r="1" spans="1:21" ht="18" x14ac:dyDescent="0.25">
      <c r="A1" s="974" t="s">
        <v>216</v>
      </c>
      <c r="B1" s="975"/>
      <c r="C1" s="975"/>
      <c r="D1" s="975"/>
      <c r="E1" s="975"/>
      <c r="F1" s="975"/>
      <c r="G1" s="975"/>
      <c r="H1" s="975"/>
      <c r="I1" s="975"/>
      <c r="J1" s="975"/>
      <c r="K1" s="975"/>
      <c r="L1" s="975"/>
      <c r="M1" s="975"/>
      <c r="U1" s="10"/>
    </row>
    <row r="3" spans="1:21" ht="13.5" thickBot="1" x14ac:dyDescent="0.25"/>
    <row r="4" spans="1:21" ht="13.5" thickBot="1" x14ac:dyDescent="0.25">
      <c r="A4" s="174" t="s">
        <v>49</v>
      </c>
      <c r="B4" s="219" t="s">
        <v>126</v>
      </c>
      <c r="C4" s="219" t="s">
        <v>127</v>
      </c>
      <c r="D4" s="219" t="s">
        <v>128</v>
      </c>
      <c r="E4" s="219" t="s">
        <v>129</v>
      </c>
      <c r="F4" s="219" t="s">
        <v>130</v>
      </c>
      <c r="G4" s="219" t="s">
        <v>131</v>
      </c>
      <c r="H4" s="219" t="s">
        <v>132</v>
      </c>
      <c r="I4" s="219" t="s">
        <v>133</v>
      </c>
      <c r="J4" s="219" t="s">
        <v>134</v>
      </c>
      <c r="K4" s="219" t="s">
        <v>135</v>
      </c>
      <c r="L4" s="219" t="s">
        <v>136</v>
      </c>
      <c r="M4" s="220" t="s">
        <v>137</v>
      </c>
    </row>
    <row r="6" spans="1:21" x14ac:dyDescent="0.2">
      <c r="A6" s="431" t="s">
        <v>215</v>
      </c>
    </row>
    <row r="7" spans="1:21" x14ac:dyDescent="0.2">
      <c r="A7" s="170"/>
    </row>
    <row r="8" spans="1:21" x14ac:dyDescent="0.2">
      <c r="A8" s="31" t="s">
        <v>14</v>
      </c>
      <c r="B8" s="46">
        <f>+'Value Chain'!D24</f>
        <v>1974.4136828597077</v>
      </c>
      <c r="C8" s="46">
        <f>+'Value Chain'!E24</f>
        <v>1974.4136828597077</v>
      </c>
      <c r="D8" s="46">
        <f>+'Value Chain'!F24</f>
        <v>1974.4136828597077</v>
      </c>
      <c r="E8" s="46">
        <f>+'Value Chain'!G24</f>
        <v>1974.4136828597077</v>
      </c>
      <c r="F8" s="46">
        <f>+'Value Chain'!H24</f>
        <v>1974.4136828597077</v>
      </c>
      <c r="G8" s="46">
        <f>+'Value Chain'!I24</f>
        <v>1974.4136828597077</v>
      </c>
      <c r="H8" s="46">
        <f>+'Value Chain'!J24</f>
        <v>1974.4136828597077</v>
      </c>
      <c r="I8" s="46">
        <f>+'Value Chain'!K24</f>
        <v>1974.4136828597077</v>
      </c>
      <c r="J8" s="46">
        <f>+'Value Chain'!L24</f>
        <v>1974.4136828597077</v>
      </c>
      <c r="K8" s="46">
        <f>+'Value Chain'!M24</f>
        <v>1974.4136828597077</v>
      </c>
      <c r="L8" s="46">
        <f>+'Value Chain'!N24</f>
        <v>19744.136828597024</v>
      </c>
      <c r="M8" s="46">
        <f>+'Value Chain'!O24</f>
        <v>19744.136828597024</v>
      </c>
    </row>
    <row r="9" spans="1:21" x14ac:dyDescent="0.2">
      <c r="A9" s="31" t="s">
        <v>15</v>
      </c>
      <c r="B9" s="46">
        <f>+'Value Chain'!D45</f>
        <v>74226.329769306714</v>
      </c>
      <c r="C9" s="46">
        <f>+'Value Chain'!E45</f>
        <v>74226.329769306714</v>
      </c>
      <c r="D9" s="46">
        <f>+'Value Chain'!F45</f>
        <v>74226.329769306714</v>
      </c>
      <c r="E9" s="46">
        <f>+'Value Chain'!G45</f>
        <v>74226.329769306714</v>
      </c>
      <c r="F9" s="46">
        <f>+'Value Chain'!H45</f>
        <v>74226.329769306714</v>
      </c>
      <c r="G9" s="46">
        <f>+'Value Chain'!I45</f>
        <v>74226.329769306714</v>
      </c>
      <c r="H9" s="46">
        <f>+'Value Chain'!J45</f>
        <v>74226.329769306714</v>
      </c>
      <c r="I9" s="46">
        <f>+'Value Chain'!K45</f>
        <v>74226.329769306714</v>
      </c>
      <c r="J9" s="46">
        <f>+'Value Chain'!L45</f>
        <v>74226.329769306714</v>
      </c>
      <c r="K9" s="46">
        <f>+'Value Chain'!M45</f>
        <v>74226.329769306714</v>
      </c>
      <c r="L9" s="46">
        <f>+'Value Chain'!N45</f>
        <v>742263.29769306711</v>
      </c>
      <c r="M9" s="46">
        <f>+'Value Chain'!O45</f>
        <v>742263.29769306711</v>
      </c>
    </row>
    <row r="10" spans="1:21" x14ac:dyDescent="0.2">
      <c r="A10" s="31" t="s">
        <v>16</v>
      </c>
      <c r="B10" s="46">
        <f>+'Value Chain'!D66</f>
        <v>9660.1027946054237</v>
      </c>
      <c r="C10" s="46">
        <f>+'Value Chain'!E66</f>
        <v>9660.1027946054237</v>
      </c>
      <c r="D10" s="46">
        <f>+'Value Chain'!F66</f>
        <v>9660.1027946054237</v>
      </c>
      <c r="E10" s="46">
        <f>+'Value Chain'!G66</f>
        <v>9660.1027946054237</v>
      </c>
      <c r="F10" s="46">
        <f>+'Value Chain'!H66</f>
        <v>9660.1027946054237</v>
      </c>
      <c r="G10" s="46">
        <f>+'Value Chain'!I66</f>
        <v>9660.1027946054237</v>
      </c>
      <c r="H10" s="46">
        <f>+'Value Chain'!J66</f>
        <v>9660.1027946054237</v>
      </c>
      <c r="I10" s="46">
        <f>+'Value Chain'!K66</f>
        <v>9660.1027946054237</v>
      </c>
      <c r="J10" s="46">
        <f>+'Value Chain'!L66</f>
        <v>9660.1027946054237</v>
      </c>
      <c r="K10" s="46">
        <f>+'Value Chain'!M66</f>
        <v>9660.1027946054237</v>
      </c>
      <c r="L10" s="46">
        <f>+'Value Chain'!N66</f>
        <v>96601.027946054237</v>
      </c>
      <c r="M10" s="46">
        <f>+'Value Chain'!O66</f>
        <v>96601.027946054237</v>
      </c>
    </row>
    <row r="11" spans="1:21" x14ac:dyDescent="0.2">
      <c r="A11" s="31" t="s">
        <v>50</v>
      </c>
      <c r="B11" s="46">
        <f>+'Value Chain'!D87</f>
        <v>9281.9669934084613</v>
      </c>
      <c r="C11" s="46">
        <f>+'Value Chain'!E87</f>
        <v>9281.9669934084613</v>
      </c>
      <c r="D11" s="46">
        <f>+'Value Chain'!F87</f>
        <v>9281.9669934084613</v>
      </c>
      <c r="E11" s="46">
        <f>+'Value Chain'!G87</f>
        <v>9281.9669934084613</v>
      </c>
      <c r="F11" s="46">
        <f>+'Value Chain'!H87</f>
        <v>9281.9669934084613</v>
      </c>
      <c r="G11" s="46">
        <f>+'Value Chain'!I87</f>
        <v>9281.9669934084613</v>
      </c>
      <c r="H11" s="46">
        <f>+'Value Chain'!J87</f>
        <v>9281.9669934084613</v>
      </c>
      <c r="I11" s="46">
        <f>+'Value Chain'!K87</f>
        <v>9281.9669934084613</v>
      </c>
      <c r="J11" s="46">
        <f>+'Value Chain'!L87</f>
        <v>9281.9669934084613</v>
      </c>
      <c r="K11" s="46">
        <f>+'Value Chain'!M87</f>
        <v>9281.9669934084613</v>
      </c>
      <c r="L11" s="46">
        <f>+'Value Chain'!N87</f>
        <v>92819.669934084508</v>
      </c>
      <c r="M11" s="46">
        <f>+'Value Chain'!O87</f>
        <v>92819.669934084508</v>
      </c>
    </row>
    <row r="12" spans="1:21" x14ac:dyDescent="0.2">
      <c r="A12" s="31" t="s">
        <v>178</v>
      </c>
      <c r="B12" s="46">
        <f>+'Value Chain'!D108</f>
        <v>6533.6868921475925</v>
      </c>
      <c r="C12" s="46">
        <f>+'Value Chain'!E108</f>
        <v>6533.6868921475925</v>
      </c>
      <c r="D12" s="46">
        <f>+'Value Chain'!F108</f>
        <v>6533.6868921475925</v>
      </c>
      <c r="E12" s="46">
        <f>+'Value Chain'!G108</f>
        <v>6533.6868921475925</v>
      </c>
      <c r="F12" s="46">
        <f>+'Value Chain'!H108</f>
        <v>6533.6868921475925</v>
      </c>
      <c r="G12" s="46">
        <f>+'Value Chain'!I108</f>
        <v>6533.6868921475925</v>
      </c>
      <c r="H12" s="46">
        <f>+'Value Chain'!J108</f>
        <v>6533.6868921475925</v>
      </c>
      <c r="I12" s="46">
        <f>+'Value Chain'!K108</f>
        <v>6533.6868921475925</v>
      </c>
      <c r="J12" s="46">
        <f>+'Value Chain'!L108</f>
        <v>6533.6868921475925</v>
      </c>
      <c r="K12" s="46">
        <f>+'Value Chain'!M108</f>
        <v>6533.6868921475925</v>
      </c>
      <c r="L12" s="46">
        <f>+'Value Chain'!N108</f>
        <v>65336.868921476038</v>
      </c>
      <c r="M12" s="46">
        <f>+'Value Chain'!O108</f>
        <v>65336.868921476038</v>
      </c>
    </row>
    <row r="13" spans="1:21" x14ac:dyDescent="0.2">
      <c r="A13" s="31" t="s">
        <v>165</v>
      </c>
      <c r="B13" s="46">
        <f>+'Value Chain'!D129</f>
        <v>4716.955281405053</v>
      </c>
      <c r="C13" s="46">
        <f>+'Value Chain'!E129</f>
        <v>4716.955281405053</v>
      </c>
      <c r="D13" s="46">
        <f>+'Value Chain'!F129</f>
        <v>4716.955281405053</v>
      </c>
      <c r="E13" s="46">
        <f>+'Value Chain'!G129</f>
        <v>4716.955281405053</v>
      </c>
      <c r="F13" s="46">
        <f>+'Value Chain'!H129</f>
        <v>4716.955281405053</v>
      </c>
      <c r="G13" s="46">
        <f>+'Value Chain'!I129</f>
        <v>4716.955281405053</v>
      </c>
      <c r="H13" s="46">
        <f>+'Value Chain'!J129</f>
        <v>4716.955281405053</v>
      </c>
      <c r="I13" s="46">
        <f>+'Value Chain'!K129</f>
        <v>4716.955281405053</v>
      </c>
      <c r="J13" s="46">
        <f>+'Value Chain'!L129</f>
        <v>4716.955281405053</v>
      </c>
      <c r="K13" s="46">
        <f>+'Value Chain'!M129</f>
        <v>4716.955281405053</v>
      </c>
      <c r="L13" s="46">
        <f>+'Value Chain'!N129</f>
        <v>47169.552814050461</v>
      </c>
      <c r="M13" s="46">
        <f>+'Value Chain'!O129</f>
        <v>47169.552814050461</v>
      </c>
    </row>
    <row r="14" spans="1:21" x14ac:dyDescent="0.2">
      <c r="A14" s="31" t="s">
        <v>179</v>
      </c>
      <c r="B14" s="46">
        <f>+'Value Chain'!D150</f>
        <v>-102.10409410191269</v>
      </c>
      <c r="C14" s="46">
        <f>+'Value Chain'!E150</f>
        <v>-102.10409410191269</v>
      </c>
      <c r="D14" s="46">
        <f>+'Value Chain'!F150</f>
        <v>-102.10409410191269</v>
      </c>
      <c r="E14" s="46">
        <f>+'Value Chain'!G150</f>
        <v>-102.10409410191269</v>
      </c>
      <c r="F14" s="46">
        <f>+'Value Chain'!H150</f>
        <v>-102.10409410191269</v>
      </c>
      <c r="G14" s="46">
        <f>+'Value Chain'!I150</f>
        <v>-102.10409410191269</v>
      </c>
      <c r="H14" s="46">
        <f>+'Value Chain'!J150</f>
        <v>-102.10409410191269</v>
      </c>
      <c r="I14" s="46">
        <f>+'Value Chain'!K150</f>
        <v>-102.10409410191269</v>
      </c>
      <c r="J14" s="46">
        <f>+'Value Chain'!L150</f>
        <v>-102.10409410191269</v>
      </c>
      <c r="K14" s="46">
        <f>+'Value Chain'!M150</f>
        <v>-102.10409410191269</v>
      </c>
      <c r="L14" s="46">
        <f>+'Value Chain'!N150</f>
        <v>-1021.0409410191564</v>
      </c>
      <c r="M14" s="46">
        <f>+'Value Chain'!O150</f>
        <v>-1021.0409410191564</v>
      </c>
    </row>
    <row r="15" spans="1:21" x14ac:dyDescent="0.2">
      <c r="A15" s="31" t="s">
        <v>163</v>
      </c>
      <c r="B15" s="46">
        <f>+'Value Chain'!D171</f>
        <v>1503.5382429946508</v>
      </c>
      <c r="C15" s="46">
        <f>+'Value Chain'!E171</f>
        <v>1503.5382429946508</v>
      </c>
      <c r="D15" s="46">
        <f>+'Value Chain'!F171</f>
        <v>1503.5382429946508</v>
      </c>
      <c r="E15" s="46">
        <f>+'Value Chain'!G171</f>
        <v>1503.5382429946508</v>
      </c>
      <c r="F15" s="46">
        <f>+'Value Chain'!H171</f>
        <v>1503.5382429946508</v>
      </c>
      <c r="G15" s="46">
        <f>+'Value Chain'!I171</f>
        <v>1503.5382429946508</v>
      </c>
      <c r="H15" s="46">
        <f>+'Value Chain'!J171</f>
        <v>1503.5382429946508</v>
      </c>
      <c r="I15" s="46">
        <f>+'Value Chain'!K171</f>
        <v>1503.5382429946508</v>
      </c>
      <c r="J15" s="46">
        <f>+'Value Chain'!L171</f>
        <v>1503.5382429946508</v>
      </c>
      <c r="K15" s="46">
        <f>+'Value Chain'!M171</f>
        <v>1503.5382429946508</v>
      </c>
      <c r="L15" s="46">
        <f>+'Value Chain'!N171</f>
        <v>15035.382429946458</v>
      </c>
      <c r="M15" s="46">
        <f>+'Value Chain'!O171</f>
        <v>15035.382429946458</v>
      </c>
    </row>
    <row r="16" spans="1:21" x14ac:dyDescent="0.2">
      <c r="A16" s="31" t="s">
        <v>180</v>
      </c>
      <c r="B16" s="46">
        <f>+'Value Chain'!D192</f>
        <v>73.377464456197686</v>
      </c>
      <c r="C16" s="46">
        <f>+'Value Chain'!E192</f>
        <v>73.377464456197686</v>
      </c>
      <c r="D16" s="46">
        <f>+'Value Chain'!F192</f>
        <v>73.377464456197686</v>
      </c>
      <c r="E16" s="46">
        <f>+'Value Chain'!G192</f>
        <v>73.377464456197686</v>
      </c>
      <c r="F16" s="46">
        <f>+'Value Chain'!H192</f>
        <v>73.377464456197686</v>
      </c>
      <c r="G16" s="46">
        <f>+'Value Chain'!I192</f>
        <v>73.377464456197686</v>
      </c>
      <c r="H16" s="46">
        <f>+'Value Chain'!J192</f>
        <v>73.377464456197686</v>
      </c>
      <c r="I16" s="46">
        <f>+'Value Chain'!K192</f>
        <v>73.377464456197686</v>
      </c>
      <c r="J16" s="46">
        <f>+'Value Chain'!L192</f>
        <v>73.377464456197686</v>
      </c>
      <c r="K16" s="46">
        <f>+'Value Chain'!M192</f>
        <v>73.377464456197686</v>
      </c>
      <c r="L16" s="46">
        <f>+'Value Chain'!N192</f>
        <v>733.77464456198834</v>
      </c>
      <c r="M16" s="46">
        <f>+'Value Chain'!O192</f>
        <v>733.77464456198834</v>
      </c>
    </row>
    <row r="17" spans="1:13" x14ac:dyDescent="0.2">
      <c r="A17" s="31" t="s">
        <v>162</v>
      </c>
      <c r="B17" s="46">
        <f>+'Value Chain'!D213</f>
        <v>-431.9898516443422</v>
      </c>
      <c r="C17" s="46">
        <f>+'Value Chain'!E213</f>
        <v>-431.9898516443422</v>
      </c>
      <c r="D17" s="46">
        <f>+'Value Chain'!F213</f>
        <v>-431.9898516443422</v>
      </c>
      <c r="E17" s="46">
        <f>+'Value Chain'!G213</f>
        <v>-431.9898516443422</v>
      </c>
      <c r="F17" s="46">
        <f>+'Value Chain'!H213</f>
        <v>-431.9898516443422</v>
      </c>
      <c r="G17" s="46">
        <f>+'Value Chain'!I213</f>
        <v>-431.9898516443422</v>
      </c>
      <c r="H17" s="46">
        <f>+'Value Chain'!J213</f>
        <v>-431.9898516443422</v>
      </c>
      <c r="I17" s="46">
        <f>+'Value Chain'!K213</f>
        <v>-431.9898516443422</v>
      </c>
      <c r="J17" s="46">
        <f>+'Value Chain'!L213</f>
        <v>-431.9898516443422</v>
      </c>
      <c r="K17" s="46">
        <f>+'Value Chain'!M213</f>
        <v>-431.9898516443422</v>
      </c>
      <c r="L17" s="46">
        <f>+'Value Chain'!N213</f>
        <v>-4319.8985164434107</v>
      </c>
      <c r="M17" s="46">
        <f>+'Value Chain'!O213</f>
        <v>-4319.8985164434107</v>
      </c>
    </row>
    <row r="18" spans="1:13" x14ac:dyDescent="0.2">
      <c r="A18" s="31" t="s">
        <v>164</v>
      </c>
      <c r="B18" s="46">
        <f>+'Value Chain'!D234</f>
        <v>2047.2066729376893</v>
      </c>
      <c r="C18" s="46">
        <f>+'Value Chain'!E234</f>
        <v>2047.2066729376893</v>
      </c>
      <c r="D18" s="46">
        <f>+'Value Chain'!F234</f>
        <v>2047.2066729376893</v>
      </c>
      <c r="E18" s="46">
        <f>+'Value Chain'!G234</f>
        <v>2047.2066729376893</v>
      </c>
      <c r="F18" s="46">
        <f>+'Value Chain'!H234</f>
        <v>2047.2066729376893</v>
      </c>
      <c r="G18" s="46">
        <f>+'Value Chain'!I234</f>
        <v>2047.2066729376893</v>
      </c>
      <c r="H18" s="46">
        <f>+'Value Chain'!J234</f>
        <v>2047.2066729376893</v>
      </c>
      <c r="I18" s="46">
        <f>+'Value Chain'!K234</f>
        <v>2047.2066729376893</v>
      </c>
      <c r="J18" s="46">
        <f>+'Value Chain'!L234</f>
        <v>2047.2066729376893</v>
      </c>
      <c r="K18" s="46">
        <f>+'Value Chain'!M234</f>
        <v>2047.2066729376893</v>
      </c>
      <c r="L18" s="46">
        <f>+'Value Chain'!N234</f>
        <v>20472.066729376758</v>
      </c>
      <c r="M18" s="46">
        <f>+'Value Chain'!O234</f>
        <v>20472.066729376758</v>
      </c>
    </row>
    <row r="21" spans="1:13" ht="15.75" x14ac:dyDescent="0.25">
      <c r="A21" s="268" t="s">
        <v>208</v>
      </c>
    </row>
    <row r="22" spans="1:13" ht="13.5" thickBot="1" x14ac:dyDescent="0.25"/>
    <row r="23" spans="1:13" ht="13.5" thickBot="1" x14ac:dyDescent="0.25">
      <c r="A23" s="174" t="s">
        <v>49</v>
      </c>
      <c r="B23" s="219" t="s">
        <v>126</v>
      </c>
      <c r="C23" s="219" t="s">
        <v>127</v>
      </c>
      <c r="D23" s="219" t="s">
        <v>128</v>
      </c>
      <c r="E23" s="219" t="s">
        <v>129</v>
      </c>
      <c r="F23" s="219" t="s">
        <v>130</v>
      </c>
      <c r="G23" s="219" t="s">
        <v>131</v>
      </c>
      <c r="H23" s="219" t="s">
        <v>132</v>
      </c>
      <c r="I23" s="219" t="s">
        <v>133</v>
      </c>
      <c r="J23" s="219" t="s">
        <v>134</v>
      </c>
      <c r="K23" s="219" t="s">
        <v>135</v>
      </c>
      <c r="L23" s="219" t="s">
        <v>136</v>
      </c>
      <c r="M23" s="220" t="s">
        <v>137</v>
      </c>
    </row>
    <row r="25" spans="1:13" x14ac:dyDescent="0.2">
      <c r="A25" s="31" t="s">
        <v>14</v>
      </c>
      <c r="B25" s="46">
        <f>+'Equipment Operational Costs'!C39</f>
        <v>167.13541642714608</v>
      </c>
      <c r="C25" s="422">
        <f>+B25</f>
        <v>167.13541642714608</v>
      </c>
      <c r="D25" s="422">
        <f t="shared" ref="D25:M25" si="0">+C25</f>
        <v>167.13541642714608</v>
      </c>
      <c r="E25" s="422">
        <f t="shared" si="0"/>
        <v>167.13541642714608</v>
      </c>
      <c r="F25" s="422">
        <f t="shared" si="0"/>
        <v>167.13541642714608</v>
      </c>
      <c r="G25" s="422">
        <f t="shared" si="0"/>
        <v>167.13541642714608</v>
      </c>
      <c r="H25" s="422">
        <f t="shared" si="0"/>
        <v>167.13541642714608</v>
      </c>
      <c r="I25" s="422">
        <f t="shared" si="0"/>
        <v>167.13541642714608</v>
      </c>
      <c r="J25" s="422">
        <f t="shared" si="0"/>
        <v>167.13541642714608</v>
      </c>
      <c r="K25" s="422">
        <f t="shared" si="0"/>
        <v>167.13541642714608</v>
      </c>
      <c r="L25" s="422">
        <f t="shared" si="0"/>
        <v>167.13541642714608</v>
      </c>
      <c r="M25" s="422">
        <f t="shared" si="0"/>
        <v>167.13541642714608</v>
      </c>
    </row>
    <row r="26" spans="1:13" x14ac:dyDescent="0.2">
      <c r="A26" s="31" t="s">
        <v>15</v>
      </c>
      <c r="B26" s="46">
        <f>+'Equipment Operational Costs'!D39</f>
        <v>0</v>
      </c>
      <c r="C26" s="422">
        <f t="shared" ref="C26:M35" si="1">+B26</f>
        <v>0</v>
      </c>
      <c r="D26" s="422">
        <f t="shared" si="1"/>
        <v>0</v>
      </c>
      <c r="E26" s="422">
        <f t="shared" si="1"/>
        <v>0</v>
      </c>
      <c r="F26" s="422">
        <f t="shared" si="1"/>
        <v>0</v>
      </c>
      <c r="G26" s="422">
        <f t="shared" si="1"/>
        <v>0</v>
      </c>
      <c r="H26" s="422">
        <f t="shared" si="1"/>
        <v>0</v>
      </c>
      <c r="I26" s="422">
        <f t="shared" si="1"/>
        <v>0</v>
      </c>
      <c r="J26" s="422">
        <f t="shared" si="1"/>
        <v>0</v>
      </c>
      <c r="K26" s="422">
        <f t="shared" si="1"/>
        <v>0</v>
      </c>
      <c r="L26" s="422">
        <f t="shared" si="1"/>
        <v>0</v>
      </c>
      <c r="M26" s="422">
        <f t="shared" si="1"/>
        <v>0</v>
      </c>
    </row>
    <row r="27" spans="1:13" x14ac:dyDescent="0.2">
      <c r="A27" s="31" t="s">
        <v>16</v>
      </c>
      <c r="B27" s="46">
        <f>+'Equipment Operational Costs'!E39</f>
        <v>502.63312400063194</v>
      </c>
      <c r="C27" s="422">
        <f t="shared" si="1"/>
        <v>502.63312400063194</v>
      </c>
      <c r="D27" s="422">
        <f t="shared" si="1"/>
        <v>502.63312400063194</v>
      </c>
      <c r="E27" s="422">
        <f t="shared" si="1"/>
        <v>502.63312400063194</v>
      </c>
      <c r="F27" s="422">
        <f t="shared" si="1"/>
        <v>502.63312400063194</v>
      </c>
      <c r="G27" s="422">
        <f t="shared" si="1"/>
        <v>502.63312400063194</v>
      </c>
      <c r="H27" s="422">
        <f t="shared" si="1"/>
        <v>502.63312400063194</v>
      </c>
      <c r="I27" s="422">
        <f t="shared" si="1"/>
        <v>502.63312400063194</v>
      </c>
      <c r="J27" s="422">
        <f t="shared" si="1"/>
        <v>502.63312400063194</v>
      </c>
      <c r="K27" s="422">
        <f t="shared" si="1"/>
        <v>502.63312400063194</v>
      </c>
      <c r="L27" s="422">
        <f t="shared" si="1"/>
        <v>502.63312400063194</v>
      </c>
      <c r="M27" s="422">
        <f t="shared" si="1"/>
        <v>502.63312400063194</v>
      </c>
    </row>
    <row r="28" spans="1:13" x14ac:dyDescent="0.2">
      <c r="A28" s="31" t="s">
        <v>50</v>
      </c>
      <c r="B28" s="46">
        <f>+'Equipment Operational Costs'!F39</f>
        <v>250.77749372882371</v>
      </c>
      <c r="C28" s="422">
        <f t="shared" si="1"/>
        <v>250.77749372882371</v>
      </c>
      <c r="D28" s="422">
        <f t="shared" si="1"/>
        <v>250.77749372882371</v>
      </c>
      <c r="E28" s="422">
        <f t="shared" si="1"/>
        <v>250.77749372882371</v>
      </c>
      <c r="F28" s="422">
        <f t="shared" si="1"/>
        <v>250.77749372882371</v>
      </c>
      <c r="G28" s="422">
        <f t="shared" si="1"/>
        <v>250.77749372882371</v>
      </c>
      <c r="H28" s="422">
        <f t="shared" si="1"/>
        <v>250.77749372882371</v>
      </c>
      <c r="I28" s="422">
        <f t="shared" si="1"/>
        <v>250.77749372882371</v>
      </c>
      <c r="J28" s="422">
        <f t="shared" si="1"/>
        <v>250.77749372882371</v>
      </c>
      <c r="K28" s="422">
        <f t="shared" si="1"/>
        <v>250.77749372882371</v>
      </c>
      <c r="L28" s="422">
        <f t="shared" si="1"/>
        <v>250.77749372882371</v>
      </c>
      <c r="M28" s="422">
        <f t="shared" si="1"/>
        <v>250.77749372882371</v>
      </c>
    </row>
    <row r="29" spans="1:13" x14ac:dyDescent="0.2">
      <c r="A29" s="31" t="s">
        <v>178</v>
      </c>
      <c r="B29" s="46">
        <f>+'Equipment Operational Costs'!G39</f>
        <v>661.15679539054804</v>
      </c>
      <c r="C29" s="422">
        <f t="shared" si="1"/>
        <v>661.15679539054804</v>
      </c>
      <c r="D29" s="422">
        <f t="shared" si="1"/>
        <v>661.15679539054804</v>
      </c>
      <c r="E29" s="422">
        <f t="shared" si="1"/>
        <v>661.15679539054804</v>
      </c>
      <c r="F29" s="422">
        <f t="shared" si="1"/>
        <v>661.15679539054804</v>
      </c>
      <c r="G29" s="422">
        <f t="shared" si="1"/>
        <v>661.15679539054804</v>
      </c>
      <c r="H29" s="422">
        <f t="shared" si="1"/>
        <v>661.15679539054804</v>
      </c>
      <c r="I29" s="422">
        <f t="shared" si="1"/>
        <v>661.15679539054804</v>
      </c>
      <c r="J29" s="422">
        <f t="shared" si="1"/>
        <v>661.15679539054804</v>
      </c>
      <c r="K29" s="422">
        <f t="shared" si="1"/>
        <v>661.15679539054804</v>
      </c>
      <c r="L29" s="422">
        <f t="shared" si="1"/>
        <v>661.15679539054804</v>
      </c>
      <c r="M29" s="422">
        <f t="shared" si="1"/>
        <v>661.15679539054804</v>
      </c>
    </row>
    <row r="30" spans="1:13" x14ac:dyDescent="0.2">
      <c r="A30" s="31" t="s">
        <v>165</v>
      </c>
      <c r="B30" s="46">
        <f>+'Equipment Operational Costs'!H39</f>
        <v>255.63474517329212</v>
      </c>
      <c r="C30" s="422">
        <f t="shared" si="1"/>
        <v>255.63474517329212</v>
      </c>
      <c r="D30" s="422">
        <f t="shared" si="1"/>
        <v>255.63474517329212</v>
      </c>
      <c r="E30" s="422">
        <f t="shared" si="1"/>
        <v>255.63474517329212</v>
      </c>
      <c r="F30" s="422">
        <f t="shared" si="1"/>
        <v>255.63474517329212</v>
      </c>
      <c r="G30" s="422">
        <f t="shared" si="1"/>
        <v>255.63474517329212</v>
      </c>
      <c r="H30" s="422">
        <f t="shared" si="1"/>
        <v>255.63474517329212</v>
      </c>
      <c r="I30" s="422">
        <f t="shared" si="1"/>
        <v>255.63474517329212</v>
      </c>
      <c r="J30" s="422">
        <f t="shared" si="1"/>
        <v>255.63474517329212</v>
      </c>
      <c r="K30" s="422">
        <f t="shared" si="1"/>
        <v>255.63474517329212</v>
      </c>
      <c r="L30" s="422">
        <f t="shared" si="1"/>
        <v>255.63474517329212</v>
      </c>
      <c r="M30" s="422">
        <f t="shared" si="1"/>
        <v>255.63474517329212</v>
      </c>
    </row>
    <row r="31" spans="1:13" x14ac:dyDescent="0.2">
      <c r="A31" s="31" t="s">
        <v>179</v>
      </c>
      <c r="B31" s="46">
        <f>+'Equipment Operational Costs'!I39</f>
        <v>141.10638880214023</v>
      </c>
      <c r="C31" s="422">
        <f t="shared" si="1"/>
        <v>141.10638880214023</v>
      </c>
      <c r="D31" s="422">
        <f t="shared" si="1"/>
        <v>141.10638880214023</v>
      </c>
      <c r="E31" s="422">
        <f t="shared" si="1"/>
        <v>141.10638880214023</v>
      </c>
      <c r="F31" s="422">
        <f t="shared" si="1"/>
        <v>141.10638880214023</v>
      </c>
      <c r="G31" s="422">
        <f t="shared" si="1"/>
        <v>141.10638880214023</v>
      </c>
      <c r="H31" s="422">
        <f t="shared" si="1"/>
        <v>141.10638880214023</v>
      </c>
      <c r="I31" s="422">
        <f t="shared" si="1"/>
        <v>141.10638880214023</v>
      </c>
      <c r="J31" s="422">
        <f t="shared" si="1"/>
        <v>141.10638880214023</v>
      </c>
      <c r="K31" s="422">
        <f t="shared" si="1"/>
        <v>141.10638880214023</v>
      </c>
      <c r="L31" s="422">
        <f t="shared" si="1"/>
        <v>141.10638880214023</v>
      </c>
      <c r="M31" s="422">
        <f t="shared" si="1"/>
        <v>141.10638880214023</v>
      </c>
    </row>
    <row r="32" spans="1:13" x14ac:dyDescent="0.2">
      <c r="A32" s="31" t="s">
        <v>163</v>
      </c>
      <c r="B32" s="46">
        <f>+'Equipment Operational Costs'!J39</f>
        <v>211.60268512970023</v>
      </c>
      <c r="C32" s="422">
        <f t="shared" si="1"/>
        <v>211.60268512970023</v>
      </c>
      <c r="D32" s="422">
        <f t="shared" si="1"/>
        <v>211.60268512970023</v>
      </c>
      <c r="E32" s="422">
        <f t="shared" si="1"/>
        <v>211.60268512970023</v>
      </c>
      <c r="F32" s="422">
        <f t="shared" si="1"/>
        <v>211.60268512970023</v>
      </c>
      <c r="G32" s="422">
        <f t="shared" si="1"/>
        <v>211.60268512970023</v>
      </c>
      <c r="H32" s="422">
        <f t="shared" si="1"/>
        <v>211.60268512970023</v>
      </c>
      <c r="I32" s="422">
        <f t="shared" si="1"/>
        <v>211.60268512970023</v>
      </c>
      <c r="J32" s="422">
        <f t="shared" si="1"/>
        <v>211.60268512970023</v>
      </c>
      <c r="K32" s="422">
        <f t="shared" si="1"/>
        <v>211.60268512970023</v>
      </c>
      <c r="L32" s="422">
        <f t="shared" si="1"/>
        <v>211.60268512970023</v>
      </c>
      <c r="M32" s="422">
        <f t="shared" si="1"/>
        <v>211.60268512970023</v>
      </c>
    </row>
    <row r="33" spans="1:13" x14ac:dyDescent="0.2">
      <c r="A33" s="31" t="s">
        <v>180</v>
      </c>
      <c r="B33" s="46">
        <f>+'Equipment Operational Costs'!K39</f>
        <v>128.01460799622703</v>
      </c>
      <c r="C33" s="422">
        <f t="shared" si="1"/>
        <v>128.01460799622703</v>
      </c>
      <c r="D33" s="422">
        <f t="shared" si="1"/>
        <v>128.01460799622703</v>
      </c>
      <c r="E33" s="422">
        <f t="shared" si="1"/>
        <v>128.01460799622703</v>
      </c>
      <c r="F33" s="422">
        <f t="shared" si="1"/>
        <v>128.01460799622703</v>
      </c>
      <c r="G33" s="422">
        <f t="shared" si="1"/>
        <v>128.01460799622703</v>
      </c>
      <c r="H33" s="422">
        <f t="shared" si="1"/>
        <v>128.01460799622703</v>
      </c>
      <c r="I33" s="422">
        <f t="shared" si="1"/>
        <v>128.01460799622703</v>
      </c>
      <c r="J33" s="422">
        <f t="shared" si="1"/>
        <v>128.01460799622703</v>
      </c>
      <c r="K33" s="422">
        <f t="shared" si="1"/>
        <v>128.01460799622703</v>
      </c>
      <c r="L33" s="422">
        <f t="shared" si="1"/>
        <v>128.01460799622703</v>
      </c>
      <c r="M33" s="422">
        <f t="shared" si="1"/>
        <v>128.01460799622703</v>
      </c>
    </row>
    <row r="34" spans="1:13" x14ac:dyDescent="0.2">
      <c r="A34" s="31" t="s">
        <v>162</v>
      </c>
      <c r="B34" s="46">
        <f>+'Equipment Operational Costs'!L39</f>
        <v>105.9604644488449</v>
      </c>
      <c r="C34" s="422">
        <f t="shared" si="1"/>
        <v>105.9604644488449</v>
      </c>
      <c r="D34" s="422">
        <f t="shared" si="1"/>
        <v>105.9604644488449</v>
      </c>
      <c r="E34" s="422">
        <f t="shared" si="1"/>
        <v>105.9604644488449</v>
      </c>
      <c r="F34" s="422">
        <f t="shared" si="1"/>
        <v>105.9604644488449</v>
      </c>
      <c r="G34" s="422">
        <f t="shared" si="1"/>
        <v>105.9604644488449</v>
      </c>
      <c r="H34" s="422">
        <f t="shared" si="1"/>
        <v>105.9604644488449</v>
      </c>
      <c r="I34" s="422">
        <f t="shared" si="1"/>
        <v>105.9604644488449</v>
      </c>
      <c r="J34" s="422">
        <f t="shared" si="1"/>
        <v>105.9604644488449</v>
      </c>
      <c r="K34" s="422">
        <f t="shared" si="1"/>
        <v>105.9604644488449</v>
      </c>
      <c r="L34" s="422">
        <f t="shared" si="1"/>
        <v>105.9604644488449</v>
      </c>
      <c r="M34" s="422">
        <f t="shared" si="1"/>
        <v>105.9604644488449</v>
      </c>
    </row>
    <row r="35" spans="1:13" x14ac:dyDescent="0.2">
      <c r="A35" s="31" t="s">
        <v>164</v>
      </c>
      <c r="B35" s="46">
        <f>+'Equipment Operational Costs'!M39</f>
        <v>261.76593565264545</v>
      </c>
      <c r="C35" s="422">
        <f t="shared" si="1"/>
        <v>261.76593565264545</v>
      </c>
      <c r="D35" s="422">
        <f t="shared" si="1"/>
        <v>261.76593565264545</v>
      </c>
      <c r="E35" s="422">
        <f t="shared" si="1"/>
        <v>261.76593565264545</v>
      </c>
      <c r="F35" s="422">
        <f t="shared" si="1"/>
        <v>261.76593565264545</v>
      </c>
      <c r="G35" s="422">
        <f t="shared" si="1"/>
        <v>261.76593565264545</v>
      </c>
      <c r="H35" s="422">
        <f t="shared" si="1"/>
        <v>261.76593565264545</v>
      </c>
      <c r="I35" s="422">
        <f t="shared" si="1"/>
        <v>261.76593565264545</v>
      </c>
      <c r="J35" s="422">
        <f t="shared" si="1"/>
        <v>261.76593565264545</v>
      </c>
      <c r="K35" s="422">
        <f t="shared" si="1"/>
        <v>261.76593565264545</v>
      </c>
      <c r="L35" s="422">
        <f t="shared" si="1"/>
        <v>261.76593565264545</v>
      </c>
      <c r="M35" s="422">
        <f t="shared" si="1"/>
        <v>261.76593565264545</v>
      </c>
    </row>
    <row r="40" spans="1:13" ht="12.75" customHeight="1" x14ac:dyDescent="0.2"/>
    <row r="45" spans="1:13" s="13" customFormat="1" x14ac:dyDescent="0.2"/>
    <row r="47" spans="1:13" s="60" customFormat="1" ht="15" x14ac:dyDescent="0.2"/>
  </sheetData>
  <mergeCells count="1">
    <mergeCell ref="A1:M1"/>
  </mergeCells>
  <phoneticPr fontId="4" type="noConversion"/>
  <pageMargins left="0.78740157499999996" right="0.78740157499999996" top="0.984251969" bottom="0.984251969" header="0.4921259845" footer="0.4921259845"/>
  <pageSetup scale="66"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44"/>
  <sheetViews>
    <sheetView topLeftCell="A19" zoomScale="80" workbookViewId="0">
      <selection activeCell="K50" sqref="K50"/>
    </sheetView>
  </sheetViews>
  <sheetFormatPr defaultColWidth="9.140625" defaultRowHeight="12.75" x14ac:dyDescent="0.2"/>
  <cols>
    <col min="1" max="1" width="23.28515625" style="161" customWidth="1"/>
    <col min="2" max="9" width="11.42578125" style="161" customWidth="1"/>
    <col min="10" max="10" width="12" style="161" customWidth="1"/>
    <col min="11" max="11" width="11.42578125" style="161" customWidth="1"/>
    <col min="12" max="12" width="13.28515625" style="161" customWidth="1"/>
    <col min="13" max="13" width="10.28515625" style="161" customWidth="1"/>
    <col min="14" max="14" width="11.28515625" style="161" customWidth="1"/>
    <col min="15" max="15" width="11" style="161" customWidth="1"/>
    <col min="16" max="16" width="11.42578125" style="161" customWidth="1"/>
    <col min="17" max="17" width="14.140625" style="161" customWidth="1"/>
    <col min="18" max="256" width="11.42578125" style="161" customWidth="1"/>
    <col min="257" max="16384" width="9.140625" style="161"/>
  </cols>
  <sheetData>
    <row r="1" spans="1:17" ht="18.75" thickBot="1" x14ac:dyDescent="0.25">
      <c r="A1" s="1026" t="s">
        <v>32</v>
      </c>
      <c r="B1" s="1027"/>
      <c r="C1" s="1027"/>
      <c r="D1" s="1027"/>
      <c r="E1" s="1027"/>
      <c r="F1" s="1027"/>
      <c r="G1" s="1027"/>
      <c r="H1" s="1027"/>
      <c r="I1" s="1027"/>
      <c r="J1" s="1027"/>
      <c r="K1" s="1027"/>
      <c r="L1" s="1027"/>
      <c r="M1" s="1027"/>
      <c r="N1" s="1027"/>
      <c r="O1" s="1028"/>
    </row>
    <row r="2" spans="1:17" ht="13.5" thickTop="1" x14ac:dyDescent="0.2">
      <c r="A2" s="1024">
        <f>IF('ERR &amp; Sensitivity Analysis'!$I$10="N","Note: Current calculations are based on user input and are not the original MCC estimates.",IF('ERR &amp; Sensitivity Analysis'!$I$11="N","Note: Current calculations are based on user input and are not the original MCC estimates.",0))</f>
        <v>0</v>
      </c>
      <c r="B2" s="1025"/>
      <c r="C2" s="1025"/>
      <c r="D2" s="1025"/>
      <c r="E2" s="1025"/>
      <c r="F2" s="1025"/>
      <c r="G2" s="1025"/>
      <c r="H2" s="1025"/>
      <c r="I2" s="1025"/>
      <c r="J2" s="162"/>
      <c r="K2" s="162"/>
      <c r="L2" s="162"/>
      <c r="M2" s="162"/>
      <c r="N2" s="162"/>
      <c r="O2" s="163"/>
    </row>
    <row r="3" spans="1:17" ht="13.5" thickBot="1" x14ac:dyDescent="0.25"/>
    <row r="4" spans="1:17" x14ac:dyDescent="0.2">
      <c r="A4" s="1032" t="s">
        <v>1181</v>
      </c>
      <c r="B4" s="1033"/>
      <c r="C4" s="1033"/>
      <c r="D4" s="1033"/>
      <c r="E4" s="1033"/>
      <c r="F4" s="1033"/>
      <c r="G4" s="1034"/>
      <c r="H4" s="1035" t="s">
        <v>192</v>
      </c>
      <c r="I4" s="1036"/>
      <c r="J4" s="1036"/>
      <c r="K4" s="1036"/>
      <c r="L4" s="1037"/>
      <c r="M4" s="1029" t="s">
        <v>193</v>
      </c>
      <c r="N4" s="1029"/>
      <c r="O4" s="1029"/>
      <c r="P4" s="1029"/>
      <c r="Q4" s="490" t="s">
        <v>1311</v>
      </c>
    </row>
    <row r="5" spans="1:17" x14ac:dyDescent="0.2">
      <c r="A5" s="1030" t="s">
        <v>1180</v>
      </c>
      <c r="B5" s="1031"/>
      <c r="C5" s="1031"/>
      <c r="D5" s="1031"/>
      <c r="E5" s="1031"/>
      <c r="F5" s="1031"/>
      <c r="G5" s="1031"/>
      <c r="H5" s="1019" t="s">
        <v>1255</v>
      </c>
      <c r="I5" s="1019"/>
      <c r="J5" s="1019"/>
      <c r="K5" s="1019"/>
      <c r="L5" s="1019"/>
      <c r="M5" s="1019" t="s">
        <v>1186</v>
      </c>
      <c r="N5" s="1019"/>
      <c r="O5" s="1019"/>
      <c r="P5" s="1019"/>
      <c r="Q5" s="491">
        <v>0.05</v>
      </c>
    </row>
    <row r="6" spans="1:17" x14ac:dyDescent="0.2">
      <c r="A6" s="999" t="s">
        <v>1187</v>
      </c>
      <c r="B6" s="1000"/>
      <c r="C6" s="1000"/>
      <c r="D6" s="1000"/>
      <c r="E6" s="1000"/>
      <c r="F6" s="1000"/>
      <c r="G6" s="1000"/>
      <c r="H6" s="1020" t="s">
        <v>1193</v>
      </c>
      <c r="I6" s="1020"/>
      <c r="J6" s="1020"/>
      <c r="K6" s="1020"/>
      <c r="L6" s="1020"/>
      <c r="M6" s="1019" t="s">
        <v>1185</v>
      </c>
      <c r="N6" s="1019"/>
      <c r="O6" s="1019"/>
      <c r="P6" s="1019"/>
      <c r="Q6" s="491">
        <v>0.05</v>
      </c>
    </row>
    <row r="7" spans="1:17" ht="12.75" customHeight="1" x14ac:dyDescent="0.2">
      <c r="A7" s="999" t="s">
        <v>1188</v>
      </c>
      <c r="B7" s="1000"/>
      <c r="C7" s="1000"/>
      <c r="D7" s="1000"/>
      <c r="E7" s="1000"/>
      <c r="F7" s="1000"/>
      <c r="G7" s="1000"/>
      <c r="H7" s="1020" t="s">
        <v>1192</v>
      </c>
      <c r="I7" s="1020"/>
      <c r="J7" s="1020"/>
      <c r="K7" s="1020"/>
      <c r="L7" s="1020"/>
      <c r="M7" s="1019" t="s">
        <v>1184</v>
      </c>
      <c r="N7" s="1019"/>
      <c r="O7" s="1019"/>
      <c r="P7" s="1019"/>
      <c r="Q7" s="491">
        <v>0.02</v>
      </c>
    </row>
    <row r="8" spans="1:17" ht="13.5" customHeight="1" x14ac:dyDescent="0.2">
      <c r="A8" s="1007" t="s">
        <v>1189</v>
      </c>
      <c r="B8" s="1008"/>
      <c r="C8" s="1008"/>
      <c r="D8" s="1008"/>
      <c r="E8" s="1008"/>
      <c r="F8" s="1008"/>
      <c r="G8" s="1009"/>
      <c r="H8" s="990" t="s">
        <v>1178</v>
      </c>
      <c r="I8" s="991"/>
      <c r="J8" s="991"/>
      <c r="K8" s="991"/>
      <c r="L8" s="992"/>
      <c r="M8" s="1019" t="s">
        <v>1183</v>
      </c>
      <c r="N8" s="1019"/>
      <c r="O8" s="1019"/>
      <c r="P8" s="1019"/>
      <c r="Q8" s="491">
        <v>0</v>
      </c>
    </row>
    <row r="9" spans="1:17" ht="12.75" customHeight="1" x14ac:dyDescent="0.2">
      <c r="A9" s="1010"/>
      <c r="B9" s="1011"/>
      <c r="C9" s="1011"/>
      <c r="D9" s="1011"/>
      <c r="E9" s="1011"/>
      <c r="F9" s="1011"/>
      <c r="G9" s="1012"/>
      <c r="H9" s="993"/>
      <c r="I9" s="994"/>
      <c r="J9" s="994"/>
      <c r="K9" s="994"/>
      <c r="L9" s="995"/>
      <c r="M9" s="1001" t="s">
        <v>1182</v>
      </c>
      <c r="N9" s="1002"/>
      <c r="O9" s="1002"/>
      <c r="P9" s="1003"/>
      <c r="Q9" s="492">
        <v>0</v>
      </c>
    </row>
    <row r="10" spans="1:17" ht="54.75" customHeight="1" x14ac:dyDescent="0.2">
      <c r="A10" s="1010"/>
      <c r="B10" s="1011"/>
      <c r="C10" s="1011"/>
      <c r="D10" s="1011"/>
      <c r="E10" s="1011"/>
      <c r="F10" s="1011"/>
      <c r="G10" s="1012"/>
      <c r="H10" s="993"/>
      <c r="I10" s="994"/>
      <c r="J10" s="994"/>
      <c r="K10" s="994"/>
      <c r="L10" s="995"/>
      <c r="M10" s="1004"/>
      <c r="N10" s="1005"/>
      <c r="O10" s="1005"/>
      <c r="P10" s="1006"/>
      <c r="Q10" s="527"/>
    </row>
    <row r="11" spans="1:17" ht="20.25" customHeight="1" x14ac:dyDescent="0.2">
      <c r="A11" s="1010"/>
      <c r="B11" s="1011"/>
      <c r="C11" s="1011"/>
      <c r="D11" s="1011"/>
      <c r="E11" s="1011"/>
      <c r="F11" s="1011"/>
      <c r="G11" s="1012"/>
      <c r="H11" s="1021" t="s">
        <v>1190</v>
      </c>
      <c r="I11" s="1022"/>
      <c r="J11" s="1022"/>
      <c r="K11" s="1022"/>
      <c r="L11" s="1023"/>
      <c r="M11" s="996" t="s">
        <v>1247</v>
      </c>
      <c r="N11" s="997"/>
      <c r="O11" s="997"/>
      <c r="P11" s="998"/>
      <c r="Q11" s="491">
        <v>0</v>
      </c>
    </row>
    <row r="12" spans="1:17" ht="13.5" thickBot="1" x14ac:dyDescent="0.25">
      <c r="A12" s="1013"/>
      <c r="B12" s="1014"/>
      <c r="C12" s="1014"/>
      <c r="D12" s="1014"/>
      <c r="E12" s="1014"/>
      <c r="F12" s="1014"/>
      <c r="G12" s="1015"/>
      <c r="H12" s="989" t="s">
        <v>1191</v>
      </c>
      <c r="I12" s="989"/>
      <c r="J12" s="989"/>
      <c r="K12" s="989"/>
      <c r="L12" s="989"/>
      <c r="M12" s="989" t="s">
        <v>1194</v>
      </c>
      <c r="N12" s="989"/>
      <c r="O12" s="989"/>
      <c r="P12" s="989"/>
      <c r="Q12" s="492">
        <v>0</v>
      </c>
    </row>
    <row r="13" spans="1:17" ht="96" customHeight="1" thickBot="1" x14ac:dyDescent="0.25">
      <c r="A13" s="986" t="s">
        <v>240</v>
      </c>
      <c r="B13" s="987"/>
      <c r="C13" s="987"/>
      <c r="D13" s="987"/>
      <c r="E13" s="987"/>
      <c r="F13" s="987"/>
      <c r="G13" s="988"/>
      <c r="H13" s="1016" t="s">
        <v>1179</v>
      </c>
      <c r="I13" s="1017"/>
      <c r="J13" s="1017"/>
      <c r="K13" s="1017"/>
      <c r="L13" s="1017"/>
      <c r="M13" s="1018"/>
      <c r="N13" s="1018"/>
      <c r="O13" s="1018"/>
      <c r="P13" s="1018"/>
      <c r="Q13" s="550">
        <v>0</v>
      </c>
    </row>
    <row r="14" spans="1:17" x14ac:dyDescent="0.2">
      <c r="A14" s="327"/>
      <c r="B14"/>
      <c r="C14"/>
      <c r="D14"/>
      <c r="H14" s="376"/>
    </row>
    <row r="15" spans="1:17" x14ac:dyDescent="0.2">
      <c r="A15" s="376"/>
      <c r="H15" s="376"/>
      <c r="Q15" s="377"/>
    </row>
    <row r="16" spans="1:17" x14ac:dyDescent="0.2">
      <c r="A16" s="376"/>
    </row>
    <row r="17" spans="1:16" x14ac:dyDescent="0.2">
      <c r="A17" s="376"/>
    </row>
    <row r="19" spans="1:16" x14ac:dyDescent="0.2">
      <c r="A19" s="484" t="s">
        <v>1195</v>
      </c>
    </row>
    <row r="20" spans="1:16" ht="13.5" thickBot="1" x14ac:dyDescent="0.25"/>
    <row r="21" spans="1:16" ht="13.5" thickBot="1" x14ac:dyDescent="0.25">
      <c r="E21" s="219" t="s">
        <v>126</v>
      </c>
      <c r="F21" s="219" t="s">
        <v>127</v>
      </c>
      <c r="G21" s="219" t="s">
        <v>128</v>
      </c>
      <c r="H21" s="219" t="s">
        <v>129</v>
      </c>
      <c r="I21" s="219" t="s">
        <v>130</v>
      </c>
      <c r="J21" s="219" t="s">
        <v>131</v>
      </c>
      <c r="K21" s="219" t="s">
        <v>132</v>
      </c>
      <c r="L21" s="219" t="s">
        <v>133</v>
      </c>
      <c r="M21" s="219" t="s">
        <v>134</v>
      </c>
      <c r="N21" s="219" t="s">
        <v>135</v>
      </c>
      <c r="O21" s="219" t="s">
        <v>136</v>
      </c>
      <c r="P21" s="220" t="s">
        <v>137</v>
      </c>
    </row>
    <row r="22" spans="1:16" x14ac:dyDescent="0.2">
      <c r="A22" s="365" t="s">
        <v>1196</v>
      </c>
      <c r="E22" s="161">
        <v>1</v>
      </c>
      <c r="F22" s="161">
        <v>1</v>
      </c>
      <c r="G22" s="161">
        <v>1</v>
      </c>
      <c r="H22" s="161">
        <v>1</v>
      </c>
      <c r="I22" s="161">
        <v>1</v>
      </c>
      <c r="J22" s="161">
        <v>1</v>
      </c>
      <c r="K22" s="161">
        <v>1</v>
      </c>
      <c r="L22" s="161">
        <v>1</v>
      </c>
      <c r="M22" s="161">
        <v>1</v>
      </c>
      <c r="N22" s="161">
        <v>1</v>
      </c>
      <c r="O22" s="161">
        <v>1</v>
      </c>
      <c r="P22" s="161">
        <v>1</v>
      </c>
    </row>
    <row r="23" spans="1:16" x14ac:dyDescent="0.2">
      <c r="A23" s="365" t="s">
        <v>1197</v>
      </c>
      <c r="E23" s="161">
        <v>1</v>
      </c>
      <c r="F23" s="161">
        <v>1</v>
      </c>
      <c r="G23" s="161">
        <v>1</v>
      </c>
      <c r="H23" s="161">
        <v>1</v>
      </c>
      <c r="I23" s="161">
        <v>1</v>
      </c>
      <c r="J23" s="161">
        <v>1</v>
      </c>
      <c r="K23" s="161">
        <v>1</v>
      </c>
      <c r="L23" s="161">
        <v>1</v>
      </c>
      <c r="M23" s="161">
        <v>1</v>
      </c>
      <c r="N23" s="161">
        <v>1</v>
      </c>
      <c r="O23" s="161">
        <v>1</v>
      </c>
      <c r="P23" s="161">
        <v>1</v>
      </c>
    </row>
    <row r="24" spans="1:16" x14ac:dyDescent="0.2">
      <c r="A24" s="365" t="s">
        <v>1198</v>
      </c>
      <c r="E24" s="161">
        <v>1</v>
      </c>
      <c r="F24" s="161">
        <v>1</v>
      </c>
      <c r="G24" s="161">
        <v>1</v>
      </c>
      <c r="H24" s="161">
        <v>1</v>
      </c>
      <c r="I24" s="161">
        <v>1</v>
      </c>
      <c r="J24" s="161">
        <v>1</v>
      </c>
      <c r="K24" s="161">
        <v>1</v>
      </c>
      <c r="L24" s="161">
        <v>1</v>
      </c>
      <c r="M24" s="161">
        <v>1</v>
      </c>
      <c r="N24" s="161">
        <v>1</v>
      </c>
      <c r="O24" s="161">
        <v>1</v>
      </c>
      <c r="P24" s="161">
        <v>1</v>
      </c>
    </row>
    <row r="25" spans="1:16" x14ac:dyDescent="0.2">
      <c r="A25" s="365" t="s">
        <v>1199</v>
      </c>
      <c r="E25" s="161">
        <v>1</v>
      </c>
      <c r="F25" s="161">
        <v>1</v>
      </c>
      <c r="G25" s="161">
        <v>1</v>
      </c>
      <c r="H25" s="161">
        <v>1</v>
      </c>
      <c r="I25" s="161">
        <v>1</v>
      </c>
      <c r="J25" s="161">
        <v>1</v>
      </c>
      <c r="K25" s="161">
        <v>1</v>
      </c>
      <c r="L25" s="161">
        <v>1</v>
      </c>
      <c r="M25" s="161">
        <v>1</v>
      </c>
      <c r="N25" s="161">
        <v>1</v>
      </c>
      <c r="O25" s="161">
        <v>1</v>
      </c>
      <c r="P25" s="161">
        <v>1</v>
      </c>
    </row>
    <row r="28" spans="1:16" ht="13.5" thickBot="1" x14ac:dyDescent="0.25">
      <c r="A28" s="484" t="s">
        <v>1200</v>
      </c>
    </row>
    <row r="29" spans="1:16" ht="13.5" thickBot="1" x14ac:dyDescent="0.25">
      <c r="A29" s="365"/>
      <c r="B29" s="219" t="s">
        <v>126</v>
      </c>
      <c r="C29" s="219" t="s">
        <v>127</v>
      </c>
      <c r="D29" s="219" t="s">
        <v>128</v>
      </c>
      <c r="E29" s="219" t="s">
        <v>129</v>
      </c>
      <c r="F29" s="219" t="s">
        <v>130</v>
      </c>
      <c r="G29" s="219" t="s">
        <v>131</v>
      </c>
      <c r="H29" s="219" t="s">
        <v>132</v>
      </c>
      <c r="I29" s="219" t="s">
        <v>133</v>
      </c>
      <c r="J29" s="219" t="s">
        <v>134</v>
      </c>
      <c r="K29" s="219" t="s">
        <v>135</v>
      </c>
      <c r="L29" s="219" t="s">
        <v>136</v>
      </c>
      <c r="M29" s="220" t="s">
        <v>137</v>
      </c>
    </row>
    <row r="30" spans="1:16" x14ac:dyDescent="0.2">
      <c r="A30" s="376" t="s">
        <v>1201</v>
      </c>
      <c r="B30" s="377">
        <f>+Assumptions!$Q$9*B31</f>
        <v>0</v>
      </c>
      <c r="C30" s="377">
        <f>+Assumptions!$Q$9*C31</f>
        <v>0</v>
      </c>
      <c r="D30" s="377">
        <f>+Assumptions!$Q$9*D31</f>
        <v>0</v>
      </c>
      <c r="E30" s="377">
        <f>+Assumptions!$Q$9*E31</f>
        <v>0</v>
      </c>
      <c r="F30" s="377">
        <f>+Assumptions!$Q$9*F31</f>
        <v>0</v>
      </c>
      <c r="G30" s="377">
        <f>+Assumptions!$Q$9*G31</f>
        <v>0</v>
      </c>
      <c r="H30" s="377">
        <f>+Assumptions!$Q$9*H31</f>
        <v>0</v>
      </c>
      <c r="I30" s="377">
        <f>+Assumptions!$Q$9*I31</f>
        <v>0</v>
      </c>
      <c r="J30" s="377">
        <f>+Assumptions!$Q$9*J31</f>
        <v>0</v>
      </c>
      <c r="K30" s="377">
        <f>+Assumptions!$Q$9*K31</f>
        <v>0</v>
      </c>
      <c r="L30" s="377">
        <f>+Assumptions!$Q$9*L31</f>
        <v>0</v>
      </c>
      <c r="M30" s="377">
        <f>+Assumptions!$Q$9*M31</f>
        <v>0</v>
      </c>
    </row>
    <row r="31" spans="1:16" x14ac:dyDescent="0.2">
      <c r="A31" s="376" t="s">
        <v>1202</v>
      </c>
      <c r="B31" s="377">
        <v>0</v>
      </c>
      <c r="C31" s="377">
        <v>0</v>
      </c>
      <c r="D31" s="377">
        <v>0.2</v>
      </c>
      <c r="E31" s="377">
        <v>0.25</v>
      </c>
      <c r="F31" s="377">
        <v>0.5</v>
      </c>
      <c r="G31" s="377">
        <v>0.75</v>
      </c>
      <c r="H31" s="377">
        <v>1</v>
      </c>
      <c r="I31" s="377">
        <v>1</v>
      </c>
      <c r="J31" s="377">
        <v>1</v>
      </c>
      <c r="K31" s="377">
        <v>1</v>
      </c>
      <c r="L31" s="377">
        <v>1</v>
      </c>
      <c r="M31" s="377">
        <v>1</v>
      </c>
    </row>
    <row r="32" spans="1:16" x14ac:dyDescent="0.2">
      <c r="A32" s="365"/>
      <c r="G32" s="377"/>
    </row>
    <row r="37" spans="1:12" ht="13.5" thickBot="1" x14ac:dyDescent="0.25">
      <c r="A37" s="484" t="s">
        <v>1203</v>
      </c>
    </row>
    <row r="38" spans="1:12" ht="32.25" customHeight="1" x14ac:dyDescent="0.2">
      <c r="A38" s="485" t="s">
        <v>1204</v>
      </c>
      <c r="B38" s="984" t="s">
        <v>1205</v>
      </c>
      <c r="C38" s="984"/>
      <c r="D38" s="985"/>
      <c r="E38" s="980" t="s">
        <v>1206</v>
      </c>
      <c r="F38" s="981"/>
      <c r="G38" s="376"/>
      <c r="H38" s="376"/>
      <c r="L38" s="377"/>
    </row>
    <row r="39" spans="1:12" x14ac:dyDescent="0.2">
      <c r="A39" s="486" t="s">
        <v>1207</v>
      </c>
      <c r="B39" s="976">
        <v>0.62451619052081087</v>
      </c>
      <c r="C39" s="976" t="s">
        <v>222</v>
      </c>
      <c r="D39" s="977" t="s">
        <v>222</v>
      </c>
      <c r="E39" s="982">
        <f>1+(B39*Assumptions!Q12)</f>
        <v>1</v>
      </c>
      <c r="F39" s="983"/>
    </row>
    <row r="40" spans="1:12" x14ac:dyDescent="0.2">
      <c r="A40" s="486" t="s">
        <v>1208</v>
      </c>
      <c r="B40" s="976">
        <v>0.34429661152911484</v>
      </c>
      <c r="C40" s="976" t="s">
        <v>223</v>
      </c>
      <c r="D40" s="977" t="s">
        <v>223</v>
      </c>
      <c r="E40" s="982">
        <f>1-(B40*Assumptions!Q12)</f>
        <v>1</v>
      </c>
      <c r="F40" s="983"/>
    </row>
    <row r="41" spans="1:12" x14ac:dyDescent="0.2">
      <c r="A41" s="486" t="s">
        <v>1209</v>
      </c>
      <c r="B41" s="976">
        <v>3.1187197950074297E-2</v>
      </c>
      <c r="C41" s="976" t="s">
        <v>224</v>
      </c>
      <c r="D41" s="977" t="s">
        <v>224</v>
      </c>
      <c r="E41" s="982">
        <f>1</f>
        <v>1</v>
      </c>
      <c r="F41" s="983"/>
    </row>
    <row r="42" spans="1:12" ht="13.5" thickBot="1" x14ac:dyDescent="0.25">
      <c r="A42" s="487" t="s">
        <v>1210</v>
      </c>
      <c r="B42" s="978">
        <v>1</v>
      </c>
      <c r="C42" s="978">
        <v>1</v>
      </c>
      <c r="D42" s="979">
        <v>1</v>
      </c>
      <c r="E42" s="982">
        <f>1</f>
        <v>1</v>
      </c>
      <c r="F42" s="983"/>
    </row>
    <row r="44" spans="1:12" x14ac:dyDescent="0.2">
      <c r="A44" s="484" t="s">
        <v>1211</v>
      </c>
    </row>
  </sheetData>
  <mergeCells count="35">
    <mergeCell ref="A2:I2"/>
    <mergeCell ref="A1:O1"/>
    <mergeCell ref="M4:P4"/>
    <mergeCell ref="M5:P5"/>
    <mergeCell ref="M6:P6"/>
    <mergeCell ref="A5:G5"/>
    <mergeCell ref="A6:G6"/>
    <mergeCell ref="A4:G4"/>
    <mergeCell ref="H4:L4"/>
    <mergeCell ref="H5:L5"/>
    <mergeCell ref="H6:L6"/>
    <mergeCell ref="A13:G13"/>
    <mergeCell ref="M12:P12"/>
    <mergeCell ref="H8:L10"/>
    <mergeCell ref="M11:P11"/>
    <mergeCell ref="A7:G7"/>
    <mergeCell ref="M9:P10"/>
    <mergeCell ref="A8:G12"/>
    <mergeCell ref="H13:L13"/>
    <mergeCell ref="M13:P13"/>
    <mergeCell ref="M7:P7"/>
    <mergeCell ref="M8:P8"/>
    <mergeCell ref="H12:L12"/>
    <mergeCell ref="H7:L7"/>
    <mergeCell ref="H11:L11"/>
    <mergeCell ref="B39:D39"/>
    <mergeCell ref="B40:D40"/>
    <mergeCell ref="B41:D41"/>
    <mergeCell ref="B42:D42"/>
    <mergeCell ref="E38:F38"/>
    <mergeCell ref="E39:F39"/>
    <mergeCell ref="E40:F40"/>
    <mergeCell ref="E41:F41"/>
    <mergeCell ref="E42:F42"/>
    <mergeCell ref="B38:D38"/>
  </mergeCells>
  <phoneticPr fontId="4" type="noConversion"/>
  <conditionalFormatting sqref="A2">
    <cfRule type="cellIs" dxfId="13" priority="1" stopIfTrue="1" operator="equal">
      <formula>0</formula>
    </cfRule>
    <cfRule type="cellIs" dxfId="12" priority="2" stopIfTrue="1" operator="notEqual">
      <formula>0</formula>
    </cfRule>
  </conditionalFormatting>
  <pageMargins left="0.78740157499999996" right="0.78740157499999996" top="0.984251969" bottom="0.984251969"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User's Guide</vt:lpstr>
      <vt:lpstr>Project Description</vt:lpstr>
      <vt:lpstr>ERR &amp; Sensitivity Analysis</vt:lpstr>
      <vt:lpstr>Cost Benefit Summary</vt:lpstr>
      <vt:lpstr>ERR</vt:lpstr>
      <vt:lpstr>ooc2 DFP</vt:lpstr>
      <vt:lpstr>july 2013 PPA monthly report</vt:lpstr>
      <vt:lpstr>Summary</vt:lpstr>
      <vt:lpstr>Assumptions</vt:lpstr>
      <vt:lpstr>Value Chain</vt:lpstr>
      <vt:lpstr>Boat Revenues</vt:lpstr>
      <vt:lpstr>Boat Costs</vt:lpstr>
      <vt:lpstr>Equipment Operational Costs</vt:lpstr>
      <vt:lpstr>Investment Breakdown</vt:lpstr>
      <vt:lpstr>Statistics of Interest</vt:lpstr>
    </vt:vector>
  </TitlesOfParts>
  <Company>University of Wisconsin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Morocco I: Port Facilities</dc:title>
  <dc:creator>Millennium Challenge Corporation</dc:creator>
  <dc:description>Created on 08/24/07 by renaming "Port Infrastructure Model 3June Garber.xls"</dc:description>
  <cp:lastModifiedBy>mcc</cp:lastModifiedBy>
  <cp:lastPrinted>2014-01-31T18:15:46Z</cp:lastPrinted>
  <dcterms:created xsi:type="dcterms:W3CDTF">2007-04-15T17:15:08Z</dcterms:created>
  <dcterms:modified xsi:type="dcterms:W3CDTF">2014-10-16T18:39:39Z</dcterms:modified>
</cp:coreProperties>
</file>