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7320" tabRatio="646" activeTab="1"/>
  </bookViews>
  <sheets>
    <sheet name="User's Guide" sheetId="1" r:id="rId1"/>
    <sheet name="Project Description" sheetId="2" r:id="rId2"/>
    <sheet name="ERR &amp; Sensitivity Analysis" sheetId="3" r:id="rId3"/>
    <sheet name="ERR Summary" sheetId="4" r:id="rId4"/>
    <sheet name="Benefit-Graduate Income" sheetId="5" r:id="rId5"/>
    <sheet name="Cost" sheetId="6" r:id="rId6"/>
    <sheet name="Employment" sheetId="7" r:id="rId7"/>
    <sheet name="Salaries" sheetId="8" r:id="rId8"/>
    <sheet name="Wage Increment" sheetId="9" r:id="rId9"/>
    <sheet name="Additional Wage Estimates" sheetId="10" r:id="rId10"/>
    <sheet name="Graduates" sheetId="11" r:id="rId11"/>
    <sheet name="Govt Expenditure" sheetId="12" r:id="rId12"/>
    <sheet name="Notes" sheetId="13" r:id="rId13"/>
  </sheets>
  <externalReferences>
    <externalReference r:id="rId16"/>
  </externalReferences>
  <definedNames>
    <definedName name="Class1_wo_expt">#REF!</definedName>
    <definedName name="Class2_wo_expt">#REF!</definedName>
    <definedName name="Class3_wo_expt">#REF!</definedName>
    <definedName name="death_rate_stage_III_T">'[1]Diabetes'!$C$26</definedName>
    <definedName name="death_rate_stage_III_UT">'[1]Diabetes'!$C$25</definedName>
    <definedName name="death_rate_stage_IV_T">'[1]Hypertension'!$C$28</definedName>
    <definedName name="death_rate_stage_IV_UT">'[1]Hypertension'!$C$27</definedName>
    <definedName name="effective_year">'Benefit-Graduate Income'!$J$103</definedName>
    <definedName name="exrate">'Benefit-Graduate Income'!$J$100</definedName>
    <definedName name="goalyear_wop">'Benefit-Graduate Income'!#REF!</definedName>
    <definedName name="goalyear_wp">'Benefit-Graduate Income'!#REF!</definedName>
    <definedName name="grad_goal_mcc">'Benefit-Graduate Income'!#REF!</definedName>
    <definedName name="grad_goal_nonmcc">'Benefit-Graduate Income'!#REF!</definedName>
    <definedName name="graduates_mcc">'Benefit-Graduate Income'!$J$108</definedName>
    <definedName name="graduates_nonmcc">'Benefit-Graduate Income'!$J$109</definedName>
    <definedName name="I_to_II_T_W">'[1]Hypertension'!$J$82</definedName>
    <definedName name="I_to_II_T_WO">'[1]Hypertension'!$J$32</definedName>
    <definedName name="I_to_II_UT">'[1]Hypertension'!$E$32</definedName>
    <definedName name="II_t0_III_T_WO">'[1]Hypertension'!$J$33</definedName>
    <definedName name="II_t0_III_UT">'[1]Hypertension'!$E$33</definedName>
    <definedName name="II_to_III_T_W">'[1]Hypertension'!$J$83</definedName>
    <definedName name="II_to_III_UT">'[1]Diabetes'!$E$31</definedName>
    <definedName name="III_to_IV_T_W">'[1]Hypertension'!$J$84</definedName>
    <definedName name="III_to_IV_T_WO">'[1]Hypertension'!$J$34</definedName>
    <definedName name="III_to_IV_UT">'[1]Hypertension'!$E$34</definedName>
    <definedName name="income_p">'[1]Hypertension'!$E$6</definedName>
    <definedName name="pop_gr">'Benefit-Graduate Income'!$J$125</definedName>
    <definedName name="pop_growth">'[1]Hypertension'!$C$5</definedName>
    <definedName name="wage_dif_mcc">'Benefit-Graduate Income'!$J$137</definedName>
    <definedName name="wage_dif_nonmcc">'Benefit-Graduate Income'!$J$138</definedName>
  </definedNames>
  <calcPr fullCalcOnLoad="1"/>
</workbook>
</file>

<file path=xl/comments10.xml><?xml version="1.0" encoding="utf-8"?>
<comments xmlns="http://schemas.openxmlformats.org/spreadsheetml/2006/main">
  <authors>
    <author>Barry Stern</author>
    <author>plevapm</author>
    <author>MCC</author>
  </authors>
  <commentList>
    <comment ref="T3" authorId="0">
      <text>
        <r>
          <rPr>
            <sz val="8"/>
            <rFont val="Tahoma"/>
            <family val="2"/>
          </rPr>
          <t>After training wages would begin in 2nd year of project, or school year of 2008-09.</t>
        </r>
        <r>
          <rPr>
            <sz val="8"/>
            <rFont val="Tahoma"/>
            <family val="0"/>
          </rPr>
          <t xml:space="preserve">
</t>
        </r>
      </text>
    </comment>
    <comment ref="O4" authorId="1">
      <text>
        <r>
          <rPr>
            <b/>
            <sz val="8"/>
            <rFont val="Tahoma"/>
            <family val="0"/>
          </rPr>
          <t>plevapm:</t>
        </r>
        <r>
          <rPr>
            <sz val="8"/>
            <rFont val="Tahoma"/>
            <family val="0"/>
          </rPr>
          <t xml:space="preserve">
This information is already accounted for in students/site figure so is set to 1.0 for every case</t>
        </r>
      </text>
    </comment>
    <comment ref="T4" authorId="0">
      <text>
        <r>
          <rPr>
            <sz val="8"/>
            <rFont val="Tahoma"/>
            <family val="2"/>
          </rPr>
          <t>Total staff wages during first year of project, while staff is undergoing training.</t>
        </r>
        <r>
          <rPr>
            <sz val="8"/>
            <rFont val="Tahoma"/>
            <family val="0"/>
          </rPr>
          <t xml:space="preserve">
</t>
        </r>
      </text>
    </comment>
    <comment ref="F5" authorId="2">
      <text>
        <r>
          <rPr>
            <b/>
            <sz val="8"/>
            <rFont val="Tahoma"/>
            <family val="0"/>
          </rPr>
          <t>MCC:</t>
        </r>
        <r>
          <rPr>
            <sz val="8"/>
            <rFont val="Tahoma"/>
            <family val="0"/>
          </rPr>
          <t xml:space="preserve">
Please change only from ERR page</t>
        </r>
      </text>
    </comment>
    <comment ref="A6" authorId="0">
      <text>
        <r>
          <rPr>
            <b/>
            <sz val="8"/>
            <rFont val="Tahoma"/>
            <family val="0"/>
          </rPr>
          <t xml:space="preserve">Workforce Development Councils' </t>
        </r>
        <r>
          <rPr>
            <sz val="8"/>
            <rFont val="Tahoma"/>
            <family val="0"/>
          </rPr>
          <t xml:space="preserve">
costs described with demand-side components</t>
        </r>
      </text>
    </comment>
    <comment ref="H7" authorId="0">
      <text>
        <r>
          <rPr>
            <sz val="8"/>
            <rFont val="Tahoma"/>
            <family val="2"/>
          </rPr>
          <t>Assume students are in entry-level unskilled jobs or are unemployed.</t>
        </r>
        <r>
          <rPr>
            <sz val="8"/>
            <rFont val="Tahoma"/>
            <family val="0"/>
          </rPr>
          <t xml:space="preserve">
</t>
        </r>
      </text>
    </comment>
    <comment ref="J7" authorId="0">
      <text>
        <r>
          <rPr>
            <sz val="8"/>
            <rFont val="Tahoma"/>
            <family val="2"/>
          </rPr>
          <t>Grads will make 20% more as they will have basic English, math, computer, and employability skills.  Half are likely to go on to further education, such as vocational school, the Core Technologies Program in the same Workforce Development Center, or the university.  CRP helps ensure they will benefit from postsecondary education, or successfully complete secondary if they are not yet high school graduates.</t>
        </r>
        <r>
          <rPr>
            <b/>
            <sz val="8"/>
            <rFont val="Tahoma"/>
            <family val="0"/>
          </rPr>
          <t xml:space="preserve">
</t>
        </r>
        <r>
          <rPr>
            <sz val="8"/>
            <rFont val="Tahoma"/>
            <family val="0"/>
          </rPr>
          <t xml:space="preserve">
</t>
        </r>
      </text>
    </comment>
    <comment ref="L7" authorId="0">
      <text>
        <r>
          <rPr>
            <sz val="8"/>
            <rFont val="Tahoma"/>
            <family val="0"/>
          </rPr>
          <t xml:space="preserve">Dropouts/leavers will earn 10% more
</t>
        </r>
      </text>
    </comment>
    <comment ref="R7" authorId="0">
      <text>
        <r>
          <rPr>
            <sz val="8"/>
            <rFont val="Tahoma"/>
            <family val="2"/>
          </rPr>
          <t>Includes 3 teachers, a job developer/student recruiter, and 2 teaching assistants.</t>
        </r>
        <r>
          <rPr>
            <sz val="8"/>
            <rFont val="Tahoma"/>
            <family val="0"/>
          </rPr>
          <t xml:space="preserve">
</t>
        </r>
      </text>
    </comment>
    <comment ref="U7" authorId="0">
      <text>
        <r>
          <rPr>
            <sz val="8"/>
            <rFont val="Tahoma"/>
            <family val="2"/>
          </rPr>
          <t>Assumes 30% wage gain in 2nd year after receiving training.</t>
        </r>
        <r>
          <rPr>
            <sz val="8"/>
            <rFont val="Tahoma"/>
            <family val="0"/>
          </rPr>
          <t xml:space="preserve">
</t>
        </r>
      </text>
    </comment>
    <comment ref="H8" authorId="0">
      <text>
        <r>
          <rPr>
            <sz val="8"/>
            <rFont val="Tahoma"/>
            <family val="2"/>
          </rPr>
          <t>Assume students are in entry-level unskilled jobs or are unemployed.</t>
        </r>
        <r>
          <rPr>
            <sz val="8"/>
            <rFont val="Tahoma"/>
            <family val="0"/>
          </rPr>
          <t xml:space="preserve">
</t>
        </r>
      </text>
    </comment>
    <comment ref="J8" authorId="0">
      <text>
        <r>
          <rPr>
            <sz val="8"/>
            <rFont val="Tahoma"/>
            <family val="2"/>
          </rPr>
          <t xml:space="preserve">Grads of semester-long Core Technologies Program will earn 50% more, owing to their technical skills
</t>
        </r>
      </text>
    </comment>
    <comment ref="L8" authorId="0">
      <text>
        <r>
          <rPr>
            <sz val="8"/>
            <rFont val="Tahoma"/>
            <family val="0"/>
          </rPr>
          <t xml:space="preserve">Dropouts/leavers will earn 10% more
</t>
        </r>
      </text>
    </comment>
    <comment ref="R8" authorId="0">
      <text>
        <r>
          <rPr>
            <sz val="8"/>
            <rFont val="Tahoma"/>
            <family val="2"/>
          </rPr>
          <t>2 instructors for mechanics-hydraulics-pneumatics module; two for the electricity-electronics-computers module, and 4 teaching assistants.</t>
        </r>
        <r>
          <rPr>
            <sz val="8"/>
            <rFont val="Tahoma"/>
            <family val="0"/>
          </rPr>
          <t xml:space="preserve">
</t>
        </r>
      </text>
    </comment>
    <comment ref="U8" authorId="0">
      <text>
        <r>
          <rPr>
            <b/>
            <sz val="8"/>
            <rFont val="Tahoma"/>
            <family val="0"/>
          </rPr>
          <t>Assumes 30% wage gain in 2nd year after receiving training.</t>
        </r>
        <r>
          <rPr>
            <sz val="8"/>
            <rFont val="Tahoma"/>
            <family val="0"/>
          </rPr>
          <t xml:space="preserve">
</t>
        </r>
      </text>
    </comment>
    <comment ref="H11" authorId="0">
      <text>
        <r>
          <rPr>
            <sz val="8"/>
            <rFont val="Tahoma"/>
            <family val="2"/>
          </rPr>
          <t>Assume 70% have no work experience in field and 30% have experience but not with new equipment and techniques.</t>
        </r>
        <r>
          <rPr>
            <sz val="8"/>
            <rFont val="Tahoma"/>
            <family val="0"/>
          </rPr>
          <t xml:space="preserve">
</t>
        </r>
      </text>
    </comment>
    <comment ref="J11" authorId="0">
      <text>
        <r>
          <rPr>
            <sz val="8"/>
            <rFont val="Tahoma"/>
            <family val="2"/>
          </rPr>
          <t>Aug. 2006 voluntary survey of 130 employers primarily in Ulaanbaatar. Not a scientific sample.  Comes to 73% increase, but realistic given the demand for individuals trained on modern equipment.</t>
        </r>
        <r>
          <rPr>
            <sz val="8"/>
            <rFont val="Tahoma"/>
            <family val="0"/>
          </rPr>
          <t xml:space="preserve">
</t>
        </r>
      </text>
    </comment>
    <comment ref="L11" authorId="0">
      <text>
        <r>
          <rPr>
            <sz val="8"/>
            <rFont val="Tahoma"/>
            <family val="0"/>
          </rPr>
          <t xml:space="preserve">Dropouts/leavers will earn 10% more
</t>
        </r>
      </text>
    </comment>
    <comment ref="R11" authorId="0">
      <text>
        <r>
          <rPr>
            <sz val="8"/>
            <rFont val="Tahoma"/>
            <family val="2"/>
          </rPr>
          <t xml:space="preserve">Includes 1 master teachers earning $2200/yr and 1 teaching assistant earning $1200/yr.
</t>
        </r>
        <r>
          <rPr>
            <sz val="8"/>
            <rFont val="Tahoma"/>
            <family val="0"/>
          </rPr>
          <t xml:space="preserve">
</t>
        </r>
      </text>
    </comment>
    <comment ref="T11" authorId="0">
      <text>
        <r>
          <rPr>
            <sz val="8"/>
            <rFont val="Tahoma"/>
            <family val="2"/>
          </rPr>
          <t xml:space="preserve">Includes 2 master teachers earning $2200/yr + 2 teaching assistants earning $1200/yr.
</t>
        </r>
        <r>
          <rPr>
            <sz val="8"/>
            <rFont val="Tahoma"/>
            <family val="0"/>
          </rPr>
          <t xml:space="preserve">
</t>
        </r>
      </text>
    </comment>
    <comment ref="U11" authorId="0">
      <text>
        <r>
          <rPr>
            <sz val="8"/>
            <rFont val="Tahoma"/>
            <family val="2"/>
          </rPr>
          <t>Assumes 30% wage increase of master teachers and teaching assistants taking effect in 2nd year of project.</t>
        </r>
        <r>
          <rPr>
            <sz val="8"/>
            <rFont val="Tahoma"/>
            <family val="0"/>
          </rPr>
          <t xml:space="preserve">
</t>
        </r>
      </text>
    </comment>
    <comment ref="H12" authorId="0">
      <text>
        <r>
          <rPr>
            <sz val="8"/>
            <rFont val="Tahoma"/>
            <family val="2"/>
          </rPr>
          <t>Assume 70% have no work experience in field and 30% have experience but not with new equipment and techniques.</t>
        </r>
        <r>
          <rPr>
            <sz val="8"/>
            <rFont val="Tahoma"/>
            <family val="0"/>
          </rPr>
          <t xml:space="preserve">
</t>
        </r>
      </text>
    </comment>
    <comment ref="J12" authorId="0">
      <text>
        <r>
          <rPr>
            <sz val="8"/>
            <rFont val="Tahoma"/>
            <family val="2"/>
          </rPr>
          <t>Aug. 2006 voluntary survey of 130 employers primarily in Ulaanbaatar. Not a scientific sample.  Comes to 60% increase, but realistic given the demand for individuals trained on modern equipment</t>
        </r>
        <r>
          <rPr>
            <sz val="8"/>
            <rFont val="Tahoma"/>
            <family val="0"/>
          </rPr>
          <t xml:space="preserve">
</t>
        </r>
      </text>
    </comment>
    <comment ref="L12" authorId="0">
      <text>
        <r>
          <rPr>
            <sz val="8"/>
            <rFont val="Tahoma"/>
            <family val="0"/>
          </rPr>
          <t xml:space="preserve">Dropouts/leavers will earn 10% more
</t>
        </r>
      </text>
    </comment>
    <comment ref="R12" authorId="0">
      <text>
        <r>
          <rPr>
            <sz val="8"/>
            <rFont val="Tahoma"/>
            <family val="2"/>
          </rPr>
          <t xml:space="preserve">Includes 1 master teachers earning $2200/yr and 1 teaching assistant earning $1200/yr.
</t>
        </r>
        <r>
          <rPr>
            <sz val="8"/>
            <rFont val="Tahoma"/>
            <family val="0"/>
          </rPr>
          <t xml:space="preserve">
</t>
        </r>
      </text>
    </comment>
    <comment ref="T12" authorId="0">
      <text>
        <r>
          <rPr>
            <sz val="8"/>
            <rFont val="Tahoma"/>
            <family val="2"/>
          </rPr>
          <t xml:space="preserve">Includes 2 master teachers earning $2200/yr + 2 teaching assistants earning $1200/yr.
</t>
        </r>
        <r>
          <rPr>
            <sz val="8"/>
            <rFont val="Tahoma"/>
            <family val="0"/>
          </rPr>
          <t xml:space="preserve">
</t>
        </r>
      </text>
    </comment>
    <comment ref="U12" authorId="0">
      <text>
        <r>
          <rPr>
            <sz val="8"/>
            <rFont val="Tahoma"/>
            <family val="2"/>
          </rPr>
          <t>Assumes 30% wage increase of master teachers and teaching assistants taking effect in 2nd year of project.</t>
        </r>
        <r>
          <rPr>
            <sz val="8"/>
            <rFont val="Tahoma"/>
            <family val="0"/>
          </rPr>
          <t xml:space="preserve">
</t>
        </r>
      </text>
    </comment>
    <comment ref="H13" authorId="0">
      <text>
        <r>
          <rPr>
            <sz val="8"/>
            <rFont val="Tahoma"/>
            <family val="2"/>
          </rPr>
          <t>Assume 70% have no work experience in field and 30% have experience but not with new equipment and techniques.</t>
        </r>
        <r>
          <rPr>
            <sz val="8"/>
            <rFont val="Tahoma"/>
            <family val="0"/>
          </rPr>
          <t xml:space="preserve">
</t>
        </r>
      </text>
    </comment>
    <comment ref="J13" authorId="0">
      <text>
        <r>
          <rPr>
            <sz val="8"/>
            <rFont val="Tahoma"/>
            <family val="2"/>
          </rPr>
          <t>Aug. 2006 voluntary survey of 130 employers primarily in Ulaanbaatar. Not a scientific sample.  Comes to 87% increase, but realistic given the demand for individuals trained on modern equipment</t>
        </r>
        <r>
          <rPr>
            <sz val="8"/>
            <rFont val="Tahoma"/>
            <family val="0"/>
          </rPr>
          <t xml:space="preserve">
</t>
        </r>
      </text>
    </comment>
    <comment ref="L13" authorId="0">
      <text>
        <r>
          <rPr>
            <sz val="8"/>
            <rFont val="Tahoma"/>
            <family val="0"/>
          </rPr>
          <t xml:space="preserve">Dropouts/leavers will earn 10% more
</t>
        </r>
      </text>
    </comment>
    <comment ref="R13" authorId="0">
      <text>
        <r>
          <rPr>
            <sz val="8"/>
            <rFont val="Tahoma"/>
            <family val="2"/>
          </rPr>
          <t xml:space="preserve">Includes 1 master teachers earning $2200/yr and 1 teaching assistant earning $1200/yr.
</t>
        </r>
        <r>
          <rPr>
            <sz val="8"/>
            <rFont val="Tahoma"/>
            <family val="0"/>
          </rPr>
          <t xml:space="preserve">
</t>
        </r>
      </text>
    </comment>
    <comment ref="T13" authorId="0">
      <text>
        <r>
          <rPr>
            <sz val="8"/>
            <rFont val="Tahoma"/>
            <family val="2"/>
          </rPr>
          <t xml:space="preserve">Includes 2 master teachers earning $2200/yr + 2 teaching assistants earning $1200/yr.
</t>
        </r>
        <r>
          <rPr>
            <sz val="8"/>
            <rFont val="Tahoma"/>
            <family val="0"/>
          </rPr>
          <t xml:space="preserve">
</t>
        </r>
      </text>
    </comment>
    <comment ref="U13" authorId="0">
      <text>
        <r>
          <rPr>
            <sz val="8"/>
            <rFont val="Tahoma"/>
            <family val="2"/>
          </rPr>
          <t>Assumes 30% wage increase of master teachers and teaching assistants taking effect in 2nd year of project.</t>
        </r>
        <r>
          <rPr>
            <sz val="8"/>
            <rFont val="Tahoma"/>
            <family val="0"/>
          </rPr>
          <t xml:space="preserve">
</t>
        </r>
      </text>
    </comment>
    <comment ref="H14" authorId="0">
      <text>
        <r>
          <rPr>
            <sz val="8"/>
            <rFont val="Tahoma"/>
            <family val="2"/>
          </rPr>
          <t>Assume 70% have no work experience in field and 30% have experience but not with new equipment and techniques.</t>
        </r>
        <r>
          <rPr>
            <sz val="8"/>
            <rFont val="Tahoma"/>
            <family val="0"/>
          </rPr>
          <t xml:space="preserve">
</t>
        </r>
      </text>
    </comment>
    <comment ref="L14" authorId="0">
      <text>
        <r>
          <rPr>
            <sz val="8"/>
            <rFont val="Tahoma"/>
            <family val="0"/>
          </rPr>
          <t xml:space="preserve">Dropouts/leavers will earn 10% more
</t>
        </r>
      </text>
    </comment>
    <comment ref="R14" authorId="0">
      <text>
        <r>
          <rPr>
            <sz val="8"/>
            <rFont val="Tahoma"/>
            <family val="2"/>
          </rPr>
          <t xml:space="preserve">Includes 1 master teachers earning $2200/yr and 1 teaching assistant earning $1200/yr.
</t>
        </r>
        <r>
          <rPr>
            <sz val="8"/>
            <rFont val="Tahoma"/>
            <family val="0"/>
          </rPr>
          <t xml:space="preserve">
</t>
        </r>
      </text>
    </comment>
    <comment ref="T14" authorId="0">
      <text>
        <r>
          <rPr>
            <sz val="8"/>
            <rFont val="Tahoma"/>
            <family val="2"/>
          </rPr>
          <t xml:space="preserve">Includes 2 master teachers earning $2200/yr + 2 teaching assistants earning $1200/yr.
</t>
        </r>
        <r>
          <rPr>
            <sz val="8"/>
            <rFont val="Tahoma"/>
            <family val="0"/>
          </rPr>
          <t xml:space="preserve">
</t>
        </r>
      </text>
    </comment>
    <comment ref="U14" authorId="0">
      <text>
        <r>
          <rPr>
            <sz val="8"/>
            <rFont val="Tahoma"/>
            <family val="2"/>
          </rPr>
          <t>Assumes 30% wage increase of master teachers and teaching assistants taking effect in 2nd year of project.</t>
        </r>
        <r>
          <rPr>
            <sz val="8"/>
            <rFont val="Tahoma"/>
            <family val="0"/>
          </rPr>
          <t xml:space="preserve">
</t>
        </r>
      </text>
    </comment>
    <comment ref="H15" authorId="0">
      <text>
        <r>
          <rPr>
            <sz val="8"/>
            <rFont val="Tahoma"/>
            <family val="2"/>
          </rPr>
          <t>Assume 70% have no work experience in field and 30% have experience but not with new equipment and techniques.</t>
        </r>
        <r>
          <rPr>
            <sz val="8"/>
            <rFont val="Tahoma"/>
            <family val="0"/>
          </rPr>
          <t xml:space="preserve">
</t>
        </r>
      </text>
    </comment>
    <comment ref="J15" authorId="0">
      <text>
        <r>
          <rPr>
            <sz val="8"/>
            <rFont val="Tahoma"/>
            <family val="2"/>
          </rPr>
          <t>Aug. 2006 voluntary survey of 130 employers primarily in Ulaanbaatar. Not a scientific sample.  Survey showed some 6 plumbers earned only 100,000 Ts per month ( $87).  Post-training salary increased somewhat here to account for higher level training through VTE Project than what most plumbers receive.</t>
        </r>
      </text>
    </comment>
    <comment ref="L15" authorId="0">
      <text>
        <r>
          <rPr>
            <sz val="8"/>
            <rFont val="Tahoma"/>
            <family val="0"/>
          </rPr>
          <t xml:space="preserve">Dropouts/leavers will earn 10% more
</t>
        </r>
      </text>
    </comment>
    <comment ref="R15" authorId="0">
      <text>
        <r>
          <rPr>
            <sz val="8"/>
            <rFont val="Tahoma"/>
            <family val="2"/>
          </rPr>
          <t xml:space="preserve">Includes 1 master teachers earning $2200/yr and 1 teaching assistant earning $1200/yr.
</t>
        </r>
        <r>
          <rPr>
            <sz val="8"/>
            <rFont val="Tahoma"/>
            <family val="0"/>
          </rPr>
          <t xml:space="preserve">
</t>
        </r>
      </text>
    </comment>
    <comment ref="T15" authorId="0">
      <text>
        <r>
          <rPr>
            <sz val="8"/>
            <rFont val="Tahoma"/>
            <family val="2"/>
          </rPr>
          <t xml:space="preserve">Includes 2 master teachers earning $2200/yr + 2 teaching assistants earning $1200/yr.
</t>
        </r>
        <r>
          <rPr>
            <sz val="8"/>
            <rFont val="Tahoma"/>
            <family val="0"/>
          </rPr>
          <t xml:space="preserve">
</t>
        </r>
      </text>
    </comment>
    <comment ref="U15" authorId="0">
      <text>
        <r>
          <rPr>
            <sz val="8"/>
            <rFont val="Tahoma"/>
            <family val="2"/>
          </rPr>
          <t>Assumes 30% wage increase of master teachers and teaching assistants taking effect in 2nd year of project.</t>
        </r>
        <r>
          <rPr>
            <sz val="8"/>
            <rFont val="Tahoma"/>
            <family val="0"/>
          </rPr>
          <t xml:space="preserve">
</t>
        </r>
      </text>
    </comment>
    <comment ref="H18" authorId="2">
      <text>
        <r>
          <rPr>
            <sz val="8"/>
            <rFont val="Tahoma"/>
            <family val="0"/>
          </rPr>
          <t>Conservative assumption made by MCC</t>
        </r>
      </text>
    </comment>
    <comment ref="J18" authorId="0">
      <text>
        <r>
          <rPr>
            <sz val="8"/>
            <rFont val="Tahoma"/>
            <family val="2"/>
          </rPr>
          <t>Assume 30% increase in wages.</t>
        </r>
        <r>
          <rPr>
            <sz val="8"/>
            <rFont val="Tahoma"/>
            <family val="0"/>
          </rPr>
          <t xml:space="preserve">
</t>
        </r>
      </text>
    </comment>
    <comment ref="L18" authorId="0">
      <text>
        <r>
          <rPr>
            <sz val="8"/>
            <rFont val="Tahoma"/>
            <family val="0"/>
          </rPr>
          <t xml:space="preserve">Dropouts/leavers will earn 10% more
</t>
        </r>
      </text>
    </comment>
    <comment ref="R18" authorId="0">
      <text>
        <r>
          <rPr>
            <sz val="8"/>
            <rFont val="Tahoma"/>
            <family val="2"/>
          </rPr>
          <t>15-25 extension agents would receive 2-4 week trainings 2-3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18" authorId="0">
      <text>
        <r>
          <rPr>
            <sz val="8"/>
            <rFont val="Tahoma"/>
            <family val="2"/>
          </rPr>
          <t>Assumes average wage of agricultural specialist is $2000 per year.  Total wage of all 50 would come to $100,000.</t>
        </r>
        <r>
          <rPr>
            <sz val="8"/>
            <rFont val="Tahoma"/>
            <family val="0"/>
          </rPr>
          <t xml:space="preserve">
</t>
        </r>
      </text>
    </comment>
    <comment ref="U18" authorId="0">
      <text>
        <r>
          <rPr>
            <sz val="8"/>
            <rFont val="Tahoma"/>
            <family val="0"/>
          </rPr>
          <t xml:space="preserve">Assumes 20% wage gain in first year after attending these trainings.
</t>
        </r>
      </text>
    </comment>
    <comment ref="A19" authorId="2">
      <text>
        <r>
          <rPr>
            <b/>
            <sz val="8"/>
            <rFont val="Tahoma"/>
            <family val="0"/>
          </rPr>
          <t>MCC:</t>
        </r>
        <r>
          <rPr>
            <sz val="8"/>
            <rFont val="Tahoma"/>
            <family val="0"/>
          </rPr>
          <t xml:space="preserve">
Incremental wages do not enter calculation (left out because no operating costs associated with positions)</t>
        </r>
      </text>
    </comment>
    <comment ref="J19" authorId="0">
      <text>
        <r>
          <rPr>
            <sz val="8"/>
            <rFont val="Tahoma"/>
            <family val="2"/>
          </rPr>
          <t>Assume 30% increase in wages.</t>
        </r>
        <r>
          <rPr>
            <sz val="8"/>
            <rFont val="Tahoma"/>
            <family val="0"/>
          </rPr>
          <t xml:space="preserve">
</t>
        </r>
      </text>
    </comment>
    <comment ref="L19" authorId="0">
      <text>
        <r>
          <rPr>
            <sz val="8"/>
            <rFont val="Tahoma"/>
            <family val="0"/>
          </rPr>
          <t xml:space="preserve">Dropouts/leavers will earn 10% more
</t>
        </r>
      </text>
    </comment>
    <comment ref="R19" authorId="0">
      <text>
        <r>
          <rPr>
            <sz val="8"/>
            <rFont val="Tahoma"/>
            <family val="2"/>
          </rPr>
          <t>15-25 extension agents would receive 2-4 week trainings 2-3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19" authorId="0">
      <text>
        <r>
          <rPr>
            <sz val="8"/>
            <rFont val="Tahoma"/>
            <family val="2"/>
          </rPr>
          <t>Assumes average wage of agricultural specialist is $2000 per year.  Total wage of all 50 would come to $100,000.</t>
        </r>
        <r>
          <rPr>
            <sz val="8"/>
            <rFont val="Tahoma"/>
            <family val="0"/>
          </rPr>
          <t xml:space="preserve">
</t>
        </r>
      </text>
    </comment>
    <comment ref="U19" authorId="0">
      <text>
        <r>
          <rPr>
            <sz val="8"/>
            <rFont val="Tahoma"/>
            <family val="0"/>
          </rPr>
          <t xml:space="preserve">Assumes 20% wage gain in first year after attending these trainings.
</t>
        </r>
      </text>
    </comment>
    <comment ref="J20" authorId="0">
      <text>
        <r>
          <rPr>
            <sz val="8"/>
            <rFont val="Tahoma"/>
            <family val="2"/>
          </rPr>
          <t>Assume 30% increase in wages.</t>
        </r>
        <r>
          <rPr>
            <sz val="8"/>
            <rFont val="Tahoma"/>
            <family val="0"/>
          </rPr>
          <t xml:space="preserve">
</t>
        </r>
      </text>
    </comment>
    <comment ref="L20" authorId="0">
      <text>
        <r>
          <rPr>
            <sz val="8"/>
            <rFont val="Tahoma"/>
            <family val="0"/>
          </rPr>
          <t xml:space="preserve">Dropouts/leavers will earn 10% more
</t>
        </r>
      </text>
    </comment>
    <comment ref="R20" authorId="0">
      <text>
        <r>
          <rPr>
            <sz val="8"/>
            <rFont val="Tahoma"/>
            <family val="2"/>
          </rPr>
          <t>15-25 extension agents would receive 2-4 week trainings 4-5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20" authorId="0">
      <text>
        <r>
          <rPr>
            <sz val="8"/>
            <rFont val="Tahoma"/>
            <family val="2"/>
          </rPr>
          <t>Assumes average wage of agricultural specialist is $2000 per year.  Total wage of all 100 would come to $200,000.</t>
        </r>
        <r>
          <rPr>
            <sz val="8"/>
            <rFont val="Tahoma"/>
            <family val="0"/>
          </rPr>
          <t xml:space="preserve">
</t>
        </r>
      </text>
    </comment>
    <comment ref="U20" authorId="0">
      <text>
        <r>
          <rPr>
            <sz val="8"/>
            <rFont val="Tahoma"/>
            <family val="0"/>
          </rPr>
          <t xml:space="preserve">Assumes 20% wage gain in first year after attending these trainings.
</t>
        </r>
      </text>
    </comment>
    <comment ref="J21" authorId="0">
      <text>
        <r>
          <rPr>
            <sz val="8"/>
            <rFont val="Tahoma"/>
            <family val="2"/>
          </rPr>
          <t>Assume 30% increase in wages.</t>
        </r>
        <r>
          <rPr>
            <sz val="8"/>
            <rFont val="Tahoma"/>
            <family val="0"/>
          </rPr>
          <t xml:space="preserve">
</t>
        </r>
      </text>
    </comment>
    <comment ref="L21" authorId="0">
      <text>
        <r>
          <rPr>
            <sz val="8"/>
            <rFont val="Tahoma"/>
            <family val="0"/>
          </rPr>
          <t xml:space="preserve">Dropouts/leavers will earn 10% more
</t>
        </r>
      </text>
    </comment>
    <comment ref="R21" authorId="0">
      <text>
        <r>
          <rPr>
            <sz val="8"/>
            <rFont val="Tahoma"/>
            <family val="2"/>
          </rPr>
          <t>15-25 extension agents would receive 2-4 week trainings 2-3 times per year.  Following the trainings they would go to the field to work with herders and other agricultural workers to put their newly learned techniques into practice.</t>
        </r>
        <r>
          <rPr>
            <b/>
            <sz val="8"/>
            <rFont val="Tahoma"/>
            <family val="0"/>
          </rPr>
          <t xml:space="preserve"> </t>
        </r>
        <r>
          <rPr>
            <sz val="8"/>
            <rFont val="Tahoma"/>
            <family val="0"/>
          </rPr>
          <t xml:space="preserve">
</t>
        </r>
      </text>
    </comment>
    <comment ref="T21" authorId="0">
      <text>
        <r>
          <rPr>
            <sz val="8"/>
            <rFont val="Tahoma"/>
            <family val="2"/>
          </rPr>
          <t xml:space="preserve">Assumes average wage of agricultural specialist is $2000 per year.  </t>
        </r>
        <r>
          <rPr>
            <sz val="8"/>
            <rFont val="Tahoma"/>
            <family val="0"/>
          </rPr>
          <t xml:space="preserve">
</t>
        </r>
      </text>
    </comment>
    <comment ref="U21" authorId="0">
      <text>
        <r>
          <rPr>
            <sz val="8"/>
            <rFont val="Tahoma"/>
            <family val="0"/>
          </rPr>
          <t xml:space="preserve">Assumes 20% wage gain in first year after attending these trainings.
</t>
        </r>
      </text>
    </comment>
    <comment ref="H23" authorId="0">
      <text>
        <r>
          <rPr>
            <sz val="8"/>
            <rFont val="Tahoma"/>
            <family val="0"/>
          </rPr>
          <t>Assume 70% have no work experience in field and 30% have experience but not with new equipment and techniques.</t>
        </r>
      </text>
    </comment>
    <comment ref="J23" authorId="0">
      <text>
        <r>
          <rPr>
            <sz val="8"/>
            <rFont val="Tahoma"/>
            <family val="2"/>
          </rPr>
          <t>Assume 30% increase in wages.</t>
        </r>
        <r>
          <rPr>
            <sz val="8"/>
            <rFont val="Tahoma"/>
            <family val="0"/>
          </rPr>
          <t xml:space="preserve">
</t>
        </r>
      </text>
    </comment>
    <comment ref="L23" authorId="0">
      <text>
        <r>
          <rPr>
            <sz val="8"/>
            <rFont val="Tahoma"/>
            <family val="0"/>
          </rPr>
          <t xml:space="preserve">Dropouts/leavers will earn 10% more
</t>
        </r>
      </text>
    </comment>
    <comment ref="R23" authorId="0">
      <text>
        <r>
          <rPr>
            <b/>
            <sz val="8"/>
            <rFont val="Tahoma"/>
            <family val="0"/>
          </rPr>
          <t>Includes 1 master teacher and 1 teaching assistant.</t>
        </r>
        <r>
          <rPr>
            <sz val="8"/>
            <rFont val="Tahoma"/>
            <family val="0"/>
          </rPr>
          <t xml:space="preserve">
</t>
        </r>
      </text>
    </comment>
    <comment ref="T23" authorId="0">
      <text>
        <r>
          <rPr>
            <sz val="8"/>
            <rFont val="Tahoma"/>
            <family val="2"/>
          </rPr>
          <t>1 master teacher @ $2200/mo. + 1 teacher assistant @1200.</t>
        </r>
        <r>
          <rPr>
            <sz val="8"/>
            <rFont val="Tahoma"/>
            <family val="0"/>
          </rPr>
          <t xml:space="preserve">
</t>
        </r>
      </text>
    </comment>
    <comment ref="U23" authorId="0">
      <text>
        <r>
          <rPr>
            <sz val="8"/>
            <rFont val="Tahoma"/>
            <family val="0"/>
          </rPr>
          <t xml:space="preserve">Assumes 20% wage gain in first year after attending these trainings.
</t>
        </r>
      </text>
    </comment>
    <comment ref="H24" authorId="0">
      <text>
        <r>
          <rPr>
            <sz val="8"/>
            <rFont val="Tahoma"/>
            <family val="0"/>
          </rPr>
          <t>Assume 70% have no work experience in field and 30% have experience but not with new equipment and techniques.</t>
        </r>
      </text>
    </comment>
    <comment ref="J24" authorId="0">
      <text>
        <r>
          <rPr>
            <sz val="8"/>
            <rFont val="Tahoma"/>
            <family val="2"/>
          </rPr>
          <t>Assume 30% increase in wages.</t>
        </r>
        <r>
          <rPr>
            <sz val="8"/>
            <rFont val="Tahoma"/>
            <family val="0"/>
          </rPr>
          <t xml:space="preserve">
</t>
        </r>
      </text>
    </comment>
    <comment ref="L24" authorId="0">
      <text>
        <r>
          <rPr>
            <sz val="8"/>
            <rFont val="Tahoma"/>
            <family val="0"/>
          </rPr>
          <t xml:space="preserve">Dropouts/leavers will earn 10% more
</t>
        </r>
      </text>
    </comment>
    <comment ref="R24" authorId="0">
      <text>
        <r>
          <rPr>
            <b/>
            <sz val="8"/>
            <rFont val="Tahoma"/>
            <family val="0"/>
          </rPr>
          <t>Includes 1 master teacher and 1 teaching assistant.</t>
        </r>
        <r>
          <rPr>
            <sz val="8"/>
            <rFont val="Tahoma"/>
            <family val="0"/>
          </rPr>
          <t xml:space="preserve">
</t>
        </r>
      </text>
    </comment>
    <comment ref="U24" authorId="0">
      <text>
        <r>
          <rPr>
            <sz val="8"/>
            <rFont val="Tahoma"/>
            <family val="0"/>
          </rPr>
          <t xml:space="preserve">Assumes 20% wage gain in first year after attending these trainings.
</t>
        </r>
      </text>
    </comment>
    <comment ref="H26" authorId="0">
      <text>
        <r>
          <rPr>
            <sz val="8"/>
            <rFont val="Tahoma"/>
            <family val="0"/>
          </rPr>
          <t>Assume 70% have no work experience in field and 30% have experience but not with new equipment and techniques.</t>
        </r>
      </text>
    </comment>
    <comment ref="J26" authorId="0">
      <text>
        <r>
          <rPr>
            <sz val="8"/>
            <rFont val="Tahoma"/>
            <family val="2"/>
          </rPr>
          <t>Assume 30% increase in wages.</t>
        </r>
        <r>
          <rPr>
            <sz val="8"/>
            <rFont val="Tahoma"/>
            <family val="0"/>
          </rPr>
          <t xml:space="preserve">
</t>
        </r>
      </text>
    </comment>
    <comment ref="L26" authorId="0">
      <text>
        <r>
          <rPr>
            <sz val="8"/>
            <rFont val="Tahoma"/>
            <family val="0"/>
          </rPr>
          <t xml:space="preserve">Dropouts/leavers will earn 10% more
</t>
        </r>
      </text>
    </comment>
    <comment ref="R26" authorId="0">
      <text>
        <r>
          <rPr>
            <b/>
            <sz val="8"/>
            <rFont val="Tahoma"/>
            <family val="0"/>
          </rPr>
          <t>Includes 1 master teacher and 1 teaching assistant.</t>
        </r>
        <r>
          <rPr>
            <sz val="8"/>
            <rFont val="Tahoma"/>
            <family val="0"/>
          </rPr>
          <t xml:space="preserve">
</t>
        </r>
      </text>
    </comment>
    <comment ref="T26" authorId="0">
      <text>
        <r>
          <rPr>
            <sz val="8"/>
            <rFont val="Tahoma"/>
            <family val="2"/>
          </rPr>
          <t xml:space="preserve">Includes 2 master teachers earning $2200/yr + 2 teaching assistants earning $1200/yr.
</t>
        </r>
        <r>
          <rPr>
            <sz val="8"/>
            <rFont val="Tahoma"/>
            <family val="0"/>
          </rPr>
          <t xml:space="preserve">
</t>
        </r>
      </text>
    </comment>
    <comment ref="U26" authorId="0">
      <text>
        <r>
          <rPr>
            <sz val="8"/>
            <rFont val="Tahoma"/>
            <family val="0"/>
          </rPr>
          <t xml:space="preserve">Assumes 20% wage gain in first year after attending these trainings.
</t>
        </r>
      </text>
    </comment>
    <comment ref="B30" authorId="0">
      <text>
        <r>
          <rPr>
            <b/>
            <sz val="8"/>
            <rFont val="Tahoma"/>
            <family val="0"/>
          </rPr>
          <t>Barry Stern:</t>
        </r>
        <r>
          <rPr>
            <sz val="8"/>
            <rFont val="Tahoma"/>
            <family val="0"/>
          </rPr>
          <t xml:space="preserve">
program already accounted for in other industry</t>
        </r>
      </text>
    </comment>
    <comment ref="H32" authorId="0">
      <text>
        <r>
          <rPr>
            <sz val="8"/>
            <rFont val="Tahoma"/>
            <family val="2"/>
          </rPr>
          <t>Assume 70% have no work experience in field and 30% have experience but not with new equipment and techniques.</t>
        </r>
        <r>
          <rPr>
            <sz val="8"/>
            <rFont val="Tahoma"/>
            <family val="0"/>
          </rPr>
          <t xml:space="preserve">
</t>
        </r>
      </text>
    </comment>
    <comment ref="J32" authorId="0">
      <text>
        <r>
          <rPr>
            <sz val="8"/>
            <rFont val="Tahoma"/>
            <family val="2"/>
          </rPr>
          <t>Assume 30% increase in wages.</t>
        </r>
        <r>
          <rPr>
            <sz val="8"/>
            <rFont val="Tahoma"/>
            <family val="0"/>
          </rPr>
          <t xml:space="preserve">
</t>
        </r>
      </text>
    </comment>
    <comment ref="L32" authorId="0">
      <text>
        <r>
          <rPr>
            <sz val="8"/>
            <rFont val="Tahoma"/>
            <family val="0"/>
          </rPr>
          <t xml:space="preserve">Dropouts/leavers will earn 10% more
</t>
        </r>
      </text>
    </comment>
    <comment ref="R32" authorId="0">
      <text>
        <r>
          <rPr>
            <b/>
            <sz val="8"/>
            <rFont val="Tahoma"/>
            <family val="0"/>
          </rPr>
          <t>Includes 1 master teacher and 1 teaching assistant.</t>
        </r>
        <r>
          <rPr>
            <sz val="8"/>
            <rFont val="Tahoma"/>
            <family val="0"/>
          </rPr>
          <t xml:space="preserve">
</t>
        </r>
      </text>
    </comment>
    <comment ref="T32" authorId="0">
      <text>
        <r>
          <rPr>
            <sz val="8"/>
            <rFont val="Tahoma"/>
            <family val="2"/>
          </rPr>
          <t xml:space="preserve">Includes 2 master teachers earning $2200/yr + 2 teaching assistants earning $1200/yr.
</t>
        </r>
        <r>
          <rPr>
            <sz val="8"/>
            <rFont val="Tahoma"/>
            <family val="0"/>
          </rPr>
          <t xml:space="preserve">
</t>
        </r>
      </text>
    </comment>
    <comment ref="U32" authorId="0">
      <text>
        <r>
          <rPr>
            <sz val="8"/>
            <rFont val="Tahoma"/>
            <family val="0"/>
          </rPr>
          <t xml:space="preserve">Assumes 30% wage gain in first year after attending these trainings.
</t>
        </r>
      </text>
    </comment>
    <comment ref="H33" authorId="0">
      <text>
        <r>
          <rPr>
            <sz val="8"/>
            <rFont val="Tahoma"/>
            <family val="2"/>
          </rPr>
          <t>Assume 70% have no work experience in field and 30% have experience but not with new equipment and techniques.</t>
        </r>
        <r>
          <rPr>
            <sz val="8"/>
            <rFont val="Tahoma"/>
            <family val="0"/>
          </rPr>
          <t xml:space="preserve">
</t>
        </r>
      </text>
    </comment>
    <comment ref="J33" authorId="0">
      <text>
        <r>
          <rPr>
            <sz val="8"/>
            <rFont val="Tahoma"/>
            <family val="2"/>
          </rPr>
          <t>Assume 30% increase in wages.</t>
        </r>
        <r>
          <rPr>
            <sz val="8"/>
            <rFont val="Tahoma"/>
            <family val="0"/>
          </rPr>
          <t xml:space="preserve">
</t>
        </r>
      </text>
    </comment>
    <comment ref="L33" authorId="0">
      <text>
        <r>
          <rPr>
            <sz val="8"/>
            <rFont val="Tahoma"/>
            <family val="0"/>
          </rPr>
          <t xml:space="preserve">Dropouts/leavers will earn 10% more
</t>
        </r>
      </text>
    </comment>
    <comment ref="R33" authorId="0">
      <text>
        <r>
          <rPr>
            <b/>
            <sz val="8"/>
            <rFont val="Tahoma"/>
            <family val="0"/>
          </rPr>
          <t>Includes 1 master teacher and 1 teaching assistant.</t>
        </r>
        <r>
          <rPr>
            <sz val="8"/>
            <rFont val="Tahoma"/>
            <family val="0"/>
          </rPr>
          <t xml:space="preserve">
</t>
        </r>
      </text>
    </comment>
    <comment ref="T33" authorId="0">
      <text>
        <r>
          <rPr>
            <sz val="8"/>
            <rFont val="Tahoma"/>
            <family val="2"/>
          </rPr>
          <t xml:space="preserve">Includes 2 master teachers earning $2200/yr + 2 teaching assistants earning $1200/yr.
</t>
        </r>
        <r>
          <rPr>
            <sz val="8"/>
            <rFont val="Tahoma"/>
            <family val="0"/>
          </rPr>
          <t xml:space="preserve">
</t>
        </r>
      </text>
    </comment>
    <comment ref="U33" authorId="0">
      <text>
        <r>
          <rPr>
            <sz val="8"/>
            <rFont val="Tahoma"/>
            <family val="0"/>
          </rPr>
          <t xml:space="preserve">Assumes 30% wage gain in first year after attending these trainings.
</t>
        </r>
      </text>
    </comment>
    <comment ref="H34" authorId="0">
      <text>
        <r>
          <rPr>
            <sz val="8"/>
            <rFont val="Tahoma"/>
            <family val="2"/>
          </rPr>
          <t>Assume 70% have no work experience in field and 30% have experience but not with new equipment and techniques.</t>
        </r>
        <r>
          <rPr>
            <sz val="8"/>
            <rFont val="Tahoma"/>
            <family val="0"/>
          </rPr>
          <t xml:space="preserve">
</t>
        </r>
      </text>
    </comment>
    <comment ref="J34" authorId="0">
      <text>
        <r>
          <rPr>
            <sz val="8"/>
            <rFont val="Tahoma"/>
            <family val="2"/>
          </rPr>
          <t>Assume 30% increase in wages.</t>
        </r>
        <r>
          <rPr>
            <sz val="8"/>
            <rFont val="Tahoma"/>
            <family val="0"/>
          </rPr>
          <t xml:space="preserve">
</t>
        </r>
      </text>
    </comment>
    <comment ref="L34" authorId="0">
      <text>
        <r>
          <rPr>
            <sz val="8"/>
            <rFont val="Tahoma"/>
            <family val="0"/>
          </rPr>
          <t xml:space="preserve">Dropouts/leavers will earn 10% more
</t>
        </r>
      </text>
    </comment>
    <comment ref="R34" authorId="0">
      <text>
        <r>
          <rPr>
            <b/>
            <sz val="8"/>
            <rFont val="Tahoma"/>
            <family val="0"/>
          </rPr>
          <t>Includes 1 master teacher and 1 teaching assistant.</t>
        </r>
        <r>
          <rPr>
            <sz val="8"/>
            <rFont val="Tahoma"/>
            <family val="0"/>
          </rPr>
          <t xml:space="preserve">
</t>
        </r>
      </text>
    </comment>
    <comment ref="T34" authorId="0">
      <text>
        <r>
          <rPr>
            <sz val="8"/>
            <rFont val="Tahoma"/>
            <family val="2"/>
          </rPr>
          <t xml:space="preserve">Includes 2 master teachers earning $2200/yr + 2 teaching assistants earning $1200/yr.
</t>
        </r>
        <r>
          <rPr>
            <sz val="8"/>
            <rFont val="Tahoma"/>
            <family val="0"/>
          </rPr>
          <t xml:space="preserve">
</t>
        </r>
      </text>
    </comment>
    <comment ref="U34" authorId="0">
      <text>
        <r>
          <rPr>
            <sz val="8"/>
            <rFont val="Tahoma"/>
            <family val="0"/>
          </rPr>
          <t xml:space="preserve">Assumes 30% wage gain in first year after attending these trainings.
</t>
        </r>
      </text>
    </comment>
    <comment ref="H35" authorId="0">
      <text>
        <r>
          <rPr>
            <sz val="8"/>
            <rFont val="Tahoma"/>
            <family val="2"/>
          </rPr>
          <t>Assume 70% have no work experience in field and 30% have experience but not with new equipment and techniques.</t>
        </r>
        <r>
          <rPr>
            <sz val="8"/>
            <rFont val="Tahoma"/>
            <family val="0"/>
          </rPr>
          <t xml:space="preserve">
</t>
        </r>
      </text>
    </comment>
    <comment ref="J35" authorId="0">
      <text>
        <r>
          <rPr>
            <sz val="8"/>
            <rFont val="Tahoma"/>
            <family val="2"/>
          </rPr>
          <t>Assume 30% increase in wages.</t>
        </r>
        <r>
          <rPr>
            <sz val="8"/>
            <rFont val="Tahoma"/>
            <family val="0"/>
          </rPr>
          <t xml:space="preserve">
</t>
        </r>
      </text>
    </comment>
    <comment ref="L35" authorId="0">
      <text>
        <r>
          <rPr>
            <sz val="8"/>
            <rFont val="Tahoma"/>
            <family val="0"/>
          </rPr>
          <t xml:space="preserve">Dropouts/leavers will earn 10% more
</t>
        </r>
      </text>
    </comment>
    <comment ref="R35" authorId="0">
      <text>
        <r>
          <rPr>
            <b/>
            <sz val="8"/>
            <rFont val="Tahoma"/>
            <family val="0"/>
          </rPr>
          <t>Includes 1 master teacher and 1 teaching assistant.</t>
        </r>
        <r>
          <rPr>
            <sz val="8"/>
            <rFont val="Tahoma"/>
            <family val="0"/>
          </rPr>
          <t xml:space="preserve">
</t>
        </r>
      </text>
    </comment>
    <comment ref="T35" authorId="0">
      <text>
        <r>
          <rPr>
            <sz val="8"/>
            <rFont val="Tahoma"/>
            <family val="2"/>
          </rPr>
          <t xml:space="preserve">Includes 2 master teachers earning $2200/yr + 2 teaching assistants earning $1200/yr.
</t>
        </r>
        <r>
          <rPr>
            <sz val="8"/>
            <rFont val="Tahoma"/>
            <family val="0"/>
          </rPr>
          <t xml:space="preserve">
</t>
        </r>
      </text>
    </comment>
    <comment ref="U35" authorId="0">
      <text>
        <r>
          <rPr>
            <sz val="8"/>
            <rFont val="Tahoma"/>
            <family val="0"/>
          </rPr>
          <t xml:space="preserve">Assumes 30% wage gain in first year after attending these trainings.
</t>
        </r>
      </text>
    </comment>
    <comment ref="H36" authorId="0">
      <text>
        <r>
          <rPr>
            <sz val="8"/>
            <rFont val="Tahoma"/>
            <family val="2"/>
          </rPr>
          <t>Assume 70% have no work experience in field and 30% have experience but not with new equipment and techniques.</t>
        </r>
        <r>
          <rPr>
            <sz val="8"/>
            <rFont val="Tahoma"/>
            <family val="0"/>
          </rPr>
          <t xml:space="preserve">
</t>
        </r>
      </text>
    </comment>
    <comment ref="J36" authorId="0">
      <text>
        <r>
          <rPr>
            <sz val="8"/>
            <rFont val="Tahoma"/>
            <family val="2"/>
          </rPr>
          <t>Assume 30% increase in wages.</t>
        </r>
        <r>
          <rPr>
            <sz val="8"/>
            <rFont val="Tahoma"/>
            <family val="0"/>
          </rPr>
          <t xml:space="preserve">
</t>
        </r>
      </text>
    </comment>
    <comment ref="L36" authorId="0">
      <text>
        <r>
          <rPr>
            <sz val="8"/>
            <rFont val="Tahoma"/>
            <family val="0"/>
          </rPr>
          <t xml:space="preserve">Dropouts/leavers will earn 10% more
</t>
        </r>
      </text>
    </comment>
    <comment ref="H38" authorId="0">
      <text>
        <r>
          <rPr>
            <sz val="8"/>
            <rFont val="Tahoma"/>
            <family val="2"/>
          </rPr>
          <t>Assume 70% have no work experience in field and 30% have experience but not with new equipment and techniques.</t>
        </r>
        <r>
          <rPr>
            <sz val="8"/>
            <rFont val="Tahoma"/>
            <family val="0"/>
          </rPr>
          <t xml:space="preserve">
</t>
        </r>
      </text>
    </comment>
    <comment ref="J38" authorId="0">
      <text>
        <r>
          <rPr>
            <sz val="8"/>
            <rFont val="Tahoma"/>
            <family val="2"/>
          </rPr>
          <t>Assume 30% increase in wages.</t>
        </r>
        <r>
          <rPr>
            <sz val="8"/>
            <rFont val="Tahoma"/>
            <family val="0"/>
          </rPr>
          <t xml:space="preserve">
</t>
        </r>
      </text>
    </comment>
    <comment ref="L38" authorId="0">
      <text>
        <r>
          <rPr>
            <sz val="8"/>
            <rFont val="Tahoma"/>
            <family val="0"/>
          </rPr>
          <t xml:space="preserve">Dropouts/leavers will earn 10% more
</t>
        </r>
      </text>
    </comment>
    <comment ref="R38" authorId="0">
      <text>
        <r>
          <rPr>
            <b/>
            <sz val="8"/>
            <rFont val="Tahoma"/>
            <family val="0"/>
          </rPr>
          <t>Includes 1 master teacher and 1 teaching assistant.</t>
        </r>
        <r>
          <rPr>
            <sz val="8"/>
            <rFont val="Tahoma"/>
            <family val="0"/>
          </rPr>
          <t xml:space="preserve">
</t>
        </r>
      </text>
    </comment>
    <comment ref="T38" authorId="0">
      <text>
        <r>
          <rPr>
            <sz val="8"/>
            <rFont val="Tahoma"/>
            <family val="2"/>
          </rPr>
          <t xml:space="preserve">Includes 2 master teachers earning $2200/yr + 2 teaching assistants earning $1200/yr.
</t>
        </r>
        <r>
          <rPr>
            <sz val="8"/>
            <rFont val="Tahoma"/>
            <family val="0"/>
          </rPr>
          <t xml:space="preserve">
</t>
        </r>
      </text>
    </comment>
    <comment ref="U38" authorId="0">
      <text>
        <r>
          <rPr>
            <sz val="8"/>
            <rFont val="Tahoma"/>
            <family val="0"/>
          </rPr>
          <t xml:space="preserve">Assumes 30% wage gain in first year after attending these trainings.
</t>
        </r>
      </text>
    </comment>
    <comment ref="H39" authorId="0">
      <text>
        <r>
          <rPr>
            <sz val="8"/>
            <rFont val="Tahoma"/>
            <family val="2"/>
          </rPr>
          <t>Assume 70% have no work experience in field and 30% have experience but not with new equipment and techniques.</t>
        </r>
        <r>
          <rPr>
            <sz val="8"/>
            <rFont val="Tahoma"/>
            <family val="0"/>
          </rPr>
          <t xml:space="preserve">
</t>
        </r>
      </text>
    </comment>
    <comment ref="J39" authorId="0">
      <text>
        <r>
          <rPr>
            <sz val="8"/>
            <rFont val="Tahoma"/>
            <family val="2"/>
          </rPr>
          <t>Assume 30% increase in wages.</t>
        </r>
        <r>
          <rPr>
            <sz val="8"/>
            <rFont val="Tahoma"/>
            <family val="0"/>
          </rPr>
          <t xml:space="preserve">
</t>
        </r>
      </text>
    </comment>
    <comment ref="L39" authorId="0">
      <text>
        <r>
          <rPr>
            <sz val="8"/>
            <rFont val="Tahoma"/>
            <family val="0"/>
          </rPr>
          <t xml:space="preserve">Dropouts/leavers will earn 10% more
</t>
        </r>
      </text>
    </comment>
    <comment ref="R39" authorId="0">
      <text>
        <r>
          <rPr>
            <b/>
            <sz val="8"/>
            <rFont val="Tahoma"/>
            <family val="0"/>
          </rPr>
          <t>Includes 1 master teacher and 1 teaching assistant.</t>
        </r>
        <r>
          <rPr>
            <sz val="8"/>
            <rFont val="Tahoma"/>
            <family val="0"/>
          </rPr>
          <t xml:space="preserve">
</t>
        </r>
      </text>
    </comment>
    <comment ref="T39" authorId="0">
      <text>
        <r>
          <rPr>
            <sz val="8"/>
            <rFont val="Tahoma"/>
            <family val="2"/>
          </rPr>
          <t xml:space="preserve">Includes 2 master teachers earning $2200/yr + 2 teaching assistants earning $1200/yr.
</t>
        </r>
        <r>
          <rPr>
            <sz val="8"/>
            <rFont val="Tahoma"/>
            <family val="0"/>
          </rPr>
          <t xml:space="preserve">
</t>
        </r>
      </text>
    </comment>
    <comment ref="U39" authorId="0">
      <text>
        <r>
          <rPr>
            <sz val="8"/>
            <rFont val="Tahoma"/>
            <family val="0"/>
          </rPr>
          <t xml:space="preserve">Assumes 30% wage gain in first year after attending these trainings.
</t>
        </r>
      </text>
    </comment>
    <comment ref="H40" authorId="0">
      <text>
        <r>
          <rPr>
            <sz val="8"/>
            <rFont val="Tahoma"/>
            <family val="2"/>
          </rPr>
          <t>Assume 70% have no work experience in field and 30% have experience but not with new equipment and techniques.</t>
        </r>
        <r>
          <rPr>
            <sz val="8"/>
            <rFont val="Tahoma"/>
            <family val="0"/>
          </rPr>
          <t xml:space="preserve">
</t>
        </r>
      </text>
    </comment>
    <comment ref="J40" authorId="0">
      <text>
        <r>
          <rPr>
            <sz val="8"/>
            <rFont val="Tahoma"/>
            <family val="2"/>
          </rPr>
          <t>Assume 30% increase in wages.</t>
        </r>
        <r>
          <rPr>
            <sz val="8"/>
            <rFont val="Tahoma"/>
            <family val="0"/>
          </rPr>
          <t xml:space="preserve">
</t>
        </r>
      </text>
    </comment>
    <comment ref="L40" authorId="0">
      <text>
        <r>
          <rPr>
            <sz val="8"/>
            <rFont val="Tahoma"/>
            <family val="0"/>
          </rPr>
          <t xml:space="preserve">Dropouts/leavers will earn 10% more
</t>
        </r>
      </text>
    </comment>
    <comment ref="H42"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J42" authorId="0">
      <text>
        <r>
          <rPr>
            <sz val="8"/>
            <rFont val="Tahoma"/>
            <family val="2"/>
          </rPr>
          <t>Based on pay scales at Boroo Gold Mining Company in Mongolia.  Initially, training provides a 30-40% increase, but overtime the gap widens to 70%. The estimate of 210 represents an increase of 50%, a conservative compromise between the two figures.</t>
        </r>
        <r>
          <rPr>
            <sz val="8"/>
            <rFont val="Tahoma"/>
            <family val="0"/>
          </rPr>
          <t xml:space="preserve">
(this reasoning needs to be confirmed with Barry Stern as of 3-Dec-06</t>
        </r>
      </text>
    </comment>
    <comment ref="L42" authorId="0">
      <text>
        <r>
          <rPr>
            <sz val="8"/>
            <rFont val="Tahoma"/>
            <family val="0"/>
          </rPr>
          <t xml:space="preserve">Dropouts/leavers will earn 10% more
</t>
        </r>
      </text>
    </comment>
    <comment ref="R42" authorId="0">
      <text>
        <r>
          <rPr>
            <sz val="8"/>
            <rFont val="Tahoma"/>
            <family val="2"/>
          </rPr>
          <t>2 master teachers and 2 teaching assistants per site.</t>
        </r>
        <r>
          <rPr>
            <sz val="8"/>
            <rFont val="Tahoma"/>
            <family val="0"/>
          </rPr>
          <t xml:space="preserve">
</t>
        </r>
      </text>
    </comment>
    <comment ref="T42" authorId="0">
      <text>
        <r>
          <rPr>
            <sz val="8"/>
            <rFont val="Tahoma"/>
            <family val="2"/>
          </rPr>
          <t>2 master teachers @ $2250/yr and 2 teaching assistants at $1400/yr.</t>
        </r>
        <r>
          <rPr>
            <sz val="8"/>
            <rFont val="Tahoma"/>
            <family val="0"/>
          </rPr>
          <t xml:space="preserve">
</t>
        </r>
      </text>
    </comment>
    <comment ref="U42" authorId="0">
      <text>
        <r>
          <rPr>
            <sz val="8"/>
            <rFont val="Tahoma"/>
            <family val="0"/>
          </rPr>
          <t xml:space="preserve">2 master teachers @ 400,000 Ts/month or $4175/yr (Boroo Gold pay scale) + teaching assistants whose salaries would rise 30% after a year of expert training.
</t>
        </r>
      </text>
    </comment>
    <comment ref="H43"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3" authorId="0">
      <text>
        <r>
          <rPr>
            <sz val="8"/>
            <rFont val="Tahoma"/>
            <family val="0"/>
          </rPr>
          <t xml:space="preserve">Dropouts/leavers will earn 10% more
</t>
        </r>
      </text>
    </comment>
    <comment ref="R43" authorId="0">
      <text>
        <r>
          <rPr>
            <sz val="8"/>
            <rFont val="Tahoma"/>
            <family val="2"/>
          </rPr>
          <t>2 master teachers and 2 teaching assistants per site.</t>
        </r>
        <r>
          <rPr>
            <sz val="8"/>
            <rFont val="Tahoma"/>
            <family val="0"/>
          </rPr>
          <t xml:space="preserve">
</t>
        </r>
      </text>
    </comment>
    <comment ref="T43" authorId="0">
      <text>
        <r>
          <rPr>
            <sz val="8"/>
            <rFont val="Tahoma"/>
            <family val="2"/>
          </rPr>
          <t>2 master teachers @ $2250/yr and 2 teaching assistants at $1400/yr.</t>
        </r>
        <r>
          <rPr>
            <sz val="8"/>
            <rFont val="Tahoma"/>
            <family val="0"/>
          </rPr>
          <t xml:space="preserve">
</t>
        </r>
      </text>
    </comment>
    <comment ref="U43" authorId="0">
      <text>
        <r>
          <rPr>
            <sz val="8"/>
            <rFont val="Tahoma"/>
            <family val="0"/>
          </rPr>
          <t xml:space="preserve">2 master teachers @ 400,000 Ts/month or $4175/yr (Boroo Gold pay scale) + teaching assistants whose salaries would rise 30% after a year of expert training.
</t>
        </r>
      </text>
    </comment>
    <comment ref="H44"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4" authorId="0">
      <text>
        <r>
          <rPr>
            <sz val="8"/>
            <rFont val="Tahoma"/>
            <family val="0"/>
          </rPr>
          <t xml:space="preserve">Dropouts/leavers will earn 10% more
</t>
        </r>
      </text>
    </comment>
    <comment ref="R44" authorId="0">
      <text>
        <r>
          <rPr>
            <sz val="8"/>
            <rFont val="Tahoma"/>
            <family val="2"/>
          </rPr>
          <t>2 master teachers and 2 teaching assistants per site.</t>
        </r>
        <r>
          <rPr>
            <sz val="8"/>
            <rFont val="Tahoma"/>
            <family val="0"/>
          </rPr>
          <t xml:space="preserve">
</t>
        </r>
      </text>
    </comment>
    <comment ref="T44" authorId="0">
      <text>
        <r>
          <rPr>
            <sz val="8"/>
            <rFont val="Tahoma"/>
            <family val="2"/>
          </rPr>
          <t>2 master teachers @ $2250/yr and 2 teaching assistants at $1400/yr.</t>
        </r>
        <r>
          <rPr>
            <sz val="8"/>
            <rFont val="Tahoma"/>
            <family val="0"/>
          </rPr>
          <t xml:space="preserve">
</t>
        </r>
      </text>
    </comment>
    <comment ref="U44" authorId="0">
      <text>
        <r>
          <rPr>
            <sz val="8"/>
            <rFont val="Tahoma"/>
            <family val="0"/>
          </rPr>
          <t xml:space="preserve">2 master teachers @ 400,000 Ts/month or $4175/yr (Boroo Gold pay scale) + teaching assistants whose salaries would rise 30% after a year of expert training.
</t>
        </r>
      </text>
    </comment>
    <comment ref="H45"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5" authorId="0">
      <text>
        <r>
          <rPr>
            <sz val="8"/>
            <rFont val="Tahoma"/>
            <family val="0"/>
          </rPr>
          <t xml:space="preserve">Dropouts/leavers will earn 10% more
</t>
        </r>
      </text>
    </comment>
    <comment ref="R45" authorId="0">
      <text>
        <r>
          <rPr>
            <sz val="8"/>
            <rFont val="Tahoma"/>
            <family val="2"/>
          </rPr>
          <t>2 master teachers and 2 teaching assistants per site.</t>
        </r>
        <r>
          <rPr>
            <sz val="8"/>
            <rFont val="Tahoma"/>
            <family val="0"/>
          </rPr>
          <t xml:space="preserve">
</t>
        </r>
      </text>
    </comment>
    <comment ref="T45" authorId="0">
      <text>
        <r>
          <rPr>
            <sz val="8"/>
            <rFont val="Tahoma"/>
            <family val="2"/>
          </rPr>
          <t>2 master teachers @ $2250/yr and 2 teaching assistants at $1400/yr.</t>
        </r>
        <r>
          <rPr>
            <sz val="8"/>
            <rFont val="Tahoma"/>
            <family val="0"/>
          </rPr>
          <t xml:space="preserve">
</t>
        </r>
      </text>
    </comment>
    <comment ref="U45" authorId="0">
      <text>
        <r>
          <rPr>
            <sz val="8"/>
            <rFont val="Tahoma"/>
            <family val="0"/>
          </rPr>
          <t xml:space="preserve">2 master teachers @ 400,000 Ts/month or $4175/yr (Boroo Gold pay scale) + teaching assistants whose salaries would rise 30% after a year of expert training.
</t>
        </r>
      </text>
    </comment>
    <comment ref="H46"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6" authorId="0">
      <text>
        <r>
          <rPr>
            <sz val="8"/>
            <rFont val="Tahoma"/>
            <family val="0"/>
          </rPr>
          <t xml:space="preserve">Dropouts/leavers will earn 10% more
</t>
        </r>
      </text>
    </comment>
    <comment ref="R46" authorId="0">
      <text>
        <r>
          <rPr>
            <sz val="8"/>
            <rFont val="Tahoma"/>
            <family val="2"/>
          </rPr>
          <t>2 master teachers and 2 teaching assistants per site.</t>
        </r>
        <r>
          <rPr>
            <sz val="8"/>
            <rFont val="Tahoma"/>
            <family val="0"/>
          </rPr>
          <t xml:space="preserve">
</t>
        </r>
      </text>
    </comment>
    <comment ref="T46" authorId="0">
      <text>
        <r>
          <rPr>
            <sz val="8"/>
            <rFont val="Tahoma"/>
            <family val="2"/>
          </rPr>
          <t>2 master teachers @ $2250/yr and 2 teaching assistants at $1400/yr.</t>
        </r>
        <r>
          <rPr>
            <sz val="8"/>
            <rFont val="Tahoma"/>
            <family val="0"/>
          </rPr>
          <t xml:space="preserve">
</t>
        </r>
      </text>
    </comment>
    <comment ref="U46" authorId="0">
      <text>
        <r>
          <rPr>
            <sz val="8"/>
            <rFont val="Tahoma"/>
            <family val="0"/>
          </rPr>
          <t xml:space="preserve">2 master teachers @ 400,000 Ts/month or $4175/yr (Boroo Gold pay scale) + teaching assistants whose salaries would rise 30% after a year of expert training.
</t>
        </r>
      </text>
    </comment>
    <comment ref="H47"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7" authorId="0">
      <text>
        <r>
          <rPr>
            <sz val="8"/>
            <rFont val="Tahoma"/>
            <family val="0"/>
          </rPr>
          <t xml:space="preserve">Dropouts/leavers will earn 10% more
</t>
        </r>
      </text>
    </comment>
    <comment ref="R47" authorId="0">
      <text>
        <r>
          <rPr>
            <sz val="8"/>
            <rFont val="Tahoma"/>
            <family val="2"/>
          </rPr>
          <t>2 master teachers and 2 teaching assistants per site.</t>
        </r>
        <r>
          <rPr>
            <sz val="8"/>
            <rFont val="Tahoma"/>
            <family val="0"/>
          </rPr>
          <t xml:space="preserve">
</t>
        </r>
      </text>
    </comment>
    <comment ref="T47" authorId="0">
      <text>
        <r>
          <rPr>
            <sz val="8"/>
            <rFont val="Tahoma"/>
            <family val="2"/>
          </rPr>
          <t>2 master teachers @ $2250/yr and 2 teaching assistants at $1400/yr.</t>
        </r>
        <r>
          <rPr>
            <sz val="8"/>
            <rFont val="Tahoma"/>
            <family val="0"/>
          </rPr>
          <t xml:space="preserve">
</t>
        </r>
      </text>
    </comment>
    <comment ref="U47" authorId="0">
      <text>
        <r>
          <rPr>
            <sz val="8"/>
            <rFont val="Tahoma"/>
            <family val="0"/>
          </rPr>
          <t xml:space="preserve">2 master teachers @ 400,000 Ts/month or $4175/yr (Boroo Gold pay scale) + teaching assistants whose salaries would rise 30% after a year of expert training.
</t>
        </r>
      </text>
    </comment>
    <comment ref="H48"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8" authorId="0">
      <text>
        <r>
          <rPr>
            <sz val="8"/>
            <rFont val="Tahoma"/>
            <family val="0"/>
          </rPr>
          <t xml:space="preserve">Dropouts/leavers will earn 10% more
</t>
        </r>
      </text>
    </comment>
    <comment ref="R48" authorId="0">
      <text>
        <r>
          <rPr>
            <sz val="8"/>
            <rFont val="Tahoma"/>
            <family val="2"/>
          </rPr>
          <t>2 master teachers and 2 teaching assistants per site.</t>
        </r>
        <r>
          <rPr>
            <sz val="8"/>
            <rFont val="Tahoma"/>
            <family val="0"/>
          </rPr>
          <t xml:space="preserve">
</t>
        </r>
      </text>
    </comment>
    <comment ref="T48" authorId="0">
      <text>
        <r>
          <rPr>
            <sz val="8"/>
            <rFont val="Tahoma"/>
            <family val="2"/>
          </rPr>
          <t>2 master teachers @ $2250/yr and 2 teaching assistants at $1400/yr.</t>
        </r>
        <r>
          <rPr>
            <sz val="8"/>
            <rFont val="Tahoma"/>
            <family val="0"/>
          </rPr>
          <t xml:space="preserve">
</t>
        </r>
      </text>
    </comment>
    <comment ref="U48" authorId="0">
      <text>
        <r>
          <rPr>
            <sz val="8"/>
            <rFont val="Tahoma"/>
            <family val="0"/>
          </rPr>
          <t xml:space="preserve">2 master teachers @ 400,000 Ts/month or $4175/yr (Boroo Gold pay scale) + teaching assistants whose salaries would rise 30% after a year of expert training.
</t>
        </r>
      </text>
    </comment>
    <comment ref="H49" authorId="0">
      <text>
        <r>
          <rPr>
            <sz val="8"/>
            <rFont val="Tahoma"/>
            <family val="2"/>
          </rPr>
          <t>Estimate provided by Director of Training from Boroo Gold Co. who checked with mining colleagues in Mongolia.  Assume 40% of students already will have had some experience in the occupation.</t>
        </r>
        <r>
          <rPr>
            <sz val="8"/>
            <rFont val="Tahoma"/>
            <family val="0"/>
          </rPr>
          <t xml:space="preserve">
</t>
        </r>
      </text>
    </comment>
    <comment ref="L49" authorId="0">
      <text>
        <r>
          <rPr>
            <sz val="8"/>
            <rFont val="Tahoma"/>
            <family val="0"/>
          </rPr>
          <t xml:space="preserve">Dropouts/leavers will earn 10% more
</t>
        </r>
      </text>
    </comment>
    <comment ref="H51"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1" authorId="0">
      <text>
        <r>
          <rPr>
            <sz val="8"/>
            <rFont val="Tahoma"/>
            <family val="0"/>
          </rPr>
          <t xml:space="preserve">Aug 2006 survey of 130 employers showed 2 programmers each earned $174/month.  Was not scientific sample.
</t>
        </r>
      </text>
    </comment>
    <comment ref="L51" authorId="0">
      <text>
        <r>
          <rPr>
            <sz val="8"/>
            <rFont val="Tahoma"/>
            <family val="0"/>
          </rPr>
          <t xml:space="preserve">Dropouts/leavers will earn 10% more
</t>
        </r>
      </text>
    </comment>
    <comment ref="R51" authorId="0">
      <text>
        <r>
          <rPr>
            <sz val="8"/>
            <rFont val="Tahoma"/>
            <family val="2"/>
          </rPr>
          <t>1 master teacher + 1 teaching assistant for 20-week course.</t>
        </r>
        <r>
          <rPr>
            <sz val="8"/>
            <rFont val="Tahoma"/>
            <family val="0"/>
          </rPr>
          <t xml:space="preserve">
</t>
        </r>
      </text>
    </comment>
    <comment ref="T51" authorId="0">
      <text>
        <r>
          <rPr>
            <sz val="8"/>
            <rFont val="Tahoma"/>
            <family val="2"/>
          </rPr>
          <t xml:space="preserve">2 master teachers @ $2200/yr + 2 teaching assistants @1400/yr
</t>
        </r>
      </text>
    </comment>
    <comment ref="U51" authorId="0">
      <text>
        <r>
          <rPr>
            <sz val="8"/>
            <rFont val="Tahoma"/>
            <family val="0"/>
          </rPr>
          <t xml:space="preserve">30% wage gain in first year after training with international/national expert.
</t>
        </r>
      </text>
    </comment>
    <comment ref="H52"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2"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2" authorId="0">
      <text>
        <r>
          <rPr>
            <sz val="8"/>
            <rFont val="Tahoma"/>
            <family val="0"/>
          </rPr>
          <t xml:space="preserve">Dropouts/leavers will earn 10% more
</t>
        </r>
      </text>
    </comment>
    <comment ref="R52" authorId="0">
      <text>
        <r>
          <rPr>
            <sz val="8"/>
            <rFont val="Tahoma"/>
            <family val="2"/>
          </rPr>
          <t>2 master teachers + 2 teaching assistants for year-long training program.</t>
        </r>
        <r>
          <rPr>
            <sz val="8"/>
            <rFont val="Tahoma"/>
            <family val="0"/>
          </rPr>
          <t xml:space="preserve">
</t>
        </r>
      </text>
    </comment>
    <comment ref="T52" authorId="0">
      <text>
        <r>
          <rPr>
            <sz val="8"/>
            <rFont val="Tahoma"/>
            <family val="2"/>
          </rPr>
          <t xml:space="preserve">2 master teachers @ $2200/yr + 2 teaching assistants @1400/yr
</t>
        </r>
      </text>
    </comment>
    <comment ref="U52" authorId="0">
      <text>
        <r>
          <rPr>
            <sz val="8"/>
            <rFont val="Tahoma"/>
            <family val="0"/>
          </rPr>
          <t xml:space="preserve">30% wage gain in first year after training with international/national expert.
</t>
        </r>
      </text>
    </comment>
    <comment ref="H53"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3"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3" authorId="0">
      <text>
        <r>
          <rPr>
            <sz val="8"/>
            <rFont val="Tahoma"/>
            <family val="0"/>
          </rPr>
          <t xml:space="preserve">Dropouts/leavers will earn 10% more
</t>
        </r>
      </text>
    </comment>
    <comment ref="R53" authorId="0">
      <text>
        <r>
          <rPr>
            <sz val="8"/>
            <rFont val="Tahoma"/>
            <family val="2"/>
          </rPr>
          <t>1 master teacher + 1 teaching assistant for 22-week course.</t>
        </r>
        <r>
          <rPr>
            <sz val="8"/>
            <rFont val="Tahoma"/>
            <family val="0"/>
          </rPr>
          <t xml:space="preserve">
</t>
        </r>
      </text>
    </comment>
    <comment ref="T53" authorId="0">
      <text>
        <r>
          <rPr>
            <sz val="8"/>
            <rFont val="Tahoma"/>
            <family val="2"/>
          </rPr>
          <t xml:space="preserve">2 master teachers @ $2200/yr + 2 teaching assistants @1400/yr
</t>
        </r>
      </text>
    </comment>
    <comment ref="U53" authorId="0">
      <text>
        <r>
          <rPr>
            <sz val="8"/>
            <rFont val="Tahoma"/>
            <family val="0"/>
          </rPr>
          <t xml:space="preserve">30% wage gain in first year after training with international/national expert.
</t>
        </r>
      </text>
    </comment>
    <comment ref="H54"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4"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4" authorId="0">
      <text>
        <r>
          <rPr>
            <sz val="8"/>
            <rFont val="Tahoma"/>
            <family val="0"/>
          </rPr>
          <t xml:space="preserve">Dropouts/leavers will earn 10% more
</t>
        </r>
      </text>
    </comment>
    <comment ref="R54" authorId="0">
      <text>
        <r>
          <rPr>
            <sz val="8"/>
            <rFont val="Tahoma"/>
            <family val="2"/>
          </rPr>
          <t>2 master teachers + 2 teaching assistants for year-long training program.</t>
        </r>
        <r>
          <rPr>
            <sz val="8"/>
            <rFont val="Tahoma"/>
            <family val="0"/>
          </rPr>
          <t xml:space="preserve">
</t>
        </r>
      </text>
    </comment>
    <comment ref="T54" authorId="0">
      <text>
        <r>
          <rPr>
            <sz val="8"/>
            <rFont val="Tahoma"/>
            <family val="2"/>
          </rPr>
          <t xml:space="preserve">2 master teachers @ $2200/yr + 2 teaching assistants @1400/yr
</t>
        </r>
      </text>
    </comment>
    <comment ref="U54" authorId="0">
      <text>
        <r>
          <rPr>
            <sz val="8"/>
            <rFont val="Tahoma"/>
            <family val="0"/>
          </rPr>
          <t xml:space="preserve">30% wage gain in first year after training with international/national expert.
</t>
        </r>
      </text>
    </comment>
    <comment ref="H55" authorId="0">
      <text>
        <r>
          <rPr>
            <sz val="8"/>
            <rFont val="Tahoma"/>
            <family val="2"/>
          </rPr>
          <t>Assume 70% have no work experience in field and 30% have experience but not with new equipment and techniques.  2005  MIDAS/MONITA NGO study found that only 2.4% of ICT workers were vocational school graduates; 1.4% were only high school graduates.</t>
        </r>
        <r>
          <rPr>
            <sz val="8"/>
            <rFont val="Tahoma"/>
            <family val="0"/>
          </rPr>
          <t xml:space="preserve">
</t>
        </r>
      </text>
    </comment>
    <comment ref="J55" authorId="0">
      <text>
        <r>
          <rPr>
            <sz val="8"/>
            <rFont val="Tahoma"/>
            <family val="2"/>
          </rPr>
          <t xml:space="preserve">Vocational schools supply only 2.4% of ICT workers, but there is widespread belief that certified grads in field will earn good wages because of high demand.  MIDAS/MONITA NGO indicated only 28% of ICT job applicants were hired.
</t>
        </r>
      </text>
    </comment>
    <comment ref="L55" authorId="0">
      <text>
        <r>
          <rPr>
            <sz val="8"/>
            <rFont val="Tahoma"/>
            <family val="0"/>
          </rPr>
          <t xml:space="preserve">Dropouts/leavers will earn 10% more
</t>
        </r>
      </text>
    </comment>
    <comment ref="C57" authorId="0">
      <text>
        <r>
          <rPr>
            <sz val="8"/>
            <rFont val="Tahoma"/>
            <family val="0"/>
          </rPr>
          <t>Master trainers from private companies that provide this training</t>
        </r>
      </text>
    </comment>
    <comment ref="R57" authorId="0">
      <text>
        <r>
          <rPr>
            <sz val="8"/>
            <rFont val="Tahoma"/>
            <family val="0"/>
          </rPr>
          <t xml:space="preserve">Trainees would be instructors from private companies that provide tourism training.  Tourism associations would develop standards for certification purposes. 
</t>
        </r>
      </text>
    </comment>
    <comment ref="U57" authorId="0">
      <text>
        <r>
          <rPr>
            <sz val="8"/>
            <rFont val="Tahoma"/>
            <family val="0"/>
          </rPr>
          <t xml:space="preserve">30% wage gain in first year after training with international/national expert.
</t>
        </r>
      </text>
    </comment>
    <comment ref="R58" authorId="0">
      <text>
        <r>
          <rPr>
            <sz val="8"/>
            <rFont val="Tahoma"/>
            <family val="0"/>
          </rPr>
          <t xml:space="preserve">Trainees would be instructors from private companies that provide tourism training.  Tourism associations would develop standards for certification purposes. 
</t>
        </r>
      </text>
    </comment>
    <comment ref="U58" authorId="0">
      <text>
        <r>
          <rPr>
            <sz val="8"/>
            <rFont val="Tahoma"/>
            <family val="0"/>
          </rPr>
          <t xml:space="preserve">30% wage gain in first year after training with international/national expert.
</t>
        </r>
      </text>
    </comment>
    <comment ref="R59" authorId="0">
      <text>
        <r>
          <rPr>
            <sz val="8"/>
            <rFont val="Tahoma"/>
            <family val="0"/>
          </rPr>
          <t xml:space="preserve">Trainees would be instructors from private companies that provide tourism training.  Tourism associations would develop standards for certification purposes. 
</t>
        </r>
      </text>
    </comment>
    <comment ref="U59" authorId="0">
      <text>
        <r>
          <rPr>
            <sz val="8"/>
            <rFont val="Tahoma"/>
            <family val="0"/>
          </rPr>
          <t xml:space="preserve">30% wage gain in first year after training with international/national expert.
</t>
        </r>
      </text>
    </comment>
    <comment ref="H60" authorId="0">
      <text>
        <r>
          <rPr>
            <sz val="8"/>
            <rFont val="Tahoma"/>
            <family val="2"/>
          </rPr>
          <t>Assume 70% have no work experience in field and 30% have experience but not with new equipment and techniques.</t>
        </r>
        <r>
          <rPr>
            <sz val="8"/>
            <rFont val="Tahoma"/>
            <family val="0"/>
          </rPr>
          <t xml:space="preserve">
</t>
        </r>
      </text>
    </comment>
    <comment ref="J60" authorId="0">
      <text>
        <r>
          <rPr>
            <sz val="8"/>
            <rFont val="Tahoma"/>
            <family val="2"/>
          </rPr>
          <t>Survey of 130 employers primarily in Ulaanbaatar showed average cook salary was $140/mo.  Employers citing cooks as a shortage occupation employed a total of 15 cooks.</t>
        </r>
        <r>
          <rPr>
            <sz val="8"/>
            <rFont val="Tahoma"/>
            <family val="0"/>
          </rPr>
          <t xml:space="preserve">
</t>
        </r>
      </text>
    </comment>
    <comment ref="L60" authorId="0">
      <text>
        <r>
          <rPr>
            <sz val="8"/>
            <rFont val="Tahoma"/>
            <family val="2"/>
          </rPr>
          <t>Dropouts/leavers will earn 10% more</t>
        </r>
        <r>
          <rPr>
            <sz val="8"/>
            <rFont val="Tahoma"/>
            <family val="0"/>
          </rPr>
          <t xml:space="preserve">
</t>
        </r>
      </text>
    </comment>
    <comment ref="R60" authorId="0">
      <text>
        <r>
          <rPr>
            <sz val="8"/>
            <rFont val="Tahoma"/>
            <family val="2"/>
          </rPr>
          <t>Each site would have a master teacher and a teacher assistant.</t>
        </r>
        <r>
          <rPr>
            <sz val="8"/>
            <rFont val="Tahoma"/>
            <family val="0"/>
          </rPr>
          <t xml:space="preserve">
</t>
        </r>
      </text>
    </comment>
    <comment ref="T60" authorId="0">
      <text>
        <r>
          <rPr>
            <sz val="8"/>
            <rFont val="Tahoma"/>
            <family val="2"/>
          </rPr>
          <t xml:space="preserve">1 master teachers @ $2200/yr + 1 teaching assistants @1400/yr
</t>
        </r>
      </text>
    </comment>
    <comment ref="U60" authorId="0">
      <text>
        <r>
          <rPr>
            <sz val="8"/>
            <rFont val="Tahoma"/>
            <family val="0"/>
          </rPr>
          <t xml:space="preserve">30% wage gain in first year after training with international/national expert.
</t>
        </r>
      </text>
    </comment>
    <comment ref="L61" authorId="0">
      <text>
        <r>
          <rPr>
            <sz val="8"/>
            <rFont val="Tahoma"/>
            <family val="2"/>
          </rPr>
          <t>Dropouts/leavers will earn 10% more</t>
        </r>
        <r>
          <rPr>
            <sz val="8"/>
            <rFont val="Tahoma"/>
            <family val="0"/>
          </rPr>
          <t xml:space="preserve">
</t>
        </r>
      </text>
    </comment>
    <comment ref="H63" authorId="0">
      <text>
        <r>
          <rPr>
            <sz val="8"/>
            <rFont val="Tahoma"/>
            <family val="0"/>
          </rPr>
          <t xml:space="preserve">Assume 50% have no work experience in field and 50% have experience but not with new equipment and techniques.
</t>
        </r>
      </text>
    </comment>
    <comment ref="J63" authorId="0">
      <text>
        <r>
          <rPr>
            <sz val="8"/>
            <rFont val="Tahoma"/>
            <family val="2"/>
          </rPr>
          <t>Assume 30% increase in wages due to training; probably a low estimate, but will suffice until Mongolia provides realistic wage information.</t>
        </r>
      </text>
    </comment>
    <comment ref="L63" authorId="0">
      <text>
        <r>
          <rPr>
            <sz val="8"/>
            <rFont val="Tahoma"/>
            <family val="0"/>
          </rPr>
          <t xml:space="preserve">Dropouts/leavers will earn 10% more
</t>
        </r>
      </text>
    </comment>
    <comment ref="R63" authorId="0">
      <text>
        <r>
          <rPr>
            <sz val="8"/>
            <rFont val="Tahoma"/>
            <family val="0"/>
          </rPr>
          <t xml:space="preserve">1 master teacher + 1 teaching assistant
</t>
        </r>
      </text>
    </comment>
    <comment ref="T63" authorId="0">
      <text>
        <r>
          <rPr>
            <b/>
            <sz val="8"/>
            <rFont val="Tahoma"/>
            <family val="0"/>
          </rPr>
          <t>1 master teacher @ $2200/yr and 1 teaching assistant @$1500/yr.</t>
        </r>
        <r>
          <rPr>
            <sz val="8"/>
            <rFont val="Tahoma"/>
            <family val="0"/>
          </rPr>
          <t xml:space="preserve">
</t>
        </r>
      </text>
    </comment>
    <comment ref="U63" authorId="0">
      <text>
        <r>
          <rPr>
            <sz val="8"/>
            <rFont val="Tahoma"/>
            <family val="2"/>
          </rPr>
          <t>30% wage increase after one year with international expert.</t>
        </r>
        <r>
          <rPr>
            <sz val="8"/>
            <rFont val="Tahoma"/>
            <family val="0"/>
          </rPr>
          <t xml:space="preserve">
</t>
        </r>
      </text>
    </comment>
    <comment ref="H64" authorId="0">
      <text>
        <r>
          <rPr>
            <sz val="8"/>
            <rFont val="Tahoma"/>
            <family val="0"/>
          </rPr>
          <t xml:space="preserve">Assume 50% have no work experience in field and 50% have experience but not with new equipment and techniques.
</t>
        </r>
      </text>
    </comment>
    <comment ref="J64" authorId="0">
      <text>
        <r>
          <rPr>
            <sz val="8"/>
            <rFont val="Tahoma"/>
            <family val="2"/>
          </rPr>
          <t>Assume 30% increase in wages due to training; probably a low estimate, but will suffice until Mongolia provides realistic wage information.</t>
        </r>
      </text>
    </comment>
    <comment ref="L64" authorId="0">
      <text>
        <r>
          <rPr>
            <sz val="8"/>
            <rFont val="Tahoma"/>
            <family val="0"/>
          </rPr>
          <t xml:space="preserve">Dropouts/leavers will earn 10% more
</t>
        </r>
      </text>
    </comment>
    <comment ref="R64" authorId="0">
      <text>
        <r>
          <rPr>
            <sz val="8"/>
            <rFont val="Tahoma"/>
            <family val="0"/>
          </rPr>
          <t xml:space="preserve">1 master teacher + 1 teaching assistant
</t>
        </r>
      </text>
    </comment>
    <comment ref="T64" authorId="0">
      <text>
        <r>
          <rPr>
            <b/>
            <sz val="8"/>
            <rFont val="Tahoma"/>
            <family val="0"/>
          </rPr>
          <t>1 master teacher @ $2200/yr and 1 teaching assistant @$1500/yr.</t>
        </r>
        <r>
          <rPr>
            <sz val="8"/>
            <rFont val="Tahoma"/>
            <family val="0"/>
          </rPr>
          <t xml:space="preserve">
</t>
        </r>
      </text>
    </comment>
    <comment ref="U64" authorId="0">
      <text>
        <r>
          <rPr>
            <sz val="8"/>
            <rFont val="Tahoma"/>
            <family val="2"/>
          </rPr>
          <t>30% wage increase after one year with international expert.</t>
        </r>
        <r>
          <rPr>
            <sz val="8"/>
            <rFont val="Tahoma"/>
            <family val="0"/>
          </rPr>
          <t xml:space="preserve">
</t>
        </r>
      </text>
    </comment>
    <comment ref="H65" authorId="0">
      <text>
        <r>
          <rPr>
            <sz val="8"/>
            <rFont val="Tahoma"/>
            <family val="0"/>
          </rPr>
          <t xml:space="preserve">Assume 50% have no work experience in field and 50% have experience but not with new equipment and techniques.
</t>
        </r>
      </text>
    </comment>
    <comment ref="J65" authorId="0">
      <text>
        <r>
          <rPr>
            <sz val="8"/>
            <rFont val="Tahoma"/>
            <family val="2"/>
          </rPr>
          <t>Assume 30% increase in wages due to training; probably a low estimate, but will suffice until Mongolia provides realistic wage information.</t>
        </r>
      </text>
    </comment>
    <comment ref="L65" authorId="0">
      <text>
        <r>
          <rPr>
            <sz val="8"/>
            <rFont val="Tahoma"/>
            <family val="0"/>
          </rPr>
          <t xml:space="preserve">Dropouts/leavers will earn 10% more
</t>
        </r>
      </text>
    </comment>
    <comment ref="R65" authorId="0">
      <text>
        <r>
          <rPr>
            <sz val="8"/>
            <rFont val="Tahoma"/>
            <family val="0"/>
          </rPr>
          <t xml:space="preserve">1 master teacher + 1 teaching assistant
</t>
        </r>
      </text>
    </comment>
    <comment ref="T65" authorId="0">
      <text>
        <r>
          <rPr>
            <b/>
            <sz val="8"/>
            <rFont val="Tahoma"/>
            <family val="0"/>
          </rPr>
          <t>1 master teacher @ $2200/yr and 1 teaching assistant @$1500/yr.</t>
        </r>
        <r>
          <rPr>
            <sz val="8"/>
            <rFont val="Tahoma"/>
            <family val="0"/>
          </rPr>
          <t xml:space="preserve">
</t>
        </r>
      </text>
    </comment>
    <comment ref="U65" authorId="0">
      <text>
        <r>
          <rPr>
            <sz val="8"/>
            <rFont val="Tahoma"/>
            <family val="2"/>
          </rPr>
          <t>30% wage increase after one year with international expert.</t>
        </r>
        <r>
          <rPr>
            <sz val="8"/>
            <rFont val="Tahoma"/>
            <family val="0"/>
          </rPr>
          <t xml:space="preserve">
</t>
        </r>
      </text>
    </comment>
    <comment ref="H66" authorId="0">
      <text>
        <r>
          <rPr>
            <sz val="8"/>
            <rFont val="Tahoma"/>
            <family val="0"/>
          </rPr>
          <t xml:space="preserve">Assume 50% have no work experience in field and 50% have experience but not with new equipment and techniques.
</t>
        </r>
      </text>
    </comment>
    <comment ref="J66" authorId="0">
      <text>
        <r>
          <rPr>
            <sz val="8"/>
            <rFont val="Tahoma"/>
            <family val="2"/>
          </rPr>
          <t>Assume 30% increase in wages due to training; probably a low estimate, but will suffice until Mongolia provides realistic wage information.</t>
        </r>
      </text>
    </comment>
    <comment ref="L66" authorId="0">
      <text>
        <r>
          <rPr>
            <sz val="8"/>
            <rFont val="Tahoma"/>
            <family val="0"/>
          </rPr>
          <t xml:space="preserve">Dropouts/leavers will earn 10% more
</t>
        </r>
      </text>
    </comment>
    <comment ref="R66" authorId="0">
      <text>
        <r>
          <rPr>
            <sz val="8"/>
            <rFont val="Tahoma"/>
            <family val="0"/>
          </rPr>
          <t xml:space="preserve">2 master teachers + 2 teaching assistants
</t>
        </r>
      </text>
    </comment>
    <comment ref="T66" authorId="0">
      <text>
        <r>
          <rPr>
            <b/>
            <sz val="8"/>
            <rFont val="Tahoma"/>
            <family val="0"/>
          </rPr>
          <t>2 master teachers @$2400 and 2 teaching assistants @ $1500/yr.</t>
        </r>
        <r>
          <rPr>
            <sz val="8"/>
            <rFont val="Tahoma"/>
            <family val="0"/>
          </rPr>
          <t xml:space="preserve">
</t>
        </r>
      </text>
    </comment>
    <comment ref="U66" authorId="0">
      <text>
        <r>
          <rPr>
            <sz val="8"/>
            <rFont val="Tahoma"/>
            <family val="2"/>
          </rPr>
          <t>30% wage increase after one year with international expert.</t>
        </r>
        <r>
          <rPr>
            <sz val="8"/>
            <rFont val="Tahoma"/>
            <family val="0"/>
          </rPr>
          <t xml:space="preserve">
</t>
        </r>
      </text>
    </comment>
    <comment ref="H67" authorId="0">
      <text>
        <r>
          <rPr>
            <sz val="8"/>
            <rFont val="Tahoma"/>
            <family val="0"/>
          </rPr>
          <t xml:space="preserve">Assume 50% have no work experience in field and 50% have experience but not with new equipment and techniques.
</t>
        </r>
      </text>
    </comment>
    <comment ref="J67" authorId="0">
      <text>
        <r>
          <rPr>
            <sz val="8"/>
            <rFont val="Tahoma"/>
            <family val="2"/>
          </rPr>
          <t>Assume 30% increase in wages due to training; probably a low estimate, but will suffice until Mongolia provides realistic wage information.</t>
        </r>
      </text>
    </comment>
    <comment ref="L67" authorId="0">
      <text>
        <r>
          <rPr>
            <sz val="8"/>
            <rFont val="Tahoma"/>
            <family val="0"/>
          </rPr>
          <t xml:space="preserve">Dropouts/leavers will earn 10% more
</t>
        </r>
      </text>
    </comment>
    <comment ref="R67" authorId="0">
      <text>
        <r>
          <rPr>
            <sz val="8"/>
            <rFont val="Tahoma"/>
            <family val="0"/>
          </rPr>
          <t xml:space="preserve">1 master teacher + 1 teaching assistant
</t>
        </r>
      </text>
    </comment>
    <comment ref="T67" authorId="0">
      <text>
        <r>
          <rPr>
            <b/>
            <sz val="8"/>
            <rFont val="Tahoma"/>
            <family val="0"/>
          </rPr>
          <t>1 master teacher @ $2200/yr and 1 teaching assistant @$1500/yr.</t>
        </r>
        <r>
          <rPr>
            <sz val="8"/>
            <rFont val="Tahoma"/>
            <family val="0"/>
          </rPr>
          <t xml:space="preserve">
</t>
        </r>
      </text>
    </comment>
    <comment ref="U67" authorId="0">
      <text>
        <r>
          <rPr>
            <sz val="8"/>
            <rFont val="Tahoma"/>
            <family val="2"/>
          </rPr>
          <t>30% wage increase after one year with international expert.</t>
        </r>
        <r>
          <rPr>
            <sz val="8"/>
            <rFont val="Tahoma"/>
            <family val="0"/>
          </rPr>
          <t xml:space="preserve">
</t>
        </r>
      </text>
    </comment>
    <comment ref="H68" authorId="0">
      <text>
        <r>
          <rPr>
            <sz val="8"/>
            <rFont val="Tahoma"/>
            <family val="0"/>
          </rPr>
          <t xml:space="preserve">Assume 50% have no work experience in field and 50% have experience but not with new equipment and techniques.
</t>
        </r>
      </text>
    </comment>
    <comment ref="J68" authorId="0">
      <text>
        <r>
          <rPr>
            <sz val="8"/>
            <rFont val="Tahoma"/>
            <family val="2"/>
          </rPr>
          <t>Assume 30% increase in wages due to training; probably a low estimate, but will suffice until Mongolia provides realistic wage information.</t>
        </r>
      </text>
    </comment>
    <comment ref="L68" authorId="0">
      <text>
        <r>
          <rPr>
            <sz val="8"/>
            <rFont val="Tahoma"/>
            <family val="0"/>
          </rPr>
          <t xml:space="preserve">Dropouts/leavers will earn 10% more
</t>
        </r>
      </text>
    </comment>
    <comment ref="R68" authorId="0">
      <text>
        <r>
          <rPr>
            <sz val="8"/>
            <rFont val="Tahoma"/>
            <family val="0"/>
          </rPr>
          <t xml:space="preserve">1 master teacher + 1 teaching assistant
</t>
        </r>
      </text>
    </comment>
    <comment ref="T68" authorId="0">
      <text>
        <r>
          <rPr>
            <b/>
            <sz val="8"/>
            <rFont val="Tahoma"/>
            <family val="0"/>
          </rPr>
          <t>1 master teacher @ $2200/yr and 1 teaching assistant @$1500/yr.</t>
        </r>
        <r>
          <rPr>
            <sz val="8"/>
            <rFont val="Tahoma"/>
            <family val="0"/>
          </rPr>
          <t xml:space="preserve">
</t>
        </r>
      </text>
    </comment>
    <comment ref="U68" authorId="0">
      <text>
        <r>
          <rPr>
            <sz val="8"/>
            <rFont val="Tahoma"/>
            <family val="2"/>
          </rPr>
          <t>30% wage increase after one year with international expert.</t>
        </r>
        <r>
          <rPr>
            <sz val="8"/>
            <rFont val="Tahoma"/>
            <family val="0"/>
          </rPr>
          <t xml:space="preserve">
</t>
        </r>
      </text>
    </comment>
    <comment ref="H69" authorId="0">
      <text>
        <r>
          <rPr>
            <sz val="8"/>
            <rFont val="Tahoma"/>
            <family val="0"/>
          </rPr>
          <t xml:space="preserve">Assume 50% have no work experience in field and 50% have experience but not with new equipment and techniques.
</t>
        </r>
      </text>
    </comment>
    <comment ref="J69" authorId="0">
      <text>
        <r>
          <rPr>
            <sz val="8"/>
            <rFont val="Tahoma"/>
            <family val="2"/>
          </rPr>
          <t>Assume 30% increase in wages due to training; probably a low estimate, but will suffice until Mongolia provides realistic wage information.</t>
        </r>
      </text>
    </comment>
    <comment ref="L69" authorId="0">
      <text>
        <r>
          <rPr>
            <sz val="8"/>
            <rFont val="Tahoma"/>
            <family val="0"/>
          </rPr>
          <t xml:space="preserve">Dropouts/leavers will earn 10% more
</t>
        </r>
      </text>
    </comment>
    <comment ref="R69" authorId="0">
      <text>
        <r>
          <rPr>
            <sz val="8"/>
            <rFont val="Tahoma"/>
            <family val="0"/>
          </rPr>
          <t xml:space="preserve">1 master teacher + 1 teaching assistant
</t>
        </r>
      </text>
    </comment>
    <comment ref="T69" authorId="0">
      <text>
        <r>
          <rPr>
            <b/>
            <sz val="8"/>
            <rFont val="Tahoma"/>
            <family val="0"/>
          </rPr>
          <t>1 master teacher @ $2200/yr and 1 teaching assistant @$1500/yr.</t>
        </r>
        <r>
          <rPr>
            <sz val="8"/>
            <rFont val="Tahoma"/>
            <family val="0"/>
          </rPr>
          <t xml:space="preserve">
</t>
        </r>
      </text>
    </comment>
    <comment ref="U69" authorId="0">
      <text>
        <r>
          <rPr>
            <sz val="8"/>
            <rFont val="Tahoma"/>
            <family val="2"/>
          </rPr>
          <t>30% wage increase after one year with international expert.</t>
        </r>
        <r>
          <rPr>
            <sz val="8"/>
            <rFont val="Tahoma"/>
            <family val="0"/>
          </rPr>
          <t xml:space="preserve">
</t>
        </r>
      </text>
    </comment>
    <comment ref="H70" authorId="0">
      <text>
        <r>
          <rPr>
            <sz val="8"/>
            <rFont val="Tahoma"/>
            <family val="0"/>
          </rPr>
          <t xml:space="preserve">Assume 30% have no work experience in field and 70% have experience but not with new equipment and techniques.
</t>
        </r>
      </text>
    </comment>
    <comment ref="J70" authorId="0">
      <text>
        <r>
          <rPr>
            <sz val="8"/>
            <rFont val="Tahoma"/>
            <family val="2"/>
          </rPr>
          <t>Assume 30% increase in wages due to training; probably a low estimate, but will suffice until Mongolia provides realistic wage information.</t>
        </r>
      </text>
    </comment>
    <comment ref="L70" authorId="0">
      <text>
        <r>
          <rPr>
            <sz val="8"/>
            <rFont val="Tahoma"/>
            <family val="0"/>
          </rPr>
          <t xml:space="preserve">Dropouts/leavers will earn 10% more
</t>
        </r>
      </text>
    </comment>
    <comment ref="R70" authorId="0">
      <text>
        <r>
          <rPr>
            <sz val="8"/>
            <rFont val="Tahoma"/>
            <family val="0"/>
          </rPr>
          <t xml:space="preserve">1 master teacher + 1 teaching assistant
</t>
        </r>
      </text>
    </comment>
    <comment ref="T70" authorId="0">
      <text>
        <r>
          <rPr>
            <b/>
            <sz val="8"/>
            <rFont val="Tahoma"/>
            <family val="0"/>
          </rPr>
          <t>1 master teacher @ $2200/yr and 1 teaching assistant @$1500/yr.</t>
        </r>
        <r>
          <rPr>
            <sz val="8"/>
            <rFont val="Tahoma"/>
            <family val="0"/>
          </rPr>
          <t xml:space="preserve">
</t>
        </r>
      </text>
    </comment>
    <comment ref="U70" authorId="0">
      <text>
        <r>
          <rPr>
            <sz val="8"/>
            <rFont val="Tahoma"/>
            <family val="2"/>
          </rPr>
          <t>30% wage increase after one year with international expert.</t>
        </r>
        <r>
          <rPr>
            <sz val="8"/>
            <rFont val="Tahoma"/>
            <family val="0"/>
          </rPr>
          <t xml:space="preserve">
</t>
        </r>
      </text>
    </comment>
    <comment ref="H71" authorId="0">
      <text>
        <r>
          <rPr>
            <sz val="8"/>
            <rFont val="Tahoma"/>
            <family val="0"/>
          </rPr>
          <t xml:space="preserve">Assume 50% have no work experience in field and 50% have experience but not with new equipment and techniques.
</t>
        </r>
      </text>
    </comment>
    <comment ref="J71" authorId="0">
      <text>
        <r>
          <rPr>
            <sz val="8"/>
            <rFont val="Tahoma"/>
            <family val="2"/>
          </rPr>
          <t>Assume 30% increase in wages due to training; probably a low estimate, but will suffice until Mongolia provides realistic wage information.</t>
        </r>
      </text>
    </comment>
  </commentList>
</comments>
</file>

<file path=xl/comments5.xml><?xml version="1.0" encoding="utf-8"?>
<comments xmlns="http://schemas.openxmlformats.org/spreadsheetml/2006/main">
  <authors>
    <author>MCC</author>
    <author>Steve Anderson</author>
  </authors>
  <commentList>
    <comment ref="B43" authorId="0">
      <text>
        <r>
          <rPr>
            <b/>
            <sz val="8"/>
            <rFont val="Tahoma"/>
            <family val="0"/>
          </rPr>
          <t>MCC:</t>
        </r>
        <r>
          <rPr>
            <sz val="8"/>
            <rFont val="Tahoma"/>
            <family val="0"/>
          </rPr>
          <t xml:space="preserve">
Those who will graduate from voc ed under the MCC program, but wouldn't otherwise.</t>
        </r>
      </text>
    </comment>
    <comment ref="B3" authorId="1">
      <text>
        <r>
          <rPr>
            <sz val="8"/>
            <rFont val="Tahoma"/>
            <family val="0"/>
          </rPr>
          <t>Source for 2007-11:
IMF Article IV Consultation (Jan. 2007), p. 27 (Table 6: MTMF 2003-11).
Source for 2012 onward:
MCC assumptions.</t>
        </r>
      </text>
    </comment>
    <comment ref="J86" authorId="0">
      <text>
        <r>
          <rPr>
            <b/>
            <sz val="8"/>
            <rFont val="Tahoma"/>
            <family val="0"/>
          </rPr>
          <t>MCC:</t>
        </r>
        <r>
          <rPr>
            <sz val="8"/>
            <rFont val="Tahoma"/>
            <family val="0"/>
          </rPr>
          <t xml:space="preserve">
Assumption is that since these grads were not employed in first year, they represent those that the market was less interested in, presumably because they had not effectively absorbed the improved curriculum.  Therefore, they receive the same wage as they would in the counterfactual.</t>
        </r>
      </text>
    </comment>
  </commentList>
</comments>
</file>

<file path=xl/comments6.xml><?xml version="1.0" encoding="utf-8"?>
<comments xmlns="http://schemas.openxmlformats.org/spreadsheetml/2006/main">
  <authors>
    <author>MCC</author>
  </authors>
  <commentList>
    <comment ref="B30" authorId="0">
      <text>
        <r>
          <rPr>
            <b/>
            <sz val="8"/>
            <rFont val="Tahoma"/>
            <family val="0"/>
          </rPr>
          <t>MCC:</t>
        </r>
        <r>
          <rPr>
            <sz val="8"/>
            <rFont val="Tahoma"/>
            <family val="0"/>
          </rPr>
          <t xml:space="preserve">
Program is 2.5 years.  To account for this, half the graduates from 3 years ahead are assumed to forgone wages.</t>
        </r>
      </text>
    </comment>
  </commentList>
</comments>
</file>

<file path=xl/comments9.xml><?xml version="1.0" encoding="utf-8"?>
<comments xmlns="http://schemas.openxmlformats.org/spreadsheetml/2006/main">
  <authors>
    <author>MCC</author>
  </authors>
  <commentList>
    <comment ref="D20" authorId="0">
      <text>
        <r>
          <rPr>
            <b/>
            <sz val="8"/>
            <rFont val="Tahoma"/>
            <family val="0"/>
          </rPr>
          <t>MCC:</t>
        </r>
        <r>
          <rPr>
            <sz val="8"/>
            <rFont val="Tahoma"/>
            <family val="0"/>
          </rPr>
          <t xml:space="preserve">
Assumption that non-technical graduates are able to improve the average salary from the 50th to the 60th percentile of the distribution.  The scale of this shift is plausible as it brings the average of the bottom earners  in line with the average of their non voc ed peers. </t>
        </r>
      </text>
    </comment>
    <comment ref="F20" authorId="0">
      <text>
        <r>
          <rPr>
            <b/>
            <sz val="8"/>
            <rFont val="Tahoma"/>
            <family val="0"/>
          </rPr>
          <t>MCC:</t>
        </r>
        <r>
          <rPr>
            <sz val="8"/>
            <rFont val="Tahoma"/>
            <family val="0"/>
          </rPr>
          <t xml:space="preserve">
Based on discussions with MCA-Mongolia Voc Ed Working Group</t>
        </r>
      </text>
    </comment>
    <comment ref="D14" authorId="0">
      <text>
        <r>
          <rPr>
            <b/>
            <sz val="8"/>
            <rFont val="Tahoma"/>
            <family val="0"/>
          </rPr>
          <t>MCC:</t>
        </r>
        <r>
          <rPr>
            <sz val="8"/>
            <rFont val="Tahoma"/>
            <family val="0"/>
          </rPr>
          <t xml:space="preserve">
Aug. 2006 voluntary survey of 130 employers primarily in Ulaanbaatar. Not a scientific sample.  Comes to 73% increase [from unskilled wage], but realistic given the demand for individuals trained on modern equipment.
</t>
        </r>
      </text>
    </comment>
    <comment ref="D15" authorId="0">
      <text>
        <r>
          <rPr>
            <b/>
            <sz val="8"/>
            <rFont val="Tahoma"/>
            <family val="0"/>
          </rPr>
          <t>MCC:</t>
        </r>
        <r>
          <rPr>
            <sz val="8"/>
            <rFont val="Tahoma"/>
            <family val="0"/>
          </rPr>
          <t xml:space="preserve">
Assume 30% increase in wages [from unskilled wage].</t>
        </r>
      </text>
    </comment>
    <comment ref="D16" authorId="0">
      <text>
        <r>
          <rPr>
            <b/>
            <sz val="8"/>
            <rFont val="Tahoma"/>
            <family val="0"/>
          </rPr>
          <t>MCC:</t>
        </r>
        <r>
          <rPr>
            <sz val="8"/>
            <rFont val="Tahoma"/>
            <family val="0"/>
          </rPr>
          <t xml:space="preserve">
2/3rds of average of incomes from informal survey of Energy Training Center provided by Voc Ed Working Group (WG).  The (WG) reports that Energy Training Center produces top caliber graduates (assumption is that this is the standard to be produced under project).  Incomes reported in this survey may overstate the results to be achieved by this project because ETC is urban.  To compensate, this figure is reduced by one third. </t>
        </r>
      </text>
    </comment>
    <comment ref="D17" authorId="0">
      <text>
        <r>
          <rPr>
            <b/>
            <sz val="8"/>
            <rFont val="Tahoma"/>
            <family val="0"/>
          </rPr>
          <t>MCC:</t>
        </r>
        <r>
          <rPr>
            <sz val="8"/>
            <rFont val="Tahoma"/>
            <family val="0"/>
          </rPr>
          <t xml:space="preserve">
Assume 30% increase in wages [from unskilled wage]. </t>
        </r>
      </text>
    </comment>
    <comment ref="D18" authorId="0">
      <text>
        <r>
          <rPr>
            <b/>
            <sz val="8"/>
            <rFont val="Tahoma"/>
            <family val="0"/>
          </rPr>
          <t>MCC:</t>
        </r>
        <r>
          <rPr>
            <sz val="8"/>
            <rFont val="Tahoma"/>
            <family val="0"/>
          </rPr>
          <t xml:space="preserve">
Estimate provided by Director of Training from Boroo Gold Co. who checked with mining colleagues in Mongolia.  Assume 40% of students already will have had some experience in the occupation.</t>
        </r>
      </text>
    </comment>
    <comment ref="D19" authorId="0">
      <text>
        <r>
          <rPr>
            <b/>
            <sz val="8"/>
            <rFont val="Tahoma"/>
            <family val="0"/>
          </rPr>
          <t>MCC:</t>
        </r>
        <r>
          <rPr>
            <sz val="8"/>
            <rFont val="Tahoma"/>
            <family val="0"/>
          </rPr>
          <t xml:space="preserve">
Vocational schools supply only 2.4% of ICT workers, but there is widespread belief that certified grads in field will earn good wages because of high demand.  MIDAS/MONITA NGO indicated only 28% of ICT job applicants were hired. </t>
        </r>
      </text>
    </comment>
  </commentList>
</comments>
</file>

<file path=xl/sharedStrings.xml><?xml version="1.0" encoding="utf-8"?>
<sst xmlns="http://schemas.openxmlformats.org/spreadsheetml/2006/main" count="1180" uniqueCount="591">
  <si>
    <t>ERR Summary</t>
  </si>
  <si>
    <t>The worksheet provides an annual aggregate of costs and benefits, as well as an annual net benefit calculation, over the 20-year horizon of the project</t>
  </si>
  <si>
    <t>Benefit-Graduate Income</t>
  </si>
  <si>
    <t>This worksheet calculates the incremental income to graduates of affected vocational education institutions due to the MCC project.  The worksheet also includes a list of key inputs, with relevant data cited and notable assumptions highlighted.</t>
  </si>
  <si>
    <t>Cost</t>
  </si>
  <si>
    <t>Vocational Education Project</t>
  </si>
  <si>
    <t>Incremental graduates ("MCC schools)</t>
  </si>
  <si>
    <t>Incremental graduates (other voc ed)</t>
  </si>
  <si>
    <t>This sheet outlines the annual cost elements, including program and administration costs, as well as recurrent expenditures by the Government of Mongolia on additional vocational students and the foregone wages of these students.</t>
  </si>
  <si>
    <t>Salaries</t>
  </si>
  <si>
    <t>This worksheet offers the basic results of a vocational schools' graduates survey conducted by the MCA-Mongolia Vocational Education working group.  The primary interest is on estimating the salaries for different graduate characteristics</t>
  </si>
  <si>
    <t>In technology fields (construction, manufacturing, etc.), graduates with the project will be competitive with the "international standard."  (Voc ED Working Group)</t>
  </si>
  <si>
    <t>This sheet offers supporting justification for the key parameter describing the incremental wages earned by voc. ed. graduates due to the MCC project</t>
  </si>
  <si>
    <t>Additional Wage Estimates</t>
  </si>
  <si>
    <t>This detailed worksheet is primarily used as a source of additional wage estimates with the MCC project to derive the wage increment earned by graduates relative to the without project scenario</t>
  </si>
  <si>
    <t>Govt Expenditure</t>
  </si>
  <si>
    <t>Notes</t>
  </si>
  <si>
    <t>This sheet provides additional breakdown of graduates by vocational institution over a five-year interval</t>
  </si>
  <si>
    <t>This sheet calculates the average expenditure by the Government of Mongolia per vocational education graduate</t>
  </si>
  <si>
    <t>This sheet highlights some additional graduate characteristics for institutions targeted for MCC assistance.</t>
  </si>
  <si>
    <t>0 - 18.6%</t>
  </si>
  <si>
    <t>0 - 12%</t>
  </si>
  <si>
    <t>Incremental income of graduates</t>
  </si>
  <si>
    <t>Counterfactual</t>
  </si>
  <si>
    <t>With MCC Program</t>
  </si>
  <si>
    <t>Average wage ($)</t>
  </si>
  <si>
    <t>Total new graduate wage (1000 $)</t>
  </si>
  <si>
    <t>Grand total wages (1000 $)</t>
  </si>
  <si>
    <t>TOTAL</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</si>
  <si>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</si>
  <si>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</si>
  <si>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</si>
  <si>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</si>
  <si>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</si>
  <si>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</si>
  <si>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</si>
  <si>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</si>
  <si>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</si>
  <si>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</si>
  <si>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</si>
  <si>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</si>
  <si>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</si>
  <si>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</si>
  <si>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</si>
  <si>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</si>
  <si>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</si>
  <si>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</si>
  <si>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</si>
  <si>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</si>
  <si>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TOTAL Benefits</t>
  </si>
  <si>
    <t>TOTAL Costs</t>
  </si>
  <si>
    <t>Net Benefits</t>
  </si>
  <si>
    <t>20-year ERR</t>
  </si>
  <si>
    <t>10-year ERR</t>
  </si>
  <si>
    <t>Mongolia Voc Ed Cost-Benefit Analysis Summary</t>
  </si>
  <si>
    <t>15-year ERR</t>
  </si>
  <si>
    <t>Incremental Recurrent Cost</t>
  </si>
  <si>
    <t>Uvs, Ulaangom College</t>
  </si>
  <si>
    <t>Uvurkhangai, ShUTIS'iin khariya Technical School</t>
  </si>
  <si>
    <t>Dornogovi, MSUT</t>
  </si>
  <si>
    <t>Dornod, TTShSS</t>
  </si>
  <si>
    <t>Darkhan, Urgoo</t>
  </si>
  <si>
    <t>Nalaikh, MSUT</t>
  </si>
  <si>
    <t>Mongolian-Korean College</t>
  </si>
  <si>
    <t>Orkhon, MSUT</t>
  </si>
  <si>
    <t>Technical and technological multi-step school, Choilbalsan City, Dornod aimag (eastern region)</t>
  </si>
  <si>
    <t>Technical school, Arvaaheer City, Uvurkhangai aimag (Khangai region)</t>
  </si>
  <si>
    <t>Sainashand City VTPC, Dornogovi aimag (Gobi region)</t>
  </si>
  <si>
    <t>Vocational School Orkhon City (Erdenet )</t>
  </si>
  <si>
    <t>Graduates</t>
  </si>
  <si>
    <t>Ulaangom College, Uvs</t>
  </si>
  <si>
    <t>Technological School of Uvurkhangai</t>
  </si>
  <si>
    <t>Vocational Training Production Center, Dornogovi</t>
  </si>
  <si>
    <t>Technical and Technological School of Dornod</t>
  </si>
  <si>
    <t>Darkhan Urgoo School</t>
  </si>
  <si>
    <t>Technical School of Nalaikh District</t>
  </si>
  <si>
    <t>Vocational Training Production Center of Orkhon</t>
  </si>
  <si>
    <t>Total in Selected Sites</t>
  </si>
  <si>
    <t>Total in Voc Ed (34 schools)*</t>
  </si>
  <si>
    <t>Female Graduates</t>
  </si>
  <si>
    <t>Female Graduates (% of Graduates)</t>
  </si>
  <si>
    <t>*Data not available for Technic and Technology College for first two years, missing data for TIS, Technology School in Orkhon, and Altai regional school in 2003-2004.</t>
  </si>
  <si>
    <t>Correction for Missing Schools</t>
  </si>
  <si>
    <t>Median graduates</t>
  </si>
  <si>
    <t>Number of missing school</t>
  </si>
  <si>
    <t>Estimated students not counted</t>
  </si>
  <si>
    <t>Recorded graduates</t>
  </si>
  <si>
    <t>Corrected graduates</t>
  </si>
  <si>
    <t>Annual % change</t>
  </si>
  <si>
    <t>Ulaangom College</t>
  </si>
  <si>
    <t>Construction college</t>
  </si>
  <si>
    <t>Nalaikh's VTPC</t>
  </si>
  <si>
    <t>Darkhan-Urguu College</t>
  </si>
  <si>
    <t>Dornod's VTPC</t>
  </si>
  <si>
    <t>Graduation year</t>
  </si>
  <si>
    <t>Uvurkhangai's VTC</t>
  </si>
  <si>
    <t>College name</t>
  </si>
  <si>
    <t>Radjiv Gandi Art college</t>
  </si>
  <si>
    <t>Dornogovi VTC</t>
  </si>
  <si>
    <t xml:space="preserve"> employment / %</t>
  </si>
  <si>
    <t>Food technology college</t>
  </si>
  <si>
    <t>average salary in $ USD</t>
  </si>
  <si>
    <t>135$</t>
  </si>
  <si>
    <t>170 $</t>
  </si>
  <si>
    <t>70 $</t>
  </si>
  <si>
    <t xml:space="preserve">230 $ </t>
  </si>
  <si>
    <t>160$</t>
  </si>
  <si>
    <t>120$</t>
  </si>
  <si>
    <t>110$</t>
  </si>
  <si>
    <t>220$</t>
  </si>
  <si>
    <t>Mongolian-Korean college</t>
  </si>
  <si>
    <t>Low</t>
  </si>
  <si>
    <t>High</t>
  </si>
  <si>
    <t>Median</t>
  </si>
  <si>
    <t>Average</t>
  </si>
  <si>
    <t>Min</t>
  </si>
  <si>
    <t>Max</t>
  </si>
  <si>
    <t>Stdev</t>
  </si>
  <si>
    <t>Before 97</t>
  </si>
  <si>
    <t>.</t>
  </si>
  <si>
    <t>Number (n)</t>
  </si>
  <si>
    <t>Years of Experience</t>
  </si>
  <si>
    <t>ALL YEARS</t>
  </si>
  <si>
    <t>ALL SCHOOLS</t>
  </si>
  <si>
    <t>Regression Statistics</t>
  </si>
  <si>
    <t>Multiple R</t>
  </si>
  <si>
    <t>R Square</t>
  </si>
  <si>
    <t>Adjusted R Square</t>
  </si>
  <si>
    <t>Standard Error</t>
  </si>
  <si>
    <t>Observations</t>
  </si>
  <si>
    <t>Intercept</t>
  </si>
  <si>
    <t>Coefficients</t>
  </si>
  <si>
    <t>t Stat</t>
  </si>
  <si>
    <t>P-value</t>
  </si>
  <si>
    <t>Lower 95%</t>
  </si>
  <si>
    <t>Upper 95%</t>
  </si>
  <si>
    <t>Lower 95.0%</t>
  </si>
  <si>
    <t>Upper 95.0%</t>
  </si>
  <si>
    <t>Monthly Salary in Mng Tugrik</t>
  </si>
  <si>
    <t>Monthly Salary by School</t>
  </si>
  <si>
    <t>Monthly Salary by Year of Graduation</t>
  </si>
  <si>
    <t>Ulaangom College is "left out" variable and thus represents the intercept.  Uvurkhangai's VTC is not included because there is no data for year of graduation.</t>
  </si>
  <si>
    <t>USD</t>
  </si>
  <si>
    <t>Tugrik</t>
  </si>
  <si>
    <t>Peer group w/o voc ed (for comparison)</t>
  </si>
  <si>
    <t>"Potential graduates" (#)</t>
  </si>
  <si>
    <t>Key Inputs</t>
  </si>
  <si>
    <t>Source</t>
  </si>
  <si>
    <t>Enrollment spreadsheet, MCA-Mongolia</t>
  </si>
  <si>
    <t>Graduate Baseline</t>
  </si>
  <si>
    <t>Graduate Growth Rate</t>
  </si>
  <si>
    <t>Graduate growth rate after reaching goal</t>
  </si>
  <si>
    <t>Total graduates in 34 Voc Ed schools, 2005 (#)</t>
  </si>
  <si>
    <t>1 year for reform/curriculum dev, 1 year to implement change, 2 years for students to complete new program = 4 years</t>
  </si>
  <si>
    <t>Variable</t>
  </si>
  <si>
    <t>Value</t>
  </si>
  <si>
    <t>Wage Baseline</t>
  </si>
  <si>
    <t>Salary survey conducted by MCA-Mongolia May 2007</t>
  </si>
  <si>
    <t>Salary w/ no experience</t>
  </si>
  <si>
    <t>Darkhan-Urgoo School</t>
  </si>
  <si>
    <t>Nalaikh VTPC (outer district of Ulaanbaatar)</t>
  </si>
  <si>
    <t>Regression results</t>
  </si>
  <si>
    <t>Schools MCC is assisting directly (from enrollment sheet)</t>
  </si>
  <si>
    <t>x</t>
  </si>
  <si>
    <t>SUMMARY OUTPUT</t>
  </si>
  <si>
    <t>Total</t>
  </si>
  <si>
    <t>Incremental Capital Cost</t>
  </si>
  <si>
    <t xml:space="preserve">Vocational schools financing </t>
  </si>
  <si>
    <t>/mln tugrik/</t>
  </si>
  <si>
    <t>GDP</t>
  </si>
  <si>
    <t>Educational budget expenditure</t>
  </si>
  <si>
    <t>Vocational Training - Production Centre / VTPC/</t>
  </si>
  <si>
    <t>percentage of VTPC expenditure in education system</t>
  </si>
  <si>
    <t>percentage of educational system expenditure in GDP</t>
  </si>
  <si>
    <t>Percentage of VTPC expenditure in GDP</t>
  </si>
  <si>
    <t>general Government budget revenue</t>
  </si>
  <si>
    <t xml:space="preserve">Percentage of educational system expenditure in general Government budget revenue </t>
  </si>
  <si>
    <t xml:space="preserve">Percentage of VTPC expenditure in general Government budget revenue </t>
  </si>
  <si>
    <t xml:space="preserve">notes:2006 indicators is estimated as outstanding performance. Other expenditures show decrees as GDP for 2006 was estimated at 66,8 % increase.  </t>
  </si>
  <si>
    <t>Indicators</t>
  </si>
  <si>
    <t xml:space="preserve">Educational budget expenditure </t>
  </si>
  <si>
    <t>Education sector salary</t>
  </si>
  <si>
    <t xml:space="preserve">Percentage of salary in education sector </t>
  </si>
  <si>
    <t>VTPC salary</t>
  </si>
  <si>
    <t xml:space="preserve">Percentage of VTPC salary in education sector </t>
  </si>
  <si>
    <t>VTPC</t>
  </si>
  <si>
    <t xml:space="preserve">2002  performance </t>
  </si>
  <si>
    <t>2003 performance</t>
  </si>
  <si>
    <t xml:space="preserve">2004performance </t>
  </si>
  <si>
    <t xml:space="preserve">2005 performance </t>
  </si>
  <si>
    <t xml:space="preserve"> 2006 budget revision </t>
  </si>
  <si>
    <t>indices</t>
  </si>
  <si>
    <t>2002estimates</t>
  </si>
  <si>
    <t>2003estimates</t>
  </si>
  <si>
    <t>2004 estimates</t>
  </si>
  <si>
    <t>approved by Parliament 'Óëñûí Èõ Õóðëààð áàòëàãäñàí</t>
  </si>
  <si>
    <t>revised by Parliament</t>
  </si>
  <si>
    <t>Education</t>
  </si>
  <si>
    <t>2002 performance</t>
  </si>
  <si>
    <t>2004 performance</t>
  </si>
  <si>
    <t>2005 performance</t>
  </si>
  <si>
    <t>2006revised budget</t>
  </si>
  <si>
    <t/>
  </si>
  <si>
    <t>2002 estimates</t>
  </si>
  <si>
    <t>2003 estimates</t>
  </si>
  <si>
    <t>approved by parliament</t>
  </si>
  <si>
    <t xml:space="preserve">revised by parliament </t>
  </si>
  <si>
    <r>
      <t xml:space="preserve">VTPC expenditure per </t>
    </r>
    <r>
      <rPr>
        <i/>
        <sz val="10"/>
        <rFont val="Arial Mon"/>
        <family val="0"/>
      </rPr>
      <t xml:space="preserve">graduate </t>
    </r>
    <r>
      <rPr>
        <sz val="10"/>
        <rFont val="Arial Mon"/>
        <family val="0"/>
      </rPr>
      <t>(tugrik)</t>
    </r>
  </si>
  <si>
    <t>Average government expenditure per graduate (2002-2005) (tugrik)</t>
  </si>
  <si>
    <t>Exchange rate (MTN/USD)</t>
  </si>
  <si>
    <t>Average government expenditure per graduate (2002-2005) (USD)</t>
  </si>
  <si>
    <t>Total incremental graduates</t>
  </si>
  <si>
    <t>Incremental government costs (million USD)</t>
  </si>
  <si>
    <t>Total Incremental costs (million USD)</t>
  </si>
  <si>
    <t> Categories of beneficiaries</t>
  </si>
  <si>
    <t>Wage (MNT)</t>
  </si>
  <si>
    <t>Graduates of 8 focus schools</t>
  </si>
  <si>
    <t>Graduates of remainder of voc ed system (34-8=26 schools)</t>
  </si>
  <si>
    <t>Peer group without voc ed</t>
  </si>
  <si>
    <t>na</t>
  </si>
  <si>
    <t>Wage Growth</t>
  </si>
  <si>
    <t>Real GDP growth</t>
  </si>
  <si>
    <t>Entry level wage ($)</t>
  </si>
  <si>
    <t>Annual entry level wage for voc ed graduate 2007 (USD)</t>
  </si>
  <si>
    <t>Annual wage for peer of voc ed grad w/o voc ed</t>
  </si>
  <si>
    <t>Salary survey conducted by MCA-Mongolia May 2007 (regression analysis of results)</t>
  </si>
  <si>
    <t>Value of additional year of experience for non-voc ed(% of wage)</t>
  </si>
  <si>
    <t>Value of additional year of experience for voc ed (% of wage)</t>
  </si>
  <si>
    <t>MCC assumption</t>
  </si>
  <si>
    <t>MCC effect impacting graduates? (1=yes, 2=no)</t>
  </si>
  <si>
    <t>Starting wage difference of graduates from 8 key schools with program compared to without program</t>
  </si>
  <si>
    <t>Starting wage difference of graduates from other schools with program compared to without program</t>
  </si>
  <si>
    <t>Incremental wages (million USD)</t>
  </si>
  <si>
    <t>General</t>
  </si>
  <si>
    <t>Macro Economic</t>
  </si>
  <si>
    <t>http://coinmill.com/USD_calculator.html (15-May-2007)</t>
  </si>
  <si>
    <t>Calculation</t>
  </si>
  <si>
    <t>Per capita growth</t>
  </si>
  <si>
    <t>Government Expenditure</t>
  </si>
  <si>
    <t>Foregone Wages</t>
  </si>
  <si>
    <t>Incremental future graduates currently in school</t>
  </si>
  <si>
    <t>Incremental foregone wages (million USD)</t>
  </si>
  <si>
    <t>aka (from Proposal)</t>
  </si>
  <si>
    <t>aka (from salary survey)</t>
  </si>
  <si>
    <t>Uvurkhangai VTC</t>
  </si>
  <si>
    <r>
      <t>Vocational College, Ulaanbaatar</t>
    </r>
    <r>
      <rPr>
        <vertAlign val="superscript"/>
        <sz val="10"/>
        <color indexed="10"/>
        <rFont val="Arial"/>
        <family val="2"/>
      </rPr>
      <t>2</t>
    </r>
  </si>
  <si>
    <t>Footnote</t>
  </si>
  <si>
    <t>At the time of proposal generic name was used because selection for the UB school was not made</t>
  </si>
  <si>
    <t>Did not submit their salary survey</t>
  </si>
  <si>
    <t>Energy Training Center</t>
  </si>
  <si>
    <t>Energy and Fuel Agency</t>
  </si>
  <si>
    <t>Profession</t>
  </si>
  <si>
    <t>Salary Before Program</t>
  </si>
  <si>
    <t>Salary After Program</t>
  </si>
  <si>
    <t>welder</t>
  </si>
  <si>
    <t>AVERAGE</t>
  </si>
  <si>
    <t>% CHANGE</t>
  </si>
  <si>
    <t>Household Income Before Program</t>
  </si>
  <si>
    <t>Household Income after Program</t>
  </si>
  <si>
    <t>electrician</t>
  </si>
  <si>
    <t>herder</t>
  </si>
  <si>
    <t>Welder</t>
  </si>
  <si>
    <t>Electrician</t>
  </si>
  <si>
    <t>Voc Ed at Large (Assumption w/o program)</t>
  </si>
  <si>
    <t>Voc Ed Public System</t>
  </si>
  <si>
    <t>Voc Ed at Large (Assumption with program)</t>
  </si>
  <si>
    <t>Voc Ed, MCC schools</t>
  </si>
  <si>
    <t>Number of graduates (annually)</t>
  </si>
  <si>
    <t>Technique Technology College</t>
  </si>
  <si>
    <t>UB city</t>
  </si>
  <si>
    <r>
      <t>x</t>
    </r>
    <r>
      <rPr>
        <vertAlign val="superscript"/>
        <sz val="10"/>
        <rFont val="Arial"/>
        <family val="2"/>
      </rPr>
      <t>3</t>
    </r>
  </si>
  <si>
    <t>Graduates (2005)</t>
  </si>
  <si>
    <t>Employed in first year (%, 2006)</t>
  </si>
  <si>
    <t>Employed in first year (#, estimate)</t>
  </si>
  <si>
    <t>Missing Data</t>
  </si>
  <si>
    <t>Employed in first year (%, weighted average)</t>
  </si>
  <si>
    <t>Employment</t>
  </si>
  <si>
    <t>Baseline first year after graduation employment rate, MCC schools</t>
  </si>
  <si>
    <t>Baseline first year after graduation employment rate, non-MCC schools</t>
  </si>
  <si>
    <t>Total new first-year graduate wage (1000 $)</t>
  </si>
  <si>
    <t>Net change in graduates from unemployed to employed (%)</t>
  </si>
  <si>
    <t>Change in graduates from unemployed to employed (#)</t>
  </si>
  <si>
    <t>Cumulative unemployed graduates</t>
  </si>
  <si>
    <t>Annual wage for employed peer of voc ed grad w/o voc ed</t>
  </si>
  <si>
    <t>Average income of unemployed ($)</t>
  </si>
  <si>
    <t>General population employment rate</t>
  </si>
  <si>
    <t>Percentage points increase of employment rate with program, MCC schools</t>
  </si>
  <si>
    <t>Percentage points increase of employment rate with program, non-MCC schools</t>
  </si>
  <si>
    <t>Annual income of unemployed voc ed grad</t>
  </si>
  <si>
    <t>Income of unemployed voc ed graduates</t>
  </si>
  <si>
    <t>Income of those non voc ed grads who would be voc ed grads with the program</t>
  </si>
  <si>
    <t>Percentile</t>
  </si>
  <si>
    <t>Income</t>
  </si>
  <si>
    <t>Income of unemployed (1000 $)</t>
  </si>
  <si>
    <t>Information-Communications Technology (ICT) Occupations</t>
  </si>
  <si>
    <t>Mining Occupations</t>
  </si>
  <si>
    <t>Automotive and Heavy Equipment Repair</t>
  </si>
  <si>
    <t>Manufacturing Occupations</t>
  </si>
  <si>
    <t>Agricultural Occupations</t>
  </si>
  <si>
    <t>Technical Support to Agricultural</t>
  </si>
  <si>
    <t>Construction</t>
  </si>
  <si>
    <t>Manufacturing</t>
  </si>
  <si>
    <t>Mining</t>
  </si>
  <si>
    <t>Information-Communications Technology (ICT)</t>
  </si>
  <si>
    <t>Occupation</t>
  </si>
  <si>
    <t>Non-Technical (cooking, tourism, sewing, etc.)</t>
  </si>
  <si>
    <t>Weighted Avg Incremental Wage of graduates</t>
  </si>
  <si>
    <t>Percent increase in wages (all students)</t>
  </si>
  <si>
    <t>Counterfactual wage of graduates</t>
  </si>
  <si>
    <t>Percent increase in wages (graduates only)</t>
  </si>
  <si>
    <t xml:space="preserve">Industry-Occupation </t>
  </si>
  <si>
    <t>Incremental Wages of Vocational Education Graduates and Dropouts/Program Leavers for 1st Year</t>
  </si>
  <si>
    <t xml:space="preserve">Per Site Number Technical Training Staff </t>
  </si>
  <si>
    <t>All Sites Number  Technical Training Staff</t>
  </si>
  <si>
    <t>Wages to Technical Training Staff</t>
  </si>
  <si>
    <t>Total Annual Wage Benefits Per Training Program  (L+S)</t>
  </si>
  <si>
    <t xml:space="preserve">Number of Sites           B </t>
  </si>
  <si>
    <t>Site Capacity: Number of Students or  Clients/Site   C</t>
  </si>
  <si>
    <t>Site Capacity: Number of Students or  Clients/Site   B*C</t>
  </si>
  <si>
    <t>Total Clients Served/Year     D*O</t>
  </si>
  <si>
    <t>Number of Graduates @70%</t>
  </si>
  <si>
    <t>Number of Dropouts/   Leavers @30%</t>
  </si>
  <si>
    <t>Monthly  Wage Rate Before Training</t>
  </si>
  <si>
    <t>Annual Foregone Wages</t>
  </si>
  <si>
    <t xml:space="preserve"> Monthly Wage Rate Graduates </t>
  </si>
  <si>
    <t>Year 2 Incremental Wages of Graduates  ((H-G)*E)*12</t>
  </si>
  <si>
    <t xml:space="preserve">Monthly Wage Rate Dropouts/   Leavers </t>
  </si>
  <si>
    <t>Year 2 Incremental Wages of Dropouts/  Leavers        (J-G)*F</t>
  </si>
  <si>
    <t>Total Incremental Wages of Students Beginning Year 2 of Project (I+K)</t>
  </si>
  <si>
    <t>Years to Complete Program  M</t>
  </si>
  <si>
    <t>Annual Incremental Wage of Students (L/M)</t>
  </si>
  <si>
    <t>Total VTE Staff Wages Before Training by Expert - 1 Site</t>
  </si>
  <si>
    <t>Total  VTE Staff Wages After Training by Expert - 1 Site</t>
  </si>
  <si>
    <t>Incremental Wages Technical Training Staff at 1 Site- Beginning Year 2 of Project (Q-P)</t>
  </si>
  <si>
    <t>Total Incremental Wages of VTE Staff - All Sites Beginning Year 2 of Project (R*B)</t>
  </si>
  <si>
    <t>Assumptions</t>
  </si>
  <si>
    <t>Workforce Development Centers</t>
  </si>
  <si>
    <t>Career Readiness Program</t>
  </si>
  <si>
    <t>Core Technologies Program</t>
  </si>
  <si>
    <t>Subtotal WDC</t>
  </si>
  <si>
    <t>Construction Occupations</t>
  </si>
  <si>
    <t xml:space="preserve"> Engine repair</t>
  </si>
  <si>
    <t xml:space="preserve"> Welding / all types/</t>
  </si>
  <si>
    <t xml:space="preserve"> Electrician</t>
  </si>
  <si>
    <t xml:space="preserve"> Construction material fabrication &amp; power tools </t>
  </si>
  <si>
    <t xml:space="preserve"> Plumbing and Pipefitting </t>
  </si>
  <si>
    <t>Subtotal Construction Occupations</t>
  </si>
  <si>
    <t>Agriculture</t>
  </si>
  <si>
    <t xml:space="preserve"> Rangeland management specialist </t>
  </si>
  <si>
    <t>Dairy&amp; milk processor / farm management, cow/milk hygiene/</t>
  </si>
  <si>
    <t xml:space="preserve">Extension specialist /demonstration, farm organizer </t>
  </si>
  <si>
    <t xml:space="preserve">Drilling machinist (put with machine occup) </t>
  </si>
  <si>
    <t>elsewhere</t>
  </si>
  <si>
    <t>Irrigation system operator/ repair</t>
  </si>
  <si>
    <t xml:space="preserve">Agriculture equipment repair </t>
  </si>
  <si>
    <t xml:space="preserve">Welding </t>
  </si>
  <si>
    <t>Metal processing machine repair / metal worker/</t>
  </si>
  <si>
    <t xml:space="preserve"> Electrician </t>
  </si>
  <si>
    <t>Subtotal Agricultural Occupations</t>
  </si>
  <si>
    <t>Mfg</t>
  </si>
  <si>
    <t xml:space="preserve"> Welding </t>
  </si>
  <si>
    <t xml:space="preserve"> Heavy equipment  technician</t>
  </si>
  <si>
    <t>mining</t>
  </si>
  <si>
    <t xml:space="preserve"> Mechatronic </t>
  </si>
  <si>
    <t xml:space="preserve"> Electrician/  for automatized industry,         electronic, power supply </t>
  </si>
  <si>
    <t xml:space="preserve"> Textile industry equipment repair </t>
  </si>
  <si>
    <t>Subtotal Manufacturing Occupations</t>
  </si>
  <si>
    <t xml:space="preserve"> Power train, suspension, electrical, diagnosing</t>
  </si>
  <si>
    <t xml:space="preserve"> Body </t>
  </si>
  <si>
    <t>Subtotal Automotive &amp; Heavy Equipment Repair</t>
  </si>
  <si>
    <t xml:space="preserve"> Heavy equipment operator  (Mobile)</t>
  </si>
  <si>
    <t xml:space="preserve"> Heavy Equipment Technician (Heavy Duty Mechanic - Mobile)</t>
  </si>
  <si>
    <t xml:space="preserve"> Industrial electrician /electronic/ </t>
  </si>
  <si>
    <t xml:space="preserve"> Mill operator </t>
  </si>
  <si>
    <t xml:space="preserve"> Millwright / Industrial mechanic </t>
  </si>
  <si>
    <t xml:space="preserve"> Welder/Metal Fabricator (Fitter)</t>
  </si>
  <si>
    <t xml:space="preserve"> Metallurgical technician</t>
  </si>
  <si>
    <t>Subtotal Mining Occupations</t>
  </si>
  <si>
    <t xml:space="preserve">Programmer </t>
  </si>
  <si>
    <t xml:space="preserve">Network administrator </t>
  </si>
  <si>
    <t>PC and Network Technician/Installer</t>
  </si>
  <si>
    <t xml:space="preserve">Database manager </t>
  </si>
  <si>
    <t>Subtotal - ICT Occupations</t>
  </si>
  <si>
    <t>Tourism Occupations</t>
  </si>
  <si>
    <t xml:space="preserve"> General Tour guide </t>
  </si>
  <si>
    <t xml:space="preserve"> Tourist camp manager </t>
  </si>
  <si>
    <t xml:space="preserve"> Cook </t>
  </si>
  <si>
    <t>Subtotal - Tourism Occupations</t>
  </si>
  <si>
    <t>Allied Health Occupations</t>
  </si>
  <si>
    <t xml:space="preserve"> X-ray technician, </t>
  </si>
  <si>
    <t xml:space="preserve">Dental technician/assistant </t>
  </si>
  <si>
    <t>Lab tech</t>
  </si>
  <si>
    <t xml:space="preserve"> Licensed Practical Nurse </t>
  </si>
  <si>
    <t>Emergency Medical Technician</t>
  </si>
  <si>
    <t>Medical equipment repair technicians</t>
  </si>
  <si>
    <t>Hospital support occupations (patient transportation, housekeepers, medical equipment cleaning and storage, janitors)</t>
  </si>
  <si>
    <t>Physician assistants ("feldshers")</t>
  </si>
  <si>
    <t>Subtotal - Health Occupations</t>
  </si>
  <si>
    <t xml:space="preserve">GRAND TOTAL </t>
  </si>
  <si>
    <t>$60 represents zero experience labor</t>
  </si>
  <si>
    <t>$80 represents some experience, but minimal relevance to job</t>
  </si>
  <si>
    <t>Figure used for calculation is simple average, $70/month</t>
  </si>
  <si>
    <t>Additional evidence:  $70/month is essentially on par with national average. The National Statistical Office of Mongolia, Monthly Bulletin of Statistics, February 2007 reported a national monthly household income average of 85,000 tugriks ($72).  Despite significant variance in incomes, given that the geographical distribution of the project sites mirrors the population distribution of the country, the distribution of incomes of populations in project areas should accurately represent the distribution of national incomes and generate a similar average.</t>
  </si>
  <si>
    <t>MCC assumption (half of employed peer group.  The figure is not put at zero as unemployed may find informal employment or non-wage agriculture work)</t>
  </si>
  <si>
    <t>With Project</t>
  </si>
  <si>
    <t>% of Graduates</t>
  </si>
  <si>
    <t>Site Capacity for key occupations (under B. Stern assumptions)</t>
  </si>
  <si>
    <t>Without Project</t>
  </si>
  <si>
    <t>Monthly Wage (Based on Survey Data)</t>
  </si>
  <si>
    <t>Without MCC Program</t>
  </si>
  <si>
    <t>Benefits (2007 Tugriks)</t>
  </si>
  <si>
    <t>Data for Regression Analysis (Years of Experience)</t>
  </si>
  <si>
    <t>Experience corrected wage (assuming experience = 0)</t>
  </si>
  <si>
    <t>Median of experience corrected wage</t>
  </si>
  <si>
    <t>Average of bottom 50% of graduates</t>
  </si>
  <si>
    <t>Average of top 50% of graduates</t>
  </si>
  <si>
    <t>Tugriks</t>
  </si>
  <si>
    <t xml:space="preserve">Technical </t>
  </si>
  <si>
    <t>Non-Technical</t>
  </si>
  <si>
    <t>Wage</t>
  </si>
  <si>
    <t>Average Wage Increment Between Salaries of Voc Ed Graduates w/ and w/o the Project</t>
  </si>
  <si>
    <t>Therefore, an appropriate comparison group would be those currently hired by business (including those hiring on the international market).</t>
  </si>
  <si>
    <t>Justification for Wage Increment</t>
  </si>
  <si>
    <t>These figures could be substantially understated.  It is possible that graduates will use their skills in a foreign market (possibly South Korea) where their earning power would be much greater.</t>
  </si>
  <si>
    <t>Wage Increment</t>
  </si>
  <si>
    <t>Income of initially unemployed voc ed graduates</t>
  </si>
  <si>
    <t>Income of initially unemployed (1000 $)</t>
  </si>
  <si>
    <t>Newly employed but previously unemployed graduates (#)</t>
  </si>
  <si>
    <t>Total newly employed from unemployment wage (1000 $)</t>
  </si>
  <si>
    <t>Income of non voc ed grads (1000 $)</t>
  </si>
  <si>
    <t>% of increment in effect (for wage increment and employment increment)</t>
  </si>
  <si>
    <t>Year MCC effects start benefiting graduates</t>
  </si>
  <si>
    <t>Years to implement all new curriculum (year all occupations graduating students from new program - year first grads compete any new program)</t>
  </si>
  <si>
    <t>Voc ed wages as percent of GDP</t>
  </si>
  <si>
    <t>Voc ed grads as percent of population</t>
  </si>
  <si>
    <t>2007 Voc ed wages as percent of per capita income</t>
  </si>
  <si>
    <t>2027 wp</t>
  </si>
  <si>
    <t>2027 wop</t>
  </si>
  <si>
    <t>GDP (million USD)</t>
  </si>
  <si>
    <t>wages to voc ed grads (million USD)</t>
  </si>
  <si>
    <t>Do projections present a reasonable outcome?</t>
  </si>
  <si>
    <t>If each voc ed grad has 2-3 dependents, this would be reasonable</t>
  </si>
  <si>
    <t>2027 Population (million)</t>
  </si>
  <si>
    <t>2027 Cumulative Voc Ed Grads (million)</t>
  </si>
  <si>
    <t>2007 per capita income (USD)</t>
  </si>
  <si>
    <t>2027 per capita income (USD)</t>
  </si>
  <si>
    <t>(see tab "Wage Increment)</t>
  </si>
  <si>
    <t>Years to reach graduate goal</t>
  </si>
  <si>
    <t>Total graduates in 34 Voc Ed schools, 2007 (#)</t>
  </si>
  <si>
    <t>Calculation assuming same proportion as 2005</t>
  </si>
  <si>
    <t>Percent increase from 2007 of graduates of all Voc Ed schools w/o project, 2012 (%)</t>
  </si>
  <si>
    <t>Additional percent increase from 2007 of graduates of all Voc Ed schools w/ project, 2012 (+%)</t>
  </si>
  <si>
    <t>Percent increase from 2007 of graduates of all Voc Ed schools w/ project, 2012 (%)</t>
  </si>
  <si>
    <t>Figure for those that complete improved program</t>
  </si>
  <si>
    <t>Grand Total Capital Costs</t>
  </si>
  <si>
    <t>MCC assumption (Benefits accruing to target schools will be spread throughout the system through the in-service workshops.  However, due to the slow and indirect nature of this spread, the wage increment is substantially reduced--by 70%--from that accruing to target schools)</t>
  </si>
  <si>
    <t>Annual rate of growth needed to reach graduate goal by 2012 (w/ project)</t>
  </si>
  <si>
    <t>Annual rate of growth needed to reach graduate goal by 2012 (w/o project)</t>
  </si>
  <si>
    <t>Years after Compact completion for counterfactual to catch-up with w/ project graduation rate</t>
  </si>
  <si>
    <t>Graduates w/ project in catch-up year</t>
  </si>
  <si>
    <t>Graduates (#)</t>
  </si>
  <si>
    <t>Employed first-year (%)</t>
  </si>
  <si>
    <t>Employed first-year (#)</t>
  </si>
  <si>
    <t>Income of employed graduates from methodological center schools</t>
  </si>
  <si>
    <t>Income of graduates from methodological center schools (1000 $)</t>
  </si>
  <si>
    <t>Income of employed graduates from non methodological center schools</t>
  </si>
  <si>
    <t>Income of graduates from non methodological center schools (1000 $)</t>
  </si>
  <si>
    <t>New unemployed graduates, methodological centers</t>
  </si>
  <si>
    <t>New unemployed graduates, non methodological centers</t>
  </si>
  <si>
    <t>Graduates of methodological center schools 2005 (#)</t>
  </si>
  <si>
    <t>Graduates in non methodological center schools (#), 2005</t>
  </si>
  <si>
    <t>Graduates of methodological center schools 2007 (#)</t>
  </si>
  <si>
    <t>Graduates in non methodological center schools (#), 2007</t>
  </si>
  <si>
    <t>(used to set target in Annex III.  Ninety percent used to be conservative.)</t>
  </si>
  <si>
    <t>Employed graduates not benefiting (SUPPLEMENTAL CALCULATIONS)</t>
  </si>
  <si>
    <t>Graduate growth rate (%)</t>
  </si>
  <si>
    <t>Reached by end of project (starts taking effect on capacity immediately, so a few more graduates leave in years 1 and 2)</t>
  </si>
  <si>
    <t>Catch-up rate</t>
  </si>
  <si>
    <t>Graduates of all Voc Ed schools wp (2012)</t>
  </si>
  <si>
    <t>Graduates of all Voc Ed schools wop (2012)</t>
  </si>
  <si>
    <t>Year in which counterfactual number of graduates reaches w/ project</t>
  </si>
  <si>
    <t>The MCC project accelerates enrollment improvements to the Voc Ed system which would eventually come in due time; therefore the counterfactual number of grads "catches up" to the wp grads. (MCC assumption)</t>
  </si>
  <si>
    <t>Population growth rate, CIA World Factbook, 2007.  After growth in sector due to boom is accounted for, graduates grow at same rate as population growth.</t>
  </si>
  <si>
    <t>Program Costs</t>
  </si>
  <si>
    <t>CIF</t>
  </si>
  <si>
    <t>(a) TVET National Framework Activity</t>
  </si>
  <si>
    <t>(b) Industry-Led Skills Standards System Activity</t>
  </si>
  <si>
    <t>(c) Competency-Based Training System Activity</t>
  </si>
  <si>
    <t>(d) Career Guidance System Activity</t>
  </si>
  <si>
    <t>(e) Project Administrative Costs</t>
  </si>
  <si>
    <t>TOTAL (1000 USD)</t>
  </si>
  <si>
    <t>TOTAL (1,000,000 USD)</t>
  </si>
  <si>
    <t>Voc Ed (1,000 USD)</t>
  </si>
  <si>
    <t>Voc Ed (1,000,000 USD)</t>
  </si>
  <si>
    <t>Admin Costs (M&amp;E, Pgm. Admin allocated to Voc Ed)</t>
  </si>
  <si>
    <t>Incremental Benefits</t>
  </si>
  <si>
    <t>Incremental Costs</t>
  </si>
  <si>
    <t>(1,000,000 USD)</t>
  </si>
  <si>
    <t>Cumulative</t>
  </si>
  <si>
    <t>Budget Correction</t>
  </si>
  <si>
    <t>Net Benefits (except MCC Costs)</t>
  </si>
  <si>
    <t>Capital costs (MCC)</t>
  </si>
  <si>
    <t>Admin costs (MCC)</t>
  </si>
  <si>
    <t>Incremental recurrent costs (GoM)</t>
  </si>
  <si>
    <t>Incremental foregone wages (students)</t>
  </si>
  <si>
    <t>Cumulative benefiting graduates</t>
  </si>
  <si>
    <t>Projection time frame offered by education specialists</t>
  </si>
  <si>
    <t>Vocational schools graduate's salary survey  / employed in first year (raw data provided by MCA-Mongolia vocational education working group, analysis by MCC)</t>
  </si>
  <si>
    <t>Average income controlling for years of experience.  Intercept is starting wage.</t>
  </si>
  <si>
    <t>Distribution analysis of bottom 50% of graduate wages (used to establish wage for those not in technical fields)</t>
  </si>
  <si>
    <t>Monthly Wage</t>
  </si>
  <si>
    <t>Monthly Wage (Weighted Average)</t>
  </si>
  <si>
    <t>Animal  production specialist husbandry / breeding , nutrition, basic vet training, herding/</t>
  </si>
  <si>
    <t xml:space="preserve"> Metal processing machine operator/fabrication</t>
  </si>
  <si>
    <t xml:space="preserve"> Specialty tour guide / Mountaineering, Horsback tours, museum guide, boating/</t>
  </si>
  <si>
    <t>ERR and sensitivity analysis</t>
  </si>
  <si>
    <t>Description of key parameters</t>
  </si>
  <si>
    <t>Parameter values</t>
  </si>
  <si>
    <t xml:space="preserve">Values used in ERR computation </t>
  </si>
  <si>
    <t xml:space="preserve">Economic rate of return (ERR): </t>
  </si>
  <si>
    <t>0 - 15%</t>
  </si>
  <si>
    <r>
      <t>Clangor College, Uvs aimag (western region)</t>
    </r>
    <r>
      <rPr>
        <vertAlign val="superscript"/>
        <sz val="12"/>
        <color indexed="10"/>
        <rFont val="Arial"/>
        <family val="2"/>
      </rPr>
      <t>1</t>
    </r>
  </si>
  <si>
    <t>2 - 4</t>
  </si>
  <si>
    <t>Mongolia: Vocational Education</t>
  </si>
  <si>
    <t>Project name</t>
  </si>
  <si>
    <t>Vocational Education</t>
  </si>
  <si>
    <t>Amount of MCC funds</t>
  </si>
  <si>
    <t>$25.5 million</t>
  </si>
  <si>
    <t>Estimated ERR and time horizon</t>
  </si>
  <si>
    <t>20% over 20 years</t>
  </si>
  <si>
    <t>Benefit streams included in ERR</t>
  </si>
  <si>
    <t>Costs included in ERR (other than costs borne by MCC)</t>
  </si>
  <si>
    <t>Project description</t>
  </si>
  <si>
    <t>ERR &amp; Sensitivity Analysis</t>
  </si>
  <si>
    <t>Incremental recurrent costs due to increase in students</t>
  </si>
  <si>
    <t>Incremental foregone wages borne by students while in school</t>
  </si>
  <si>
    <t>A brief summary of the project's key parameters and ERR calculations.</t>
  </si>
  <si>
    <t>Spreadsheet version</t>
  </si>
  <si>
    <t>Date</t>
  </si>
  <si>
    <t>Investment memo, final</t>
  </si>
  <si>
    <t>Increased wages for individuals who will graduate from TVET institutes</t>
  </si>
  <si>
    <t xml:space="preserve">This worksheet provides background data on the labor market outcomes of ~1,600 individuals who graduated from vocational institutions in 2005. </t>
  </si>
  <si>
    <t>Increase in probability of employment for graduates of affected institutions due to the project (in percentage points)</t>
  </si>
  <si>
    <t xml:space="preserve">Gain in wages for vocational education graduates due to the project </t>
  </si>
  <si>
    <t>Years to implement all new curriculum (length of time between the launch of a new curriculum and its full dissemination)</t>
  </si>
  <si>
    <t>Working group projected wp and wop group for next 5 years.  Mongolia has experienced an economic boom and it's labor supply will take some time--by these projections, 5 years--to catch up.</t>
  </si>
  <si>
    <t>Projection set by working group during July 2007 negotiations</t>
  </si>
  <si>
    <t>Goal set by working group during July 2007 negotiations</t>
  </si>
  <si>
    <t>Data from working group during July 2007 negotiations</t>
  </si>
  <si>
    <t>Increase in vocational education graduates due to the project between 2007 and 2012</t>
  </si>
  <si>
    <t>Summary</t>
  </si>
  <si>
    <t>Components</t>
  </si>
  <si>
    <t>Economic Rationale</t>
  </si>
  <si>
    <t>Project Description</t>
  </si>
  <si>
    <t>Gives a summary of the project, a list of components, and states the economic rationale for the project.</t>
  </si>
  <si>
    <t>The aim of the Vocational Education Project is to put Mongolian vocational education and training on a sound and sustainable footing, based on an active partnership between the public and private sectors. This means changing the legal and regulatory environment in the first instance, in order to enable vocational education institutions to operate more efficiently and in better synchronization with the needs of both public and private sector employers. It also means establishing linkages between and among institutions in the educational sector to ensure that better practices are grounded in working relationships. Finally, it requires retrained educators with revised and re-focused educational and training materials, another key purpose of the Project. One of the most important elements of the Vocational Education Project is targeted improvement  in the income-generating capacity of the Technical and Vocational Education and Training (TVET) institutes, since enhanced revenues will be critical to sustainability beyond the term of the Compact.</t>
  </si>
  <si>
    <t xml:space="preserve">   The objective of the Vocational Education Project is to increase employment and income among unemployed and marginally employed Mongolians (particularly youth) and to contribute to greater productivity across the economy as a whole. To achieve this objective, MCC funding will be used to fund the following activities:</t>
  </si>
  <si>
    <t xml:space="preserve">   The key benefit of the project is increased wages for the students who receive TVET training.  As students apply their portfolio of skills on the job, productivity of the labor force will increase. Increased productivity will translate into increased economic growth and for individual workers, higher productivity should translate into higher household incomes. The Project should also increase enrollment and consequently the number of graduates, as teachers and administrators improve the utilization of their current resources. </t>
  </si>
  <si>
    <t>TVET = the technical and vocational education training system</t>
  </si>
  <si>
    <t>Actual costs as a percentage of estimated costs</t>
  </si>
  <si>
    <t>Actual benefits as a percentage of estimated benefits</t>
  </si>
  <si>
    <t>80 - 120%</t>
  </si>
  <si>
    <t>Cost Scenario</t>
  </si>
  <si>
    <t>Benefit Scenario</t>
  </si>
  <si>
    <t>Last updated:</t>
  </si>
  <si>
    <t>Specific</t>
  </si>
  <si>
    <t>User Input</t>
  </si>
  <si>
    <t>MCC Estimate</t>
  </si>
  <si>
    <r>
      <t>MCC Estimated ERR</t>
    </r>
    <r>
      <rPr>
        <b/>
        <sz val="9"/>
        <rFont val="Arial"/>
        <family val="2"/>
      </rPr>
      <t xml:space="preserve"> (as of 8/16/2007)</t>
    </r>
    <r>
      <rPr>
        <b/>
        <sz val="10"/>
        <rFont val="Arial"/>
        <family val="2"/>
      </rPr>
      <t>:</t>
    </r>
  </si>
  <si>
    <t>Last updated: 8/16/2007</t>
  </si>
  <si>
    <r>
      <t xml:space="preserve">         1.      Strengthen the policy and operational framework of the technical vocational education and training </t>
    </r>
    <r>
      <rPr>
        <i/>
        <sz val="10"/>
        <rFont val="Arial"/>
        <family val="2"/>
      </rPr>
      <t>(TVET)</t>
    </r>
    <r>
      <rPr>
        <sz val="10"/>
        <rFont val="Arial"/>
        <family val="0"/>
      </rPr>
      <t xml:space="preserve"> system.</t>
    </r>
  </si>
  <si>
    <t xml:space="preserve">         2.      Creation of Skills Standards and Competencies System.</t>
  </si>
  <si>
    <t xml:space="preserve">         3.      MCC funding will be used to implement the new competency-based training system in TVET schools.</t>
  </si>
  <si>
    <t xml:space="preserve">         4.      Provide career guidance and employment information services.</t>
  </si>
  <si>
    <t xml:space="preserve">
Worksheets in this file</t>
  </si>
  <si>
    <t>Last updated:   8/16/2007</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</si>
  <si>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</si>
  <si>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All summary para-
meters set to initial values?</t>
  </si>
  <si>
    <r>
      <t xml:space="preserve">   </t>
    </r>
    <r>
      <rPr>
        <u val="single"/>
        <sz val="10"/>
        <color indexed="12"/>
        <rFont val="Arial"/>
        <family val="0"/>
      </rPr>
      <t>User's Guide</t>
    </r>
  </si>
  <si>
    <t xml:space="preserve">   More Info</t>
  </si>
  <si>
    <r>
      <t xml:space="preserve">   </t>
    </r>
    <r>
      <rPr>
        <u val="single"/>
        <sz val="10"/>
        <color indexed="12"/>
        <rFont val="Arial"/>
        <family val="0"/>
      </rPr>
      <t>Project Description</t>
    </r>
  </si>
  <si>
    <t>Parameter type</t>
  </si>
  <si>
    <t>Plausible Range</t>
  </si>
  <si>
    <t xml:space="preserve">   The Government of Mongolia wants to develop a vocational education system that serves the demands of a modern, private-sector led economy. By building on the work of other donors such as the Asian Development Bank, the MCC Vocational Education Project will help Mongolia build up the institutional framework needed to support a demand-driven vocational education system. Through greater labor productivity and strengthening of training systems, the Compact is designed to increase employment and income among unemployed and marginally-employed Mongolians. The goal is to secure private-sector participation, establish skills standards and a competency-based qualification training system, among other things. Additionally, the Compact will develop new curricula for career training and 30 new career preparation tracks, as well as build new capacity for career guidance.</t>
  </si>
  <si>
    <t>(wage figures created from analysis of figures here and discussions with sector experts)</t>
  </si>
  <si>
    <t>Data from Technique Technology College is not included in charts or regression analysis</t>
  </si>
  <si>
    <t>Where possible, data from employers of what they pay current new entrants is used.  If not available, estimates of a Voc Ed expert are used.</t>
  </si>
  <si>
    <t>The average wage increment of graduates with and without the project is a key assumption in calculating the Voc Ed ERR</t>
  </si>
  <si>
    <t>THIS IS AN ERR CALCULATION FROM AN EARLY VERSION OF THE VOC ED PROJECT.  ONLY WAGE ESTIMATIONS (COLUMN J) ARE USED IN CURRENT CALCULATION.</t>
  </si>
  <si>
    <t>Did not submit salary survey</t>
  </si>
  <si>
    <t xml:space="preserve">Clangor may be alternate spelling of Ulaangom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</si>
</sst>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quot;₮&quot;;\-#,##0&quot;₮&quot;"/>
    <numFmt numFmtId="170" formatCode="#,##0&quot;₮&quot;;[Red]\-#,##0&quot;₮&quot;"/>
    <numFmt numFmtId="171" formatCode="#,##0.00&quot;₮&quot;;\-#,##0.00&quot;₮&quot;"/>
    <numFmt numFmtId="172" formatCode="#,##0.00&quot;₮&quot;;[Red]\-#,##0.00&quot;₮&quot;"/>
    <numFmt numFmtId="173" formatCode="_-* #,##0&quot;₮&quot;_-;\-* #,##0&quot;₮&quot;_-;_-* &quot;-&quot;&quot;₮&quot;_-;_-@_-"/>
    <numFmt numFmtId="174" formatCode="_-* #,##0_₮_-;\-* #,##0_₮_-;_-* &quot;-&quot;_₮_-;_-@_-"/>
    <numFmt numFmtId="175" formatCode="_-* #,##0.00&quot;₮&quot;_-;\-* #,##0.00&quot;₮&quot;_-;_-* &quot;-&quot;??&quot;₮&quot;_-;_-@_-"/>
    <numFmt numFmtId="176" formatCode="_-* #,##0.00_₮_-;\-* #,##0.00_₮_-;_-* &quot;-&quot;??_₮_-;_-@_-"/>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_(* #,##0.0_);_(* \(#,##0.0\);_(* &quot;-&quot;?_);_(@_)"/>
    <numFmt numFmtId="186" formatCode="#,##0.0"/>
    <numFmt numFmtId="187" formatCode="_(* #,##0.00_);_(* \(#,##0.00\);_(* &quot;-&quot;?_);_(@_)"/>
    <numFmt numFmtId="188" formatCode="0.0%"/>
    <numFmt numFmtId="189" formatCode="0.000%"/>
    <numFmt numFmtId="190" formatCode="&quot;$&quot;#,##0"/>
    <numFmt numFmtId="191" formatCode="_(* #,##0_);_(* \(#,##0\);_(* &quot;-&quot;??_);_(@_)"/>
    <numFmt numFmtId="192" formatCode="&quot;$&quot;#,##0.00"/>
    <numFmt numFmtId="193" formatCode="_(&quot;$&quot;* #,##0_);_(&quot;$&quot;* \(#,##0\);_(&quot;$&quot;* &quot;-&quot;??_);_(@_)"/>
    <numFmt numFmtId="194" formatCode="#,##0.0000000000"/>
    <numFmt numFmtId="195" formatCode="#,##0;[Red]\(#,##0\)"/>
    <numFmt numFmtId="196" formatCode="#,##0.0_);[Red]\(#,##0.0\)"/>
    <numFmt numFmtId="197" formatCode="0.000"/>
    <numFmt numFmtId="198" formatCode="0.00,,"/>
    <numFmt numFmtId="199" formatCode="0.000000000000"/>
    <numFmt numFmtId="200" formatCode="&quot;$&quot;#,##0.0"/>
    <numFmt numFmtId="201" formatCode="0.00000"/>
    <numFmt numFmtId="202" formatCode="0.0000"/>
    <numFmt numFmtId="203" formatCode="0.0000000"/>
    <numFmt numFmtId="204" formatCode="0.000000"/>
    <numFmt numFmtId="205" formatCode="#,##0.000"/>
    <numFmt numFmtId="206" formatCode="#,##0.0000"/>
    <numFmt numFmtId="207" formatCode="&quot;$&quot;#,##0.000_);[Red]\(&quot;$&quot;#,##0.000\)"/>
    <numFmt numFmtId="208" formatCode="0.00000000"/>
    <numFmt numFmtId="209" formatCode="_(* #,##0.0_);_(* \(#,##0.0\);_(* &quot;-&quot;??_);_(@_)"/>
    <numFmt numFmtId="210" formatCode="0.0E+00"/>
    <numFmt numFmtId="211" formatCode="0.000E+00"/>
    <numFmt numFmtId="212" formatCode="_(* #,##0_);_(* \(#,##0\);_(* &quot;-&quot;?_);_(@_)"/>
    <numFmt numFmtId="213" formatCode="0.0,,"/>
    <numFmt numFmtId="214" formatCode="#,##0.0_);\(#,##0.0\)"/>
  </numFmts>
  <fonts count="54">
    <font>
      <sz val="10"/>
      <name val="Arial"/>
      <family val="0"/>
    </font>
    <font>
      <sz val="8"/>
      <name val="Tahoma"/>
      <family val="0"/>
    </font>
    <font>
      <b/>
      <sz val="8"/>
      <name val="Tahoma"/>
      <family val="0"/>
    </font>
    <font>
      <sz val="8"/>
      <name val="Arial"/>
      <family val="0"/>
    </font>
    <font>
      <sz val="10"/>
      <color indexed="48"/>
      <name val="Arial"/>
      <family val="0"/>
    </font>
    <font>
      <b/>
      <sz val="10"/>
      <name val="Arial"/>
      <family val="2"/>
    </font>
    <font>
      <u val="single"/>
      <sz val="10"/>
      <color indexed="12"/>
      <name val="Arial"/>
      <family val="0"/>
    </font>
    <font>
      <sz val="10"/>
      <color indexed="10"/>
      <name val="Arial"/>
      <family val="0"/>
    </font>
    <font>
      <sz val="10"/>
      <color indexed="12"/>
      <name val="Arial"/>
      <family val="0"/>
    </font>
    <font>
      <b/>
      <sz val="9"/>
      <name val="Arial"/>
      <family val="2"/>
    </font>
    <font>
      <sz val="9"/>
      <name val="Arial"/>
      <family val="2"/>
    </font>
    <font>
      <u val="single"/>
      <sz val="10"/>
      <color indexed="36"/>
      <name val="Arial"/>
      <family val="0"/>
    </font>
    <font>
      <b/>
      <sz val="11"/>
      <name val="Arial"/>
      <family val="2"/>
    </font>
    <font>
      <sz val="21.5"/>
      <name val="Arial"/>
      <family val="0"/>
    </font>
    <font>
      <sz val="21.25"/>
      <name val="Arial"/>
      <family val="0"/>
    </font>
    <font>
      <sz val="15"/>
      <name val="Arial"/>
      <family val="0"/>
    </font>
    <font>
      <i/>
      <sz val="10"/>
      <name val="Arial"/>
      <family val="2"/>
    </font>
    <font>
      <b/>
      <sz val="12"/>
      <name val="Arial"/>
      <family val="0"/>
    </font>
    <font>
      <b/>
      <sz val="10.5"/>
      <name val="Arial"/>
      <family val="0"/>
    </font>
    <font>
      <sz val="10"/>
      <name val="Arial Mon"/>
      <family val="2"/>
    </font>
    <font>
      <sz val="10.5"/>
      <name val="Arial"/>
      <family val="0"/>
    </font>
    <font>
      <b/>
      <sz val="10"/>
      <name val="Arial Mon"/>
      <family val="2"/>
    </font>
    <font>
      <sz val="8"/>
      <name val="Times New Roman Mon"/>
      <family val="1"/>
    </font>
    <font>
      <i/>
      <sz val="10"/>
      <name val="Arial Mon"/>
      <family val="0"/>
    </font>
    <font>
      <vertAlign val="superscript"/>
      <sz val="10"/>
      <color indexed="10"/>
      <name val="Arial"/>
      <family val="2"/>
    </font>
    <font>
      <vertAlign val="superscript"/>
      <sz val="10"/>
      <name val="Arial"/>
      <family val="2"/>
    </font>
    <font>
      <sz val="10"/>
      <color indexed="57"/>
      <name val="Arial"/>
      <family val="0"/>
    </font>
    <font>
      <b/>
      <i/>
      <sz val="9"/>
      <name val="Arial"/>
      <family val="2"/>
    </font>
    <font>
      <b/>
      <i/>
      <sz val="10"/>
      <name val="Arial"/>
      <family val="2"/>
    </font>
    <font>
      <sz val="10"/>
      <color indexed="22"/>
      <name val="Arial"/>
      <family val="2"/>
    </font>
    <font>
      <b/>
      <sz val="10"/>
      <color indexed="22"/>
      <name val="Arial"/>
      <family val="0"/>
    </font>
    <font>
      <sz val="10"/>
      <color indexed="55"/>
      <name val="Arial"/>
      <family val="0"/>
    </font>
    <font>
      <sz val="10"/>
      <color indexed="23"/>
      <name val="Arial"/>
      <family val="0"/>
    </font>
    <font>
      <b/>
      <sz val="9"/>
      <color indexed="10"/>
      <name val="Arial"/>
      <family val="2"/>
    </font>
    <font>
      <b/>
      <sz val="9"/>
      <color indexed="22"/>
      <name val="Arial"/>
      <family val="2"/>
    </font>
    <font>
      <sz val="9"/>
      <color indexed="22"/>
      <name val="Arial"/>
      <family val="2"/>
    </font>
    <font>
      <b/>
      <i/>
      <sz val="9"/>
      <color indexed="22"/>
      <name val="Arial"/>
      <family val="2"/>
    </font>
    <font>
      <b/>
      <i/>
      <sz val="10"/>
      <color indexed="22"/>
      <name val="Arial"/>
      <family val="2"/>
    </font>
    <font>
      <i/>
      <sz val="10"/>
      <color indexed="22"/>
      <name val="Arial"/>
      <family val="2"/>
    </font>
    <font>
      <sz val="9"/>
      <color indexed="10"/>
      <name val="Arial"/>
      <family val="2"/>
    </font>
    <font>
      <sz val="15.25"/>
      <name val="Arial"/>
      <family val="0"/>
    </font>
    <font>
      <sz val="12"/>
      <name val="Arial"/>
      <family val="0"/>
    </font>
    <font>
      <vertAlign val="superscript"/>
      <sz val="12"/>
      <color indexed="10"/>
      <name val="Arial"/>
      <family val="2"/>
    </font>
    <font>
      <b/>
      <sz val="16"/>
      <name val="Arial"/>
      <family val="2"/>
    </font>
    <font>
      <sz val="14"/>
      <name val="Arial"/>
      <family val="2"/>
    </font>
    <font>
      <b/>
      <sz val="10"/>
      <color indexed="9"/>
      <name val="Arial"/>
      <family val="2"/>
    </font>
    <font>
      <sz val="10.25"/>
      <name val="Arial"/>
      <family val="0"/>
    </font>
    <font>
      <b/>
      <sz val="10"/>
      <color indexed="12"/>
      <name val="Arial"/>
      <family val="2"/>
    </font>
    <font>
      <u val="single"/>
      <sz val="10"/>
      <name val="Arial"/>
      <family val="0"/>
    </font>
    <font>
      <sz val="8"/>
      <color indexed="17"/>
      <name val="Arial"/>
      <family val="2"/>
    </font>
    <font>
      <b/>
      <sz val="10"/>
      <color indexed="55"/>
      <name val="Arial"/>
      <family val="2"/>
    </font>
    <font>
      <sz val="10"/>
      <color indexed="9"/>
      <name val="Arial"/>
      <family val="2"/>
    </font>
    <font>
      <sz val="11"/>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3"/>
        <bgColor indexed="64"/>
      </patternFill>
    </fill>
    <fill>
      <patternFill patternType="solid">
        <fgColor indexed="10"/>
        <bgColor indexed="64"/>
      </patternFill>
    </fill>
  </fills>
  <borders count="43">
    <border>
      <left/>
      <right/>
      <top/>
      <bottom/>
      <diagonal/>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hair"/>
      <right style="hair"/>
      <top>
        <color indexed="63"/>
      </top>
      <bottom style="hair"/>
    </border>
    <border>
      <left style="hair"/>
      <right style="hair"/>
      <top style="hair"/>
      <bottom style="hair"/>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style="thin"/>
      <bottom style="thin"/>
    </border>
    <border>
      <left style="thin"/>
      <right style="double"/>
      <top>
        <color indexed="63"/>
      </top>
      <bottom>
        <color indexed="63"/>
      </bottom>
    </border>
    <border>
      <left style="double"/>
      <right style="thin"/>
      <top style="double"/>
      <bottom style="double"/>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color indexed="63"/>
      </left>
      <right style="thin"/>
      <top>
        <color indexed="63"/>
      </top>
      <bottom style="thin"/>
    </border>
    <border>
      <left style="thin"/>
      <right style="thin"/>
      <top style="thin"/>
      <bottom style="medium"/>
    </border>
    <border>
      <left>
        <color indexed="63"/>
      </left>
      <right style="thin"/>
      <top style="thin"/>
      <bottom style="medium"/>
    </border>
    <border>
      <left style="thin"/>
      <right style="double"/>
      <top style="thin"/>
      <bottom style="thin"/>
    </border>
    <border>
      <left style="thin"/>
      <right style="double"/>
      <top>
        <color indexed="63"/>
      </top>
      <bottom style="thin"/>
    </border>
    <border>
      <left>
        <color indexed="63"/>
      </left>
      <right style="double"/>
      <top>
        <color indexed="63"/>
      </top>
      <bottom>
        <color indexed="63"/>
      </bottom>
    </border>
    <border>
      <left style="thin"/>
      <right style="double"/>
      <top style="double"/>
      <bottom style="double"/>
    </border>
    <border>
      <left style="thin"/>
      <right style="double"/>
      <top>
        <color indexed="63"/>
      </top>
      <bottom style="double"/>
    </border>
    <border>
      <left style="thin"/>
      <right>
        <color indexed="63"/>
      </right>
      <top>
        <color indexed="63"/>
      </top>
      <bottom style="thin"/>
    </border>
    <border>
      <left style="double"/>
      <right style="thin"/>
      <top style="thin"/>
      <bottom>
        <color indexed="63"/>
      </bottom>
    </border>
    <border>
      <left style="double"/>
      <right>
        <color indexed="63"/>
      </right>
      <top>
        <color indexed="63"/>
      </top>
      <bottom style="double"/>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9" fillId="0" borderId="0">
      <alignment/>
      <protection/>
    </xf>
    <xf numFmtId="0" fontId="0" fillId="0" borderId="0" applyProtection="0">
      <alignment/>
    </xf>
    <xf numFmtId="0" fontId="0" fillId="0" borderId="0">
      <alignment/>
      <protection/>
    </xf>
    <xf numFmtId="9" fontId="0" fillId="0" borderId="0" applyFont="0" applyFill="0" applyBorder="0" applyAlignment="0" applyProtection="0"/>
  </cellStyleXfs>
  <cellXfs count="504">
    <xf numFmtId="0" fontId="0" fillId="0" borderId="0" xfId="0" applyAlignment="1">
      <alignment/>
    </xf>
    <xf numFmtId="9" fontId="0" fillId="0" borderId="0" xfId="0" applyNumberFormat="1" applyAlignment="1">
      <alignment/>
    </xf>
    <xf numFmtId="9" fontId="4" fillId="0" borderId="0" xfId="0" applyNumberFormat="1" applyFont="1" applyAlignment="1">
      <alignment/>
    </xf>
    <xf numFmtId="0" fontId="5" fillId="0" borderId="0" xfId="0" applyFont="1" applyAlignment="1">
      <alignment/>
    </xf>
    <xf numFmtId="1" fontId="0" fillId="0" borderId="0" xfId="0" applyNumberFormat="1" applyAlignment="1">
      <alignment/>
    </xf>
    <xf numFmtId="0" fontId="7" fillId="0" borderId="0" xfId="0" applyFont="1" applyAlignment="1">
      <alignment/>
    </xf>
    <xf numFmtId="0" fontId="0" fillId="0" borderId="0" xfId="0" applyFont="1" applyAlignment="1">
      <alignment/>
    </xf>
    <xf numFmtId="1" fontId="0" fillId="0" borderId="0" xfId="0" applyNumberFormat="1" applyFont="1" applyAlignment="1">
      <alignment/>
    </xf>
    <xf numFmtId="9" fontId="8" fillId="0" borderId="0" xfId="0" applyNumberFormat="1" applyFont="1" applyAlignment="1">
      <alignment/>
    </xf>
    <xf numFmtId="3" fontId="0" fillId="0" borderId="0" xfId="0" applyNumberFormat="1" applyAlignment="1">
      <alignment/>
    </xf>
    <xf numFmtId="3" fontId="5" fillId="0" borderId="0" xfId="0" applyNumberFormat="1" applyFont="1" applyAlignment="1">
      <alignment/>
    </xf>
    <xf numFmtId="9" fontId="0" fillId="0" borderId="0" xfId="24" applyAlignment="1">
      <alignment/>
    </xf>
    <xf numFmtId="0" fontId="5" fillId="0" borderId="0" xfId="0" applyFont="1" applyAlignment="1">
      <alignment horizontal="left"/>
    </xf>
    <xf numFmtId="0" fontId="0" fillId="0" borderId="0" xfId="0" applyFill="1" applyAlignment="1">
      <alignment/>
    </xf>
    <xf numFmtId="0" fontId="5" fillId="2" borderId="0" xfId="0" applyFont="1" applyFill="1" applyAlignment="1">
      <alignment/>
    </xf>
    <xf numFmtId="0" fontId="0" fillId="2" borderId="0" xfId="0" applyFill="1" applyAlignment="1">
      <alignment/>
    </xf>
    <xf numFmtId="0" fontId="16" fillId="2" borderId="0" xfId="0" applyFont="1" applyFill="1" applyAlignment="1">
      <alignment/>
    </xf>
    <xf numFmtId="3" fontId="0" fillId="2" borderId="0" xfId="0" applyNumberFormat="1" applyFill="1" applyAlignment="1">
      <alignment/>
    </xf>
    <xf numFmtId="0" fontId="5" fillId="0" borderId="0" xfId="0" applyFont="1" applyAlignment="1">
      <alignment horizontal="center"/>
    </xf>
    <xf numFmtId="0" fontId="0" fillId="0" borderId="0" xfId="0" applyBorder="1" applyAlignment="1">
      <alignment/>
    </xf>
    <xf numFmtId="0" fontId="16" fillId="0" borderId="0" xfId="0" applyFont="1" applyAlignment="1">
      <alignment/>
    </xf>
    <xf numFmtId="0" fontId="16" fillId="0" borderId="1" xfId="0" applyFont="1" applyFill="1" applyBorder="1" applyAlignment="1">
      <alignment horizontal="center"/>
    </xf>
    <xf numFmtId="0" fontId="16" fillId="0" borderId="1" xfId="0" applyFont="1" applyFill="1" applyBorder="1" applyAlignment="1">
      <alignment horizontal="centerContinuous"/>
    </xf>
    <xf numFmtId="0" fontId="0" fillId="0" borderId="0" xfId="0" applyFill="1" applyBorder="1" applyAlignment="1">
      <alignment/>
    </xf>
    <xf numFmtId="3" fontId="0" fillId="0" borderId="0" xfId="0" applyNumberFormat="1" applyFill="1" applyBorder="1" applyAlignment="1">
      <alignment/>
    </xf>
    <xf numFmtId="2" fontId="0" fillId="0" borderId="0" xfId="0" applyNumberFormat="1" applyFill="1" applyBorder="1" applyAlignment="1">
      <alignment/>
    </xf>
    <xf numFmtId="0" fontId="0" fillId="0" borderId="2" xfId="0" applyFill="1" applyBorder="1" applyAlignment="1">
      <alignment/>
    </xf>
    <xf numFmtId="0" fontId="5"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Border="1" applyAlignment="1">
      <alignment/>
    </xf>
    <xf numFmtId="0" fontId="0" fillId="2" borderId="7" xfId="0" applyFill="1" applyBorder="1" applyAlignment="1">
      <alignment/>
    </xf>
    <xf numFmtId="0" fontId="0" fillId="0" borderId="0" xfId="0" applyFill="1" applyBorder="1" applyAlignment="1">
      <alignment/>
    </xf>
    <xf numFmtId="3" fontId="0" fillId="2" borderId="6" xfId="0" applyNumberFormat="1" applyFill="1" applyBorder="1" applyAlignment="1">
      <alignment/>
    </xf>
    <xf numFmtId="3" fontId="0" fillId="2" borderId="0" xfId="0" applyNumberFormat="1" applyFill="1" applyBorder="1" applyAlignment="1">
      <alignment/>
    </xf>
    <xf numFmtId="3" fontId="0" fillId="2" borderId="7" xfId="0" applyNumberFormat="1" applyFill="1" applyBorder="1" applyAlignment="1">
      <alignment/>
    </xf>
    <xf numFmtId="3" fontId="0" fillId="0" borderId="0" xfId="0" applyNumberFormat="1" applyFill="1" applyBorder="1" applyAlignment="1">
      <alignment/>
    </xf>
    <xf numFmtId="3" fontId="0" fillId="0" borderId="2" xfId="0" applyNumberFormat="1" applyFill="1" applyBorder="1" applyAlignment="1">
      <alignment/>
    </xf>
    <xf numFmtId="2" fontId="0" fillId="0" borderId="2" xfId="0" applyNumberFormat="1" applyFill="1" applyBorder="1" applyAlignment="1">
      <alignment/>
    </xf>
    <xf numFmtId="0" fontId="0" fillId="0" borderId="8" xfId="0" applyBorder="1" applyAlignment="1">
      <alignment/>
    </xf>
    <xf numFmtId="3" fontId="0" fillId="0" borderId="8" xfId="0" applyNumberFormat="1" applyFill="1" applyBorder="1" applyAlignment="1">
      <alignment/>
    </xf>
    <xf numFmtId="0" fontId="0" fillId="0" borderId="9" xfId="0" applyFill="1" applyBorder="1" applyAlignment="1">
      <alignment/>
    </xf>
    <xf numFmtId="0" fontId="0" fillId="0" borderId="9" xfId="0" applyFill="1" applyBorder="1" applyAlignment="1">
      <alignment horizontal="center"/>
    </xf>
    <xf numFmtId="0" fontId="0" fillId="0" borderId="3" xfId="0" applyFill="1" applyBorder="1" applyAlignment="1">
      <alignment horizontal="center" wrapText="1"/>
    </xf>
    <xf numFmtId="0" fontId="0" fillId="0" borderId="10" xfId="0" applyBorder="1" applyAlignment="1">
      <alignment wrapText="1"/>
    </xf>
    <xf numFmtId="0" fontId="0" fillId="0" borderId="10" xfId="0" applyBorder="1" applyAlignment="1">
      <alignment/>
    </xf>
    <xf numFmtId="0" fontId="0" fillId="0" borderId="10" xfId="0" applyFill="1" applyBorder="1" applyAlignment="1">
      <alignment/>
    </xf>
    <xf numFmtId="0" fontId="0" fillId="3" borderId="9" xfId="0" applyFill="1" applyBorder="1" applyAlignment="1">
      <alignment/>
    </xf>
    <xf numFmtId="0" fontId="0" fillId="4" borderId="9" xfId="0" applyFill="1" applyBorder="1" applyAlignment="1">
      <alignment/>
    </xf>
    <xf numFmtId="0" fontId="0" fillId="5" borderId="9" xfId="0" applyFill="1" applyBorder="1" applyAlignment="1">
      <alignment/>
    </xf>
    <xf numFmtId="0" fontId="0" fillId="6" borderId="9" xfId="0" applyFill="1" applyBorder="1" applyAlignment="1">
      <alignment/>
    </xf>
    <xf numFmtId="0" fontId="0" fillId="2" borderId="9" xfId="0" applyFill="1" applyBorder="1" applyAlignment="1">
      <alignment/>
    </xf>
    <xf numFmtId="0" fontId="0" fillId="7" borderId="9" xfId="0" applyFill="1" applyBorder="1" applyAlignment="1">
      <alignment/>
    </xf>
    <xf numFmtId="0" fontId="0" fillId="8" borderId="9" xfId="0" applyFill="1" applyBorder="1" applyAlignment="1">
      <alignment/>
    </xf>
    <xf numFmtId="0" fontId="0" fillId="9" borderId="9" xfId="0" applyFill="1" applyBorder="1" applyAlignment="1">
      <alignment/>
    </xf>
    <xf numFmtId="0" fontId="0" fillId="10" borderId="9" xfId="0" applyFill="1" applyBorder="1" applyAlignment="1">
      <alignment/>
    </xf>
    <xf numFmtId="0" fontId="5" fillId="5" borderId="9" xfId="0" applyFont="1" applyFill="1" applyBorder="1" applyAlignment="1">
      <alignment/>
    </xf>
    <xf numFmtId="0" fontId="5" fillId="2" borderId="9" xfId="0" applyFont="1" applyFill="1" applyBorder="1" applyAlignment="1">
      <alignment/>
    </xf>
    <xf numFmtId="0" fontId="0" fillId="0" borderId="9" xfId="0" applyBorder="1" applyAlignment="1">
      <alignment/>
    </xf>
    <xf numFmtId="3" fontId="0" fillId="3" borderId="11" xfId="0" applyNumberFormat="1" applyFill="1" applyBorder="1" applyAlignment="1">
      <alignment/>
    </xf>
    <xf numFmtId="0" fontId="0" fillId="3" borderId="10" xfId="0" applyFill="1" applyBorder="1" applyAlignment="1">
      <alignment horizontal="center"/>
    </xf>
    <xf numFmtId="10" fontId="0" fillId="3" borderId="10" xfId="0" applyNumberFormat="1" applyFill="1" applyBorder="1" applyAlignment="1">
      <alignment horizontal="center"/>
    </xf>
    <xf numFmtId="10" fontId="0" fillId="0" borderId="0" xfId="0" applyNumberFormat="1" applyFill="1" applyBorder="1" applyAlignment="1">
      <alignment horizontal="center"/>
    </xf>
    <xf numFmtId="3" fontId="0" fillId="3" borderId="12" xfId="0" applyNumberFormat="1" applyFill="1" applyBorder="1" applyAlignment="1">
      <alignment horizontal="center"/>
    </xf>
    <xf numFmtId="0" fontId="0" fillId="3" borderId="12" xfId="0" applyFill="1" applyBorder="1" applyAlignment="1">
      <alignment horizontal="center"/>
    </xf>
    <xf numFmtId="0" fontId="0" fillId="0" borderId="0"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0" fillId="5" borderId="11" xfId="0" applyFill="1" applyBorder="1" applyAlignment="1">
      <alignment/>
    </xf>
    <xf numFmtId="0" fontId="0" fillId="5" borderId="12" xfId="0" applyFill="1" applyBorder="1" applyAlignment="1">
      <alignment horizontal="center"/>
    </xf>
    <xf numFmtId="10" fontId="0" fillId="5" borderId="12" xfId="0" applyNumberFormat="1" applyFill="1" applyBorder="1" applyAlignment="1">
      <alignment horizontal="center"/>
    </xf>
    <xf numFmtId="0" fontId="0" fillId="6" borderId="11" xfId="0" applyFill="1" applyBorder="1" applyAlignment="1">
      <alignment/>
    </xf>
    <xf numFmtId="0" fontId="0" fillId="6" borderId="12" xfId="0" applyFill="1" applyBorder="1" applyAlignment="1">
      <alignment horizontal="center"/>
    </xf>
    <xf numFmtId="9" fontId="0" fillId="6" borderId="12" xfId="0" applyNumberFormat="1" applyFill="1" applyBorder="1" applyAlignment="1">
      <alignment horizontal="center"/>
    </xf>
    <xf numFmtId="9" fontId="0" fillId="0" borderId="0" xfId="0" applyNumberFormat="1" applyFill="1" applyBorder="1" applyAlignment="1">
      <alignment horizontal="center"/>
    </xf>
    <xf numFmtId="0" fontId="0" fillId="2" borderId="11" xfId="0" applyFill="1" applyBorder="1" applyAlignment="1">
      <alignment/>
    </xf>
    <xf numFmtId="0" fontId="0" fillId="2" borderId="10" xfId="0" applyFill="1" applyBorder="1" applyAlignment="1">
      <alignment horizontal="center"/>
    </xf>
    <xf numFmtId="9" fontId="0" fillId="2" borderId="10" xfId="0" applyNumberFormat="1" applyFill="1" applyBorder="1" applyAlignment="1">
      <alignment horizontal="center"/>
    </xf>
    <xf numFmtId="0" fontId="0" fillId="2" borderId="12" xfId="0" applyFill="1" applyBorder="1" applyAlignment="1">
      <alignment horizontal="center"/>
    </xf>
    <xf numFmtId="0" fontId="0" fillId="7" borderId="11" xfId="0" applyFill="1" applyBorder="1" applyAlignment="1">
      <alignment/>
    </xf>
    <xf numFmtId="0" fontId="0" fillId="7" borderId="12" xfId="0" applyFill="1" applyBorder="1" applyAlignment="1">
      <alignment horizontal="center"/>
    </xf>
    <xf numFmtId="9" fontId="0" fillId="7" borderId="12" xfId="0" applyNumberFormat="1" applyFill="1" applyBorder="1" applyAlignment="1">
      <alignment horizontal="center"/>
    </xf>
    <xf numFmtId="0" fontId="0" fillId="7" borderId="13" xfId="0" applyFill="1" applyBorder="1" applyAlignment="1">
      <alignment horizontal="center"/>
    </xf>
    <xf numFmtId="0" fontId="0" fillId="8" borderId="11" xfId="0" applyFill="1" applyBorder="1" applyAlignment="1">
      <alignment/>
    </xf>
    <xf numFmtId="0" fontId="0" fillId="8" borderId="12" xfId="0" applyFill="1" applyBorder="1" applyAlignment="1">
      <alignment horizontal="center"/>
    </xf>
    <xf numFmtId="9" fontId="0" fillId="8" borderId="12" xfId="0" applyNumberFormat="1" applyFill="1" applyBorder="1" applyAlignment="1">
      <alignment horizontal="center"/>
    </xf>
    <xf numFmtId="0" fontId="0" fillId="9" borderId="11" xfId="0" applyFill="1" applyBorder="1" applyAlignment="1">
      <alignment/>
    </xf>
    <xf numFmtId="0" fontId="0" fillId="9" borderId="12" xfId="0" applyFill="1" applyBorder="1" applyAlignment="1">
      <alignment horizontal="center"/>
    </xf>
    <xf numFmtId="9" fontId="0" fillId="9" borderId="12" xfId="0" applyNumberFormat="1" applyFill="1" applyBorder="1" applyAlignment="1">
      <alignment horizontal="center"/>
    </xf>
    <xf numFmtId="0" fontId="0" fillId="10" borderId="11" xfId="0" applyFill="1" applyBorder="1" applyAlignment="1">
      <alignment/>
    </xf>
    <xf numFmtId="0" fontId="0" fillId="10" borderId="12" xfId="0" applyFill="1" applyBorder="1" applyAlignment="1">
      <alignment horizontal="center"/>
    </xf>
    <xf numFmtId="10" fontId="0" fillId="10" borderId="12" xfId="0" applyNumberFormat="1" applyFill="1" applyBorder="1" applyAlignment="1">
      <alignment horizontal="center"/>
    </xf>
    <xf numFmtId="0" fontId="0" fillId="10" borderId="13" xfId="0" applyFill="1" applyBorder="1" applyAlignment="1">
      <alignment horizontal="center"/>
    </xf>
    <xf numFmtId="3" fontId="0" fillId="5" borderId="9" xfId="0" applyNumberFormat="1" applyFill="1" applyBorder="1" applyAlignment="1">
      <alignment/>
    </xf>
    <xf numFmtId="0" fontId="0" fillId="5" borderId="9" xfId="0" applyFill="1" applyBorder="1" applyAlignment="1">
      <alignment horizontal="center"/>
    </xf>
    <xf numFmtId="9" fontId="0" fillId="5" borderId="9" xfId="0" applyNumberFormat="1" applyFill="1" applyBorder="1" applyAlignment="1">
      <alignment horizontal="center"/>
    </xf>
    <xf numFmtId="0" fontId="0" fillId="5" borderId="0" xfId="0" applyFill="1" applyBorder="1" applyAlignment="1">
      <alignment/>
    </xf>
    <xf numFmtId="3" fontId="0" fillId="5" borderId="0" xfId="0" applyNumberFormat="1" applyFill="1" applyAlignment="1">
      <alignment/>
    </xf>
    <xf numFmtId="0" fontId="0" fillId="5" borderId="12" xfId="0" applyFill="1" applyBorder="1" applyAlignment="1">
      <alignment/>
    </xf>
    <xf numFmtId="0" fontId="0" fillId="4" borderId="9" xfId="0" applyFill="1" applyBorder="1" applyAlignment="1">
      <alignment horizontal="right"/>
    </xf>
    <xf numFmtId="3" fontId="0" fillId="4" borderId="11" xfId="0" applyNumberFormat="1" applyFill="1" applyBorder="1" applyAlignment="1">
      <alignment/>
    </xf>
    <xf numFmtId="0" fontId="0" fillId="4" borderId="12" xfId="0" applyFill="1" applyBorder="1" applyAlignment="1">
      <alignment horizontal="center"/>
    </xf>
    <xf numFmtId="3" fontId="0" fillId="4" borderId="12" xfId="0" applyNumberFormat="1" applyFill="1" applyBorder="1" applyAlignment="1">
      <alignment horizontal="center"/>
    </xf>
    <xf numFmtId="0" fontId="0" fillId="4" borderId="0" xfId="0" applyFill="1" applyAlignment="1">
      <alignment horizontal="center"/>
    </xf>
    <xf numFmtId="0" fontId="0" fillId="0" borderId="0" xfId="0" applyAlignment="1">
      <alignment horizontal="center"/>
    </xf>
    <xf numFmtId="0" fontId="0" fillId="0" borderId="0" xfId="0" applyFill="1" applyAlignment="1">
      <alignment horizontal="center"/>
    </xf>
    <xf numFmtId="3" fontId="0" fillId="0" borderId="0" xfId="0" applyNumberFormat="1" applyFont="1" applyAlignment="1">
      <alignment/>
    </xf>
    <xf numFmtId="0" fontId="0" fillId="5" borderId="0" xfId="0" applyFill="1" applyAlignment="1">
      <alignment/>
    </xf>
    <xf numFmtId="0" fontId="16" fillId="0" borderId="1" xfId="0" applyFont="1" applyFill="1" applyBorder="1" applyAlignment="1">
      <alignment horizontal="center"/>
    </xf>
    <xf numFmtId="0" fontId="16" fillId="0" borderId="1" xfId="0" applyFont="1" applyFill="1" applyBorder="1" applyAlignment="1">
      <alignment horizontal="centerContinuous"/>
    </xf>
    <xf numFmtId="0" fontId="19" fillId="0" borderId="0" xfId="21" applyFont="1">
      <alignment/>
      <protection/>
    </xf>
    <xf numFmtId="0" fontId="21" fillId="0" borderId="0" xfId="21" applyFont="1">
      <alignment/>
      <protection/>
    </xf>
    <xf numFmtId="0" fontId="21" fillId="0" borderId="9" xfId="21" applyFont="1" applyBorder="1" applyAlignment="1">
      <alignment horizontal="center" vertical="center" wrapText="1"/>
      <protection/>
    </xf>
    <xf numFmtId="0" fontId="19" fillId="0" borderId="9" xfId="21" applyFont="1" applyFill="1" applyBorder="1" applyAlignment="1">
      <alignment horizontal="left" vertical="center" wrapText="1"/>
      <protection/>
    </xf>
    <xf numFmtId="185" fontId="19" fillId="0" borderId="9" xfId="21" applyNumberFormat="1" applyFont="1" applyFill="1" applyBorder="1" applyAlignment="1">
      <alignment horizontal="right" wrapText="1"/>
      <protection/>
    </xf>
    <xf numFmtId="186" fontId="19" fillId="0" borderId="9" xfId="21" applyNumberFormat="1" applyFont="1" applyFill="1" applyBorder="1" applyAlignment="1">
      <alignment horizontal="right"/>
      <protection/>
    </xf>
    <xf numFmtId="185" fontId="19" fillId="0" borderId="0" xfId="21" applyNumberFormat="1" applyFont="1">
      <alignment/>
      <protection/>
    </xf>
    <xf numFmtId="185" fontId="19" fillId="0" borderId="9" xfId="21" applyNumberFormat="1" applyFont="1" applyBorder="1" applyAlignment="1">
      <alignment horizontal="left" vertical="center" wrapText="1"/>
      <protection/>
    </xf>
    <xf numFmtId="187" fontId="19" fillId="0" borderId="9" xfId="21" applyNumberFormat="1" applyFont="1" applyFill="1" applyBorder="1" applyAlignment="1">
      <alignment horizontal="right" wrapText="1"/>
      <protection/>
    </xf>
    <xf numFmtId="187" fontId="19" fillId="0" borderId="9" xfId="21" applyNumberFormat="1" applyFont="1" applyBorder="1" applyAlignment="1">
      <alignment horizontal="right"/>
      <protection/>
    </xf>
    <xf numFmtId="186" fontId="19" fillId="0" borderId="9" xfId="21" applyNumberFormat="1" applyFont="1" applyBorder="1" applyAlignment="1">
      <alignment horizontal="right"/>
      <protection/>
    </xf>
    <xf numFmtId="187" fontId="19" fillId="0" borderId="0" xfId="21" applyNumberFormat="1" applyFont="1">
      <alignment/>
      <protection/>
    </xf>
    <xf numFmtId="4" fontId="19" fillId="0" borderId="9" xfId="21" applyNumberFormat="1" applyFont="1" applyBorder="1" applyAlignment="1">
      <alignment horizontal="right"/>
      <protection/>
    </xf>
    <xf numFmtId="2" fontId="19" fillId="11" borderId="9" xfId="21" applyNumberFormat="1" applyFont="1" applyFill="1" applyBorder="1" applyAlignment="1">
      <alignment horizontal="left" vertical="center" wrapText="1"/>
      <protection/>
    </xf>
    <xf numFmtId="10" fontId="19" fillId="11" borderId="9" xfId="21" applyNumberFormat="1" applyFont="1" applyFill="1" applyBorder="1" applyAlignment="1">
      <alignment horizontal="center" wrapText="1"/>
      <protection/>
    </xf>
    <xf numFmtId="10" fontId="19" fillId="0" borderId="9" xfId="21" applyNumberFormat="1" applyFont="1" applyFill="1" applyBorder="1" applyAlignment="1">
      <alignment horizontal="center" wrapText="1"/>
      <protection/>
    </xf>
    <xf numFmtId="185" fontId="19" fillId="0" borderId="9" xfId="21" applyNumberFormat="1" applyFont="1" applyFill="1" applyBorder="1" applyAlignment="1">
      <alignment horizontal="right"/>
      <protection/>
    </xf>
    <xf numFmtId="0" fontId="19" fillId="0" borderId="0" xfId="21" applyFont="1" applyBorder="1">
      <alignment/>
      <protection/>
    </xf>
    <xf numFmtId="186" fontId="19" fillId="0" borderId="0" xfId="21" applyNumberFormat="1" applyFont="1" applyBorder="1">
      <alignment/>
      <protection/>
    </xf>
    <xf numFmtId="0" fontId="19" fillId="0" borderId="0" xfId="21" applyFont="1" applyAlignment="1">
      <alignment horizontal="center"/>
      <protection/>
    </xf>
    <xf numFmtId="2" fontId="19" fillId="0" borderId="9" xfId="21" applyNumberFormat="1" applyFont="1" applyFill="1" applyBorder="1" applyAlignment="1">
      <alignment horizontal="left" vertical="center" wrapText="1"/>
      <protection/>
    </xf>
    <xf numFmtId="168" fontId="19" fillId="0" borderId="9" xfId="21" applyNumberFormat="1" applyFont="1" applyFill="1" applyBorder="1" applyAlignment="1">
      <alignment/>
      <protection/>
    </xf>
    <xf numFmtId="168" fontId="19" fillId="0" borderId="9" xfId="21" applyNumberFormat="1" applyFont="1" applyFill="1" applyBorder="1">
      <alignment/>
      <protection/>
    </xf>
    <xf numFmtId="2" fontId="19" fillId="4" borderId="9" xfId="21" applyNumberFormat="1" applyFont="1" applyFill="1" applyBorder="1" applyAlignment="1">
      <alignment horizontal="left" vertical="center" wrapText="1"/>
      <protection/>
    </xf>
    <xf numFmtId="188" fontId="19" fillId="4" borderId="9" xfId="21" applyNumberFormat="1" applyFont="1" applyFill="1" applyBorder="1" applyAlignment="1">
      <alignment/>
      <protection/>
    </xf>
    <xf numFmtId="2" fontId="19" fillId="0" borderId="9" xfId="21" applyNumberFormat="1" applyFont="1" applyFill="1" applyBorder="1" applyAlignment="1">
      <alignment vertical="center" wrapText="1"/>
      <protection/>
    </xf>
    <xf numFmtId="2" fontId="19" fillId="0" borderId="0" xfId="21" applyNumberFormat="1" applyFont="1" applyFill="1" applyBorder="1" applyAlignment="1">
      <alignment horizontal="center" vertical="center" wrapText="1"/>
      <protection/>
    </xf>
    <xf numFmtId="188" fontId="19" fillId="0" borderId="0" xfId="21" applyNumberFormat="1" applyFont="1" applyFill="1" applyBorder="1" applyAlignment="1">
      <alignment/>
      <protection/>
    </xf>
    <xf numFmtId="0" fontId="19" fillId="0" borderId="14" xfId="21" applyFont="1" applyBorder="1">
      <alignment/>
      <protection/>
    </xf>
    <xf numFmtId="0" fontId="19" fillId="0" borderId="15" xfId="21" applyFont="1" applyBorder="1">
      <alignment/>
      <protection/>
    </xf>
    <xf numFmtId="0" fontId="22" fillId="2" borderId="15" xfId="0" applyFont="1" applyFill="1" applyBorder="1" applyAlignment="1">
      <alignment/>
    </xf>
    <xf numFmtId="186" fontId="22" fillId="2" borderId="15" xfId="0" applyNumberFormat="1" applyFont="1" applyFill="1" applyBorder="1" applyAlignment="1" quotePrefix="1">
      <alignment horizontal="right"/>
    </xf>
    <xf numFmtId="186" fontId="22" fillId="2" borderId="15" xfId="0" applyNumberFormat="1" applyFont="1" applyFill="1" applyBorder="1" applyAlignment="1">
      <alignment horizontal="right"/>
    </xf>
    <xf numFmtId="0" fontId="22" fillId="2" borderId="15" xfId="0" applyFont="1" applyFill="1" applyBorder="1" applyAlignment="1">
      <alignment/>
    </xf>
    <xf numFmtId="186" fontId="22" fillId="2" borderId="15" xfId="0" applyNumberFormat="1" applyFont="1" applyFill="1" applyBorder="1" applyAlignment="1" quotePrefix="1">
      <alignment/>
    </xf>
    <xf numFmtId="186" fontId="22" fillId="2" borderId="15" xfId="0" applyNumberFormat="1" applyFont="1" applyFill="1" applyBorder="1" applyAlignment="1">
      <alignment/>
    </xf>
    <xf numFmtId="0" fontId="22" fillId="0" borderId="15" xfId="0" applyFont="1" applyBorder="1" applyAlignment="1">
      <alignment/>
    </xf>
    <xf numFmtId="186" fontId="22" fillId="0" borderId="15" xfId="0" applyNumberFormat="1" applyFont="1" applyBorder="1" applyAlignment="1">
      <alignment/>
    </xf>
    <xf numFmtId="0" fontId="22" fillId="2" borderId="9" xfId="0" applyFont="1" applyFill="1" applyBorder="1" applyAlignment="1">
      <alignment/>
    </xf>
    <xf numFmtId="186" fontId="22" fillId="2" borderId="9" xfId="0" applyNumberFormat="1" applyFont="1" applyFill="1" applyBorder="1" applyAlignment="1" quotePrefix="1">
      <alignment horizontal="right"/>
    </xf>
    <xf numFmtId="0" fontId="22" fillId="2" borderId="9" xfId="0" applyFont="1" applyFill="1" applyBorder="1" applyAlignment="1">
      <alignment/>
    </xf>
    <xf numFmtId="186" fontId="22" fillId="2" borderId="9" xfId="0" applyNumberFormat="1" applyFont="1" applyFill="1" applyBorder="1" applyAlignment="1" quotePrefix="1">
      <alignment/>
    </xf>
    <xf numFmtId="186" fontId="22" fillId="2" borderId="9" xfId="0" applyNumberFormat="1" applyFont="1" applyFill="1" applyBorder="1" applyAlignment="1">
      <alignment/>
    </xf>
    <xf numFmtId="0" fontId="22" fillId="0" borderId="9" xfId="0" applyFont="1" applyBorder="1" applyAlignment="1">
      <alignment/>
    </xf>
    <xf numFmtId="186" fontId="22" fillId="0" borderId="9" xfId="0" applyNumberFormat="1" applyFont="1" applyBorder="1" applyAlignment="1">
      <alignment/>
    </xf>
    <xf numFmtId="189" fontId="19" fillId="0" borderId="0" xfId="21" applyNumberFormat="1" applyFont="1">
      <alignment/>
      <protection/>
    </xf>
    <xf numFmtId="0" fontId="19" fillId="0" borderId="0" xfId="21" applyFont="1">
      <alignment/>
      <protection/>
    </xf>
    <xf numFmtId="3" fontId="19" fillId="0" borderId="0" xfId="21" applyNumberFormat="1" applyFont="1">
      <alignment/>
      <protection/>
    </xf>
    <xf numFmtId="41" fontId="19" fillId="0" borderId="0" xfId="21" applyNumberFormat="1" applyFont="1">
      <alignment/>
      <protection/>
    </xf>
    <xf numFmtId="0" fontId="5" fillId="0" borderId="0" xfId="0" applyFont="1" applyAlignment="1">
      <alignment wrapText="1"/>
    </xf>
    <xf numFmtId="0" fontId="0" fillId="0" borderId="0" xfId="0" applyFont="1" applyAlignment="1">
      <alignment wrapText="1"/>
    </xf>
    <xf numFmtId="0" fontId="0" fillId="0" borderId="16" xfId="0" applyFont="1" applyBorder="1" applyAlignment="1">
      <alignment wrapText="1"/>
    </xf>
    <xf numFmtId="0" fontId="0" fillId="0" borderId="17" xfId="0" applyFont="1" applyBorder="1" applyAlignment="1">
      <alignment wrapText="1"/>
    </xf>
    <xf numFmtId="0" fontId="16" fillId="0" borderId="18" xfId="0" applyFont="1" applyFill="1" applyBorder="1" applyAlignment="1">
      <alignment/>
    </xf>
    <xf numFmtId="1" fontId="0" fillId="0" borderId="0" xfId="0" applyNumberFormat="1" applyFill="1" applyAlignment="1">
      <alignment/>
    </xf>
    <xf numFmtId="3" fontId="0" fillId="2" borderId="0" xfId="0" applyNumberFormat="1" applyFont="1" applyFill="1" applyAlignment="1">
      <alignment/>
    </xf>
    <xf numFmtId="3" fontId="0" fillId="0" borderId="0" xfId="0" applyNumberFormat="1" applyFill="1" applyAlignment="1">
      <alignment/>
    </xf>
    <xf numFmtId="0" fontId="0" fillId="0" borderId="0" xfId="0" applyFont="1" applyAlignment="1">
      <alignment/>
    </xf>
    <xf numFmtId="9" fontId="0" fillId="0" borderId="0" xfId="0" applyNumberFormat="1" applyFont="1" applyAlignment="1">
      <alignment/>
    </xf>
    <xf numFmtId="0" fontId="0" fillId="0" borderId="0" xfId="0" applyFont="1" applyFill="1" applyAlignment="1">
      <alignment/>
    </xf>
    <xf numFmtId="2" fontId="0" fillId="2" borderId="0" xfId="0" applyNumberFormat="1" applyFont="1" applyFill="1" applyAlignment="1">
      <alignment/>
    </xf>
    <xf numFmtId="2" fontId="0" fillId="0" borderId="0" xfId="0" applyNumberFormat="1" applyFont="1" applyAlignment="1">
      <alignment/>
    </xf>
    <xf numFmtId="0" fontId="0" fillId="2" borderId="0" xfId="0" applyFill="1" applyAlignment="1">
      <alignment horizontal="right"/>
    </xf>
    <xf numFmtId="0" fontId="0" fillId="0" borderId="0" xfId="0" applyFont="1" applyAlignment="1">
      <alignment/>
    </xf>
    <xf numFmtId="0" fontId="5" fillId="0" borderId="0" xfId="0" applyFont="1" applyAlignment="1">
      <alignment/>
    </xf>
    <xf numFmtId="0" fontId="16" fillId="0" borderId="0" xfId="0" applyFont="1" applyAlignment="1">
      <alignment wrapText="1"/>
    </xf>
    <xf numFmtId="0" fontId="0" fillId="0" borderId="19" xfId="0" applyFont="1" applyBorder="1" applyAlignment="1">
      <alignment wrapText="1"/>
    </xf>
    <xf numFmtId="0" fontId="16" fillId="0" borderId="20" xfId="0" applyFont="1" applyBorder="1" applyAlignment="1">
      <alignment wrapText="1"/>
    </xf>
    <xf numFmtId="0" fontId="5" fillId="0" borderId="16" xfId="0" applyFont="1" applyBorder="1" applyAlignment="1">
      <alignment wrapText="1"/>
    </xf>
    <xf numFmtId="0" fontId="16" fillId="0" borderId="16" xfId="0" applyFont="1" applyBorder="1" applyAlignment="1">
      <alignment wrapText="1"/>
    </xf>
    <xf numFmtId="0" fontId="5" fillId="0" borderId="16" xfId="0" applyFont="1" applyBorder="1" applyAlignment="1">
      <alignment/>
    </xf>
    <xf numFmtId="3" fontId="0" fillId="0" borderId="16" xfId="0" applyNumberFormat="1" applyFont="1" applyBorder="1" applyAlignment="1">
      <alignment wrapText="1"/>
    </xf>
    <xf numFmtId="3" fontId="0" fillId="0" borderId="16" xfId="0" applyNumberFormat="1" applyBorder="1" applyAlignment="1">
      <alignment/>
    </xf>
    <xf numFmtId="0" fontId="16" fillId="0" borderId="18" xfId="0" applyFont="1" applyBorder="1" applyAlignment="1">
      <alignment wrapText="1"/>
    </xf>
    <xf numFmtId="0" fontId="5" fillId="0" borderId="18" xfId="0" applyFont="1" applyBorder="1" applyAlignment="1">
      <alignment wrapText="1"/>
    </xf>
    <xf numFmtId="0" fontId="0" fillId="0" borderId="18" xfId="0" applyFont="1" applyBorder="1" applyAlignment="1">
      <alignment wrapText="1"/>
    </xf>
    <xf numFmtId="3" fontId="0" fillId="6" borderId="9" xfId="0" applyNumberFormat="1" applyFill="1" applyBorder="1" applyAlignment="1">
      <alignment/>
    </xf>
    <xf numFmtId="1" fontId="0" fillId="6" borderId="9" xfId="0" applyNumberFormat="1" applyFill="1" applyBorder="1" applyAlignment="1">
      <alignment/>
    </xf>
    <xf numFmtId="0" fontId="3" fillId="0" borderId="0" xfId="0" applyFont="1" applyAlignment="1">
      <alignment wrapText="1"/>
    </xf>
    <xf numFmtId="0" fontId="3" fillId="0" borderId="0" xfId="0" applyFont="1" applyAlignment="1">
      <alignment/>
    </xf>
    <xf numFmtId="0" fontId="0" fillId="0" borderId="0" xfId="0" applyFont="1" applyFill="1" applyAlignment="1">
      <alignment/>
    </xf>
    <xf numFmtId="10" fontId="0" fillId="0" borderId="0" xfId="0" applyNumberFormat="1" applyAlignment="1">
      <alignment/>
    </xf>
    <xf numFmtId="10" fontId="0" fillId="0" borderId="0" xfId="0" applyNumberFormat="1" applyFill="1" applyAlignment="1">
      <alignment/>
    </xf>
    <xf numFmtId="9" fontId="0" fillId="2" borderId="0" xfId="0" applyNumberFormat="1" applyFill="1" applyAlignment="1">
      <alignment/>
    </xf>
    <xf numFmtId="1" fontId="0" fillId="2" borderId="0" xfId="0" applyNumberFormat="1" applyFill="1" applyAlignment="1">
      <alignment/>
    </xf>
    <xf numFmtId="9" fontId="0" fillId="0" borderId="0" xfId="0" applyNumberFormat="1" applyFill="1" applyAlignment="1">
      <alignment/>
    </xf>
    <xf numFmtId="9" fontId="0" fillId="0" borderId="0" xfId="0" applyNumberFormat="1" applyFont="1" applyAlignment="1">
      <alignment/>
    </xf>
    <xf numFmtId="0" fontId="16" fillId="0" borderId="0" xfId="0" applyFont="1" applyFill="1" applyAlignment="1">
      <alignment/>
    </xf>
    <xf numFmtId="0" fontId="26" fillId="0" borderId="0" xfId="0" applyFont="1" applyAlignment="1">
      <alignment/>
    </xf>
    <xf numFmtId="0" fontId="26" fillId="0" borderId="0" xfId="0" applyFont="1" applyFill="1" applyAlignment="1">
      <alignment/>
    </xf>
    <xf numFmtId="0" fontId="9" fillId="0" borderId="9" xfId="0" applyFont="1" applyFill="1" applyBorder="1" applyAlignment="1">
      <alignment horizontal="center" vertical="center" wrapText="1"/>
    </xf>
    <xf numFmtId="0" fontId="28" fillId="0" borderId="9" xfId="0" applyFont="1" applyFill="1" applyBorder="1" applyAlignment="1">
      <alignment/>
    </xf>
    <xf numFmtId="190" fontId="28" fillId="0" borderId="9" xfId="0" applyNumberFormat="1" applyFont="1" applyFill="1" applyBorder="1" applyAlignment="1">
      <alignment/>
    </xf>
    <xf numFmtId="0" fontId="27" fillId="0" borderId="9" xfId="0" applyFont="1" applyFill="1" applyBorder="1" applyAlignment="1">
      <alignment/>
    </xf>
    <xf numFmtId="0" fontId="0" fillId="0" borderId="9" xfId="0" applyFont="1" applyFill="1" applyBorder="1" applyAlignment="1">
      <alignment/>
    </xf>
    <xf numFmtId="6" fontId="0" fillId="0" borderId="0" xfId="0" applyNumberFormat="1" applyAlignment="1">
      <alignment/>
    </xf>
    <xf numFmtId="0" fontId="0" fillId="0" borderId="0" xfId="0" applyAlignment="1">
      <alignment horizontal="right"/>
    </xf>
    <xf numFmtId="38" fontId="0" fillId="0" borderId="0" xfId="0" applyNumberFormat="1" applyAlignment="1">
      <alignment/>
    </xf>
    <xf numFmtId="2" fontId="0" fillId="2" borderId="0" xfId="0" applyNumberFormat="1" applyFill="1" applyAlignment="1">
      <alignment/>
    </xf>
    <xf numFmtId="4" fontId="0" fillId="2" borderId="0" xfId="0" applyNumberFormat="1" applyFill="1" applyAlignment="1">
      <alignment/>
    </xf>
    <xf numFmtId="1" fontId="0" fillId="2" borderId="0" xfId="0" applyNumberFormat="1" applyFont="1" applyFill="1" applyAlignment="1">
      <alignment/>
    </xf>
    <xf numFmtId="2" fontId="29" fillId="0" borderId="0" xfId="0" applyNumberFormat="1" applyFont="1" applyFill="1" applyAlignment="1">
      <alignment/>
    </xf>
    <xf numFmtId="0" fontId="29" fillId="0" borderId="0" xfId="0" applyFont="1" applyFill="1" applyAlignment="1">
      <alignment/>
    </xf>
    <xf numFmtId="0" fontId="29" fillId="2" borderId="0" xfId="0" applyFont="1" applyFill="1" applyAlignment="1">
      <alignment/>
    </xf>
    <xf numFmtId="0" fontId="30" fillId="2" borderId="0" xfId="0" applyFont="1" applyFill="1" applyAlignment="1">
      <alignment/>
    </xf>
    <xf numFmtId="8" fontId="0" fillId="0" borderId="0" xfId="0" applyNumberFormat="1" applyAlignment="1">
      <alignment/>
    </xf>
    <xf numFmtId="168" fontId="0" fillId="0" borderId="0" xfId="0" applyNumberFormat="1" applyAlignment="1">
      <alignment/>
    </xf>
    <xf numFmtId="168" fontId="16" fillId="0" borderId="0" xfId="0" applyNumberFormat="1" applyFont="1" applyAlignment="1">
      <alignment/>
    </xf>
    <xf numFmtId="0" fontId="29" fillId="0" borderId="0" xfId="0" applyFont="1" applyAlignment="1">
      <alignment/>
    </xf>
    <xf numFmtId="9" fontId="29" fillId="0" borderId="0" xfId="0" applyNumberFormat="1" applyFont="1" applyAlignment="1">
      <alignment/>
    </xf>
    <xf numFmtId="3" fontId="29" fillId="0" borderId="0" xfId="0" applyNumberFormat="1" applyFont="1" applyAlignment="1">
      <alignment/>
    </xf>
    <xf numFmtId="1" fontId="29" fillId="0" borderId="0" xfId="0" applyNumberFormat="1" applyFont="1" applyAlignment="1">
      <alignment/>
    </xf>
    <xf numFmtId="194" fontId="0" fillId="0" borderId="0" xfId="0" applyNumberFormat="1" applyAlignment="1">
      <alignment/>
    </xf>
    <xf numFmtId="9" fontId="7" fillId="0" borderId="0" xfId="0" applyNumberFormat="1" applyFont="1" applyAlignment="1">
      <alignment/>
    </xf>
    <xf numFmtId="3" fontId="7" fillId="0" borderId="0" xfId="0" applyNumberFormat="1" applyFont="1" applyAlignment="1">
      <alignment/>
    </xf>
    <xf numFmtId="2" fontId="5" fillId="0" borderId="0" xfId="0" applyNumberFormat="1" applyFont="1" applyAlignment="1">
      <alignment/>
    </xf>
    <xf numFmtId="0" fontId="5" fillId="0" borderId="0" xfId="0" applyFont="1" applyAlignment="1">
      <alignment horizontal="right"/>
    </xf>
    <xf numFmtId="9" fontId="0" fillId="3" borderId="0" xfId="0" applyNumberFormat="1" applyFill="1" applyAlignment="1">
      <alignment/>
    </xf>
    <xf numFmtId="199" fontId="0" fillId="0" borderId="0" xfId="0" applyNumberFormat="1" applyAlignment="1">
      <alignment/>
    </xf>
    <xf numFmtId="0" fontId="31" fillId="0" borderId="0" xfId="0" applyFont="1" applyAlignment="1">
      <alignment/>
    </xf>
    <xf numFmtId="0" fontId="0" fillId="3" borderId="0" xfId="0" applyFill="1" applyAlignment="1">
      <alignment/>
    </xf>
    <xf numFmtId="0" fontId="32" fillId="0" borderId="0" xfId="0" applyFont="1" applyAlignment="1">
      <alignment/>
    </xf>
    <xf numFmtId="0" fontId="32" fillId="0" borderId="0" xfId="0" applyFont="1" applyFill="1" applyAlignment="1">
      <alignment/>
    </xf>
    <xf numFmtId="168" fontId="31" fillId="0" borderId="0" xfId="0" applyNumberFormat="1" applyFont="1" applyAlignment="1">
      <alignment/>
    </xf>
    <xf numFmtId="0" fontId="33" fillId="0" borderId="10" xfId="0" applyFont="1" applyFill="1" applyBorder="1" applyAlignment="1">
      <alignment/>
    </xf>
    <xf numFmtId="0" fontId="35" fillId="12" borderId="9" xfId="0" applyFont="1" applyFill="1" applyBorder="1" applyAlignment="1">
      <alignment/>
    </xf>
    <xf numFmtId="0" fontId="35" fillId="12" borderId="11" xfId="0" applyFont="1" applyFill="1" applyBorder="1" applyAlignment="1">
      <alignment/>
    </xf>
    <xf numFmtId="0" fontId="35" fillId="12" borderId="21" xfId="0" applyFont="1" applyFill="1" applyBorder="1" applyAlignment="1">
      <alignment/>
    </xf>
    <xf numFmtId="0" fontId="29" fillId="12" borderId="9" xfId="0" applyFont="1" applyFill="1" applyBorder="1" applyAlignment="1">
      <alignment/>
    </xf>
    <xf numFmtId="0" fontId="29" fillId="12" borderId="0" xfId="0" applyFont="1" applyFill="1" applyAlignment="1">
      <alignment/>
    </xf>
    <xf numFmtId="190" fontId="35" fillId="12" borderId="9" xfId="0" applyNumberFormat="1" applyFont="1" applyFill="1" applyBorder="1" applyAlignment="1">
      <alignment/>
    </xf>
    <xf numFmtId="0" fontId="34" fillId="12" borderId="11" xfId="0" applyFont="1" applyFill="1" applyBorder="1" applyAlignment="1">
      <alignment horizontal="center" vertical="center" wrapText="1"/>
    </xf>
    <xf numFmtId="0" fontId="34" fillId="12" borderId="0" xfId="0" applyFont="1" applyFill="1" applyBorder="1" applyAlignment="1">
      <alignment horizontal="center" vertical="center" wrapText="1"/>
    </xf>
    <xf numFmtId="0" fontId="34" fillId="12" borderId="9" xfId="0" applyFont="1" applyFill="1" applyBorder="1" applyAlignment="1">
      <alignment horizontal="center" vertical="center" wrapText="1"/>
    </xf>
    <xf numFmtId="0" fontId="30" fillId="12" borderId="9" xfId="0" applyFont="1" applyFill="1" applyBorder="1" applyAlignment="1">
      <alignment horizontal="center" vertical="center" wrapText="1"/>
    </xf>
    <xf numFmtId="0" fontId="29" fillId="12" borderId="0" xfId="0" applyFont="1" applyFill="1" applyAlignment="1">
      <alignment/>
    </xf>
    <xf numFmtId="0" fontId="30" fillId="12" borderId="13" xfId="0" applyFont="1" applyFill="1" applyBorder="1" applyAlignment="1">
      <alignment horizontal="center" vertical="center" wrapText="1"/>
    </xf>
    <xf numFmtId="0" fontId="30" fillId="12" borderId="11" xfId="0" applyFont="1" applyFill="1" applyBorder="1" applyAlignment="1">
      <alignment horizontal="center" vertical="center" wrapText="1"/>
    </xf>
    <xf numFmtId="0" fontId="35" fillId="12" borderId="9" xfId="0" applyFont="1" applyFill="1" applyBorder="1" applyAlignment="1">
      <alignment horizontal="center" vertical="center" wrapText="1"/>
    </xf>
    <xf numFmtId="9" fontId="34" fillId="12" borderId="9" xfId="0" applyNumberFormat="1" applyFont="1" applyFill="1" applyBorder="1" applyAlignment="1">
      <alignment horizontal="center" vertical="center" wrapText="1"/>
    </xf>
    <xf numFmtId="0" fontId="30" fillId="12" borderId="9" xfId="0" applyFont="1" applyFill="1" applyBorder="1" applyAlignment="1">
      <alignment/>
    </xf>
    <xf numFmtId="0" fontId="34" fillId="12" borderId="9" xfId="0" applyFont="1" applyFill="1" applyBorder="1" applyAlignment="1">
      <alignment horizontal="center"/>
    </xf>
    <xf numFmtId="0" fontId="34" fillId="12" borderId="9" xfId="0" applyFont="1" applyFill="1" applyBorder="1" applyAlignment="1">
      <alignment horizontal="left" wrapText="1" indent="2"/>
    </xf>
    <xf numFmtId="0" fontId="35" fillId="12" borderId="9" xfId="0" applyFont="1" applyFill="1" applyBorder="1" applyAlignment="1">
      <alignment horizontal="center"/>
    </xf>
    <xf numFmtId="191" fontId="35" fillId="12" borderId="9" xfId="15" applyNumberFormat="1" applyFont="1" applyFill="1" applyBorder="1" applyAlignment="1">
      <alignment horizontal="center"/>
    </xf>
    <xf numFmtId="37" fontId="35" fillId="12" borderId="9" xfId="0" applyNumberFormat="1" applyFont="1" applyFill="1" applyBorder="1" applyAlignment="1">
      <alignment/>
    </xf>
    <xf numFmtId="191" fontId="36" fillId="12" borderId="9" xfId="0" applyNumberFormat="1" applyFont="1" applyFill="1" applyBorder="1" applyAlignment="1">
      <alignment/>
    </xf>
    <xf numFmtId="186" fontId="35" fillId="12" borderId="9" xfId="0" applyNumberFormat="1" applyFont="1" applyFill="1" applyBorder="1" applyAlignment="1">
      <alignment/>
    </xf>
    <xf numFmtId="190" fontId="35" fillId="12" borderId="11" xfId="0" applyNumberFormat="1" applyFont="1" applyFill="1" applyBorder="1" applyAlignment="1">
      <alignment/>
    </xf>
    <xf numFmtId="190" fontId="29" fillId="12" borderId="11" xfId="0" applyNumberFormat="1" applyFont="1" applyFill="1" applyBorder="1" applyAlignment="1">
      <alignment/>
    </xf>
    <xf numFmtId="190" fontId="29" fillId="12" borderId="9" xfId="0" applyNumberFormat="1" applyFont="1" applyFill="1" applyBorder="1" applyAlignment="1">
      <alignment/>
    </xf>
    <xf numFmtId="9" fontId="35" fillId="12" borderId="9" xfId="0" applyNumberFormat="1" applyFont="1" applyFill="1" applyBorder="1" applyAlignment="1">
      <alignment/>
    </xf>
    <xf numFmtId="0" fontId="35" fillId="12" borderId="9" xfId="0" applyFont="1" applyFill="1" applyBorder="1" applyAlignment="1">
      <alignment horizontal="center" wrapText="1"/>
    </xf>
    <xf numFmtId="190" fontId="35" fillId="12" borderId="22" xfId="0" applyNumberFormat="1" applyFont="1" applyFill="1" applyBorder="1" applyAlignment="1">
      <alignment/>
    </xf>
    <xf numFmtId="192" fontId="36" fillId="12" borderId="9" xfId="0" applyNumberFormat="1" applyFont="1" applyFill="1" applyBorder="1" applyAlignment="1">
      <alignment/>
    </xf>
    <xf numFmtId="9" fontId="36" fillId="12" borderId="9" xfId="0" applyNumberFormat="1" applyFont="1" applyFill="1" applyBorder="1" applyAlignment="1">
      <alignment/>
    </xf>
    <xf numFmtId="0" fontId="30" fillId="12" borderId="9" xfId="0" applyFont="1" applyFill="1" applyBorder="1" applyAlignment="1">
      <alignment horizontal="left" wrapText="1" indent="1"/>
    </xf>
    <xf numFmtId="0" fontId="35" fillId="12" borderId="9" xfId="0" applyFont="1" applyFill="1" applyBorder="1" applyAlignment="1">
      <alignment wrapText="1"/>
    </xf>
    <xf numFmtId="0" fontId="35" fillId="12" borderId="9" xfId="0" applyFont="1" applyFill="1" applyBorder="1" applyAlignment="1">
      <alignment horizontal="left" indent="2"/>
    </xf>
    <xf numFmtId="191" fontId="35" fillId="12" borderId="9" xfId="0" applyNumberFormat="1" applyFont="1" applyFill="1" applyBorder="1" applyAlignment="1">
      <alignment/>
    </xf>
    <xf numFmtId="0" fontId="35" fillId="12" borderId="9" xfId="0" applyFont="1" applyFill="1" applyBorder="1" applyAlignment="1">
      <alignment horizontal="left" wrapText="1" indent="2"/>
    </xf>
    <xf numFmtId="0" fontId="37" fillId="12" borderId="9" xfId="0" applyFont="1" applyFill="1" applyBorder="1" applyAlignment="1">
      <alignment horizontal="left" indent="2"/>
    </xf>
    <xf numFmtId="0" fontId="37" fillId="12" borderId="9" xfId="0" applyFont="1" applyFill="1" applyBorder="1" applyAlignment="1">
      <alignment horizontal="center" wrapText="1"/>
    </xf>
    <xf numFmtId="191" fontId="37" fillId="12" borderId="9" xfId="0" applyNumberFormat="1" applyFont="1" applyFill="1" applyBorder="1" applyAlignment="1">
      <alignment horizontal="right" wrapText="1"/>
    </xf>
    <xf numFmtId="0" fontId="37" fillId="12" borderId="9" xfId="0" applyFont="1" applyFill="1" applyBorder="1" applyAlignment="1">
      <alignment horizontal="right" wrapText="1"/>
    </xf>
    <xf numFmtId="0" fontId="37" fillId="12" borderId="9" xfId="0" applyFont="1" applyFill="1" applyBorder="1" applyAlignment="1">
      <alignment/>
    </xf>
    <xf numFmtId="190" fontId="37" fillId="12" borderId="9" xfId="0" applyNumberFormat="1" applyFont="1" applyFill="1" applyBorder="1" applyAlignment="1">
      <alignment/>
    </xf>
    <xf numFmtId="190" fontId="37" fillId="12" borderId="9" xfId="0" applyNumberFormat="1" applyFont="1" applyFill="1" applyBorder="1" applyAlignment="1">
      <alignment horizontal="right" wrapText="1"/>
    </xf>
    <xf numFmtId="190" fontId="37" fillId="12" borderId="11" xfId="0" applyNumberFormat="1" applyFont="1" applyFill="1" applyBorder="1" applyAlignment="1">
      <alignment/>
    </xf>
    <xf numFmtId="0" fontId="37" fillId="12" borderId="21" xfId="0" applyFont="1" applyFill="1" applyBorder="1" applyAlignment="1">
      <alignment/>
    </xf>
    <xf numFmtId="193" fontId="30" fillId="12" borderId="9" xfId="17" applyNumberFormat="1" applyFont="1" applyFill="1" applyBorder="1" applyAlignment="1">
      <alignment horizontal="left" indent="1"/>
    </xf>
    <xf numFmtId="193" fontId="35" fillId="12" borderId="9" xfId="17" applyNumberFormat="1" applyFont="1" applyFill="1" applyBorder="1" applyAlignment="1">
      <alignment horizontal="left" indent="1"/>
    </xf>
    <xf numFmtId="191" fontId="35" fillId="12" borderId="9" xfId="15" applyNumberFormat="1" applyFont="1" applyFill="1" applyBorder="1" applyAlignment="1">
      <alignment/>
    </xf>
    <xf numFmtId="190" fontId="35" fillId="12" borderId="9" xfId="15" applyNumberFormat="1" applyFont="1" applyFill="1" applyBorder="1" applyAlignment="1">
      <alignment/>
    </xf>
    <xf numFmtId="0" fontId="35" fillId="12" borderId="9" xfId="0" applyFont="1" applyFill="1" applyBorder="1" applyAlignment="1">
      <alignment/>
    </xf>
    <xf numFmtId="0" fontId="29" fillId="12" borderId="11" xfId="0" applyFont="1" applyFill="1" applyBorder="1" applyAlignment="1">
      <alignment/>
    </xf>
    <xf numFmtId="190" fontId="35" fillId="12" borderId="9" xfId="15" applyNumberFormat="1" applyFont="1" applyFill="1" applyBorder="1" applyAlignment="1">
      <alignment horizontal="center"/>
    </xf>
    <xf numFmtId="190" fontId="35" fillId="12" borderId="9" xfId="0" applyNumberFormat="1" applyFont="1" applyFill="1" applyBorder="1" applyAlignment="1">
      <alignment/>
    </xf>
    <xf numFmtId="0" fontId="37" fillId="12" borderId="9" xfId="0" applyFont="1" applyFill="1" applyBorder="1" applyAlignment="1">
      <alignment horizontal="center"/>
    </xf>
    <xf numFmtId="0" fontId="37" fillId="12" borderId="9" xfId="0" applyFont="1" applyFill="1" applyBorder="1" applyAlignment="1">
      <alignment horizontal="right"/>
    </xf>
    <xf numFmtId="37" fontId="37" fillId="12" borderId="9" xfId="0" applyNumberFormat="1" applyFont="1" applyFill="1" applyBorder="1" applyAlignment="1">
      <alignment horizontal="right"/>
    </xf>
    <xf numFmtId="190" fontId="37" fillId="12" borderId="9" xfId="15" applyNumberFormat="1" applyFont="1" applyFill="1" applyBorder="1" applyAlignment="1">
      <alignment/>
    </xf>
    <xf numFmtId="190" fontId="30" fillId="12" borderId="9" xfId="0" applyNumberFormat="1" applyFont="1" applyFill="1" applyBorder="1" applyAlignment="1">
      <alignment/>
    </xf>
    <xf numFmtId="0" fontId="30" fillId="12" borderId="9" xfId="0" applyFont="1" applyFill="1" applyBorder="1" applyAlignment="1">
      <alignment horizontal="left"/>
    </xf>
    <xf numFmtId="9" fontId="37" fillId="12" borderId="9" xfId="0" applyNumberFormat="1" applyFont="1" applyFill="1" applyBorder="1" applyAlignment="1">
      <alignment/>
    </xf>
    <xf numFmtId="0" fontId="37" fillId="12" borderId="9" xfId="0" applyFont="1" applyFill="1" applyBorder="1" applyAlignment="1">
      <alignment horizontal="left" wrapText="1" indent="2"/>
    </xf>
    <xf numFmtId="0" fontId="35" fillId="12" borderId="9" xfId="15" applyNumberFormat="1" applyFont="1" applyFill="1" applyBorder="1" applyAlignment="1">
      <alignment horizontal="right"/>
    </xf>
    <xf numFmtId="190" fontId="36" fillId="12" borderId="9" xfId="0" applyNumberFormat="1" applyFont="1" applyFill="1" applyBorder="1" applyAlignment="1">
      <alignment/>
    </xf>
    <xf numFmtId="0" fontId="34" fillId="12" borderId="9" xfId="0" applyFont="1" applyFill="1" applyBorder="1" applyAlignment="1">
      <alignment horizontal="left" wrapText="1"/>
    </xf>
    <xf numFmtId="0" fontId="35" fillId="12" borderId="9" xfId="0" applyFont="1" applyFill="1" applyBorder="1" applyAlignment="1">
      <alignment horizontal="right"/>
    </xf>
    <xf numFmtId="191" fontId="35" fillId="12" borderId="9" xfId="15" applyNumberFormat="1" applyFont="1" applyFill="1" applyBorder="1" applyAlignment="1">
      <alignment horizontal="right"/>
    </xf>
    <xf numFmtId="3" fontId="37" fillId="12" borderId="9" xfId="0" applyNumberFormat="1" applyFont="1" applyFill="1" applyBorder="1" applyAlignment="1">
      <alignment/>
    </xf>
    <xf numFmtId="0" fontId="37" fillId="12" borderId="9" xfId="17" applyNumberFormat="1" applyFont="1" applyFill="1" applyBorder="1" applyAlignment="1">
      <alignment horizontal="right"/>
    </xf>
    <xf numFmtId="191" fontId="37" fillId="12" borderId="9" xfId="0" applyNumberFormat="1" applyFont="1" applyFill="1" applyBorder="1" applyAlignment="1">
      <alignment horizontal="right"/>
    </xf>
    <xf numFmtId="0" fontId="35" fillId="12" borderId="9" xfId="0" applyFont="1" applyFill="1" applyBorder="1" applyAlignment="1">
      <alignment horizontal="left" indent="1"/>
    </xf>
    <xf numFmtId="0" fontId="38" fillId="12" borderId="21" xfId="0" applyFont="1" applyFill="1" applyBorder="1" applyAlignment="1">
      <alignment/>
    </xf>
    <xf numFmtId="0" fontId="38" fillId="12" borderId="9" xfId="0" applyFont="1" applyFill="1" applyBorder="1" applyAlignment="1">
      <alignment/>
    </xf>
    <xf numFmtId="0" fontId="35" fillId="12" borderId="9" xfId="0" applyFont="1" applyFill="1" applyBorder="1" applyAlignment="1">
      <alignment horizontal="left" wrapText="1" indent="1"/>
    </xf>
    <xf numFmtId="0" fontId="36" fillId="12" borderId="9" xfId="15" applyNumberFormat="1" applyFont="1" applyFill="1" applyBorder="1" applyAlignment="1">
      <alignment horizontal="right"/>
    </xf>
    <xf numFmtId="191" fontId="36" fillId="12" borderId="9" xfId="15" applyNumberFormat="1" applyFont="1" applyFill="1" applyBorder="1" applyAlignment="1">
      <alignment horizontal="center"/>
    </xf>
    <xf numFmtId="0" fontId="36" fillId="12" borderId="9" xfId="0" applyFont="1" applyFill="1" applyBorder="1" applyAlignment="1">
      <alignment/>
    </xf>
    <xf numFmtId="0" fontId="30" fillId="12" borderId="9" xfId="0" applyFont="1" applyFill="1" applyBorder="1" applyAlignment="1">
      <alignment horizontal="center"/>
    </xf>
    <xf numFmtId="191" fontId="30" fillId="12" borderId="9" xfId="15" applyNumberFormat="1" applyFont="1" applyFill="1" applyBorder="1" applyAlignment="1">
      <alignment horizontal="center"/>
    </xf>
    <xf numFmtId="190" fontId="30" fillId="12" borderId="9" xfId="15" applyNumberFormat="1" applyFont="1" applyFill="1" applyBorder="1" applyAlignment="1">
      <alignment horizontal="center"/>
    </xf>
    <xf numFmtId="190" fontId="30" fillId="12" borderId="9" xfId="15" applyNumberFormat="1" applyFont="1" applyFill="1" applyBorder="1" applyAlignment="1">
      <alignment horizontal="right"/>
    </xf>
    <xf numFmtId="190" fontId="30" fillId="12" borderId="11" xfId="15" applyNumberFormat="1" applyFont="1" applyFill="1" applyBorder="1" applyAlignment="1">
      <alignment horizontal="right"/>
    </xf>
    <xf numFmtId="0" fontId="39" fillId="0" borderId="9" xfId="0" applyFont="1" applyFill="1" applyBorder="1" applyAlignment="1">
      <alignment/>
    </xf>
    <xf numFmtId="0" fontId="39" fillId="0" borderId="11" xfId="0" applyFont="1" applyFill="1" applyBorder="1" applyAlignment="1">
      <alignment/>
    </xf>
    <xf numFmtId="0" fontId="39" fillId="0" borderId="22" xfId="0" applyFont="1" applyFill="1" applyBorder="1" applyAlignment="1">
      <alignment/>
    </xf>
    <xf numFmtId="0" fontId="39" fillId="0" borderId="21" xfId="0" applyFont="1" applyFill="1" applyBorder="1" applyAlignment="1">
      <alignment/>
    </xf>
    <xf numFmtId="0" fontId="39" fillId="0" borderId="0" xfId="0" applyFont="1" applyFill="1" applyBorder="1" applyAlignment="1">
      <alignment/>
    </xf>
    <xf numFmtId="0" fontId="39" fillId="0" borderId="6" xfId="0" applyFont="1" applyFill="1" applyBorder="1" applyAlignment="1">
      <alignment/>
    </xf>
    <xf numFmtId="0" fontId="7" fillId="0" borderId="0" xfId="0" applyFont="1" applyFill="1" applyBorder="1" applyAlignment="1">
      <alignment/>
    </xf>
    <xf numFmtId="0" fontId="7" fillId="0" borderId="9" xfId="0" applyFont="1" applyFill="1" applyBorder="1" applyAlignment="1">
      <alignment/>
    </xf>
    <xf numFmtId="0" fontId="7" fillId="0" borderId="0" xfId="0" applyFont="1" applyFill="1" applyAlignment="1">
      <alignment/>
    </xf>
    <xf numFmtId="190" fontId="39" fillId="0" borderId="9" xfId="0" applyNumberFormat="1" applyFont="1" applyFill="1" applyBorder="1" applyAlignment="1">
      <alignment/>
    </xf>
    <xf numFmtId="0" fontId="10" fillId="0" borderId="9" xfId="0" applyFont="1" applyFill="1" applyBorder="1" applyAlignment="1">
      <alignment/>
    </xf>
    <xf numFmtId="190" fontId="10" fillId="0" borderId="9" xfId="0" applyNumberFormat="1" applyFont="1" applyFill="1" applyBorder="1" applyAlignment="1">
      <alignment/>
    </xf>
    <xf numFmtId="6" fontId="10" fillId="0" borderId="9" xfId="0" applyNumberFormat="1" applyFont="1" applyFill="1" applyBorder="1" applyAlignment="1">
      <alignment/>
    </xf>
    <xf numFmtId="190" fontId="10" fillId="0" borderId="9" xfId="0" applyNumberFormat="1" applyFont="1" applyFill="1" applyBorder="1" applyAlignment="1">
      <alignment/>
    </xf>
    <xf numFmtId="0" fontId="10" fillId="0" borderId="9" xfId="0" applyFont="1" applyFill="1" applyBorder="1" applyAlignment="1">
      <alignment/>
    </xf>
    <xf numFmtId="0" fontId="17" fillId="0" borderId="0" xfId="0" applyFont="1" applyAlignment="1">
      <alignment/>
    </xf>
    <xf numFmtId="188" fontId="0" fillId="0" borderId="0" xfId="0" applyNumberFormat="1" applyAlignment="1">
      <alignment/>
    </xf>
    <xf numFmtId="2" fontId="5" fillId="0" borderId="0" xfId="0" applyNumberFormat="1" applyFont="1" applyFill="1" applyBorder="1" applyAlignment="1">
      <alignment/>
    </xf>
    <xf numFmtId="0" fontId="5" fillId="0" borderId="0" xfId="22" applyFont="1" applyFill="1" applyBorder="1" applyAlignment="1">
      <alignment horizontal="left"/>
    </xf>
    <xf numFmtId="38" fontId="5" fillId="0" borderId="0" xfId="22" applyNumberFormat="1" applyFont="1" applyFill="1" applyBorder="1" applyAlignment="1">
      <alignment horizontal="left"/>
    </xf>
    <xf numFmtId="195" fontId="0" fillId="0" borderId="0" xfId="22" applyNumberFormat="1" applyFont="1" applyFill="1" applyBorder="1" applyAlignment="1">
      <alignment horizontal="center"/>
    </xf>
    <xf numFmtId="0" fontId="0" fillId="0" borderId="0" xfId="22" applyFont="1" applyFill="1" applyBorder="1" applyAlignment="1">
      <alignment horizontal="left" indent="3"/>
    </xf>
    <xf numFmtId="38" fontId="0" fillId="0" borderId="0" xfId="22" applyNumberFormat="1" applyFont="1" applyFill="1" applyBorder="1" applyAlignment="1">
      <alignment horizontal="center"/>
    </xf>
    <xf numFmtId="196" fontId="0" fillId="0" borderId="0" xfId="22" applyNumberFormat="1" applyFont="1" applyFill="1" applyBorder="1" applyAlignment="1">
      <alignment horizontal="center"/>
    </xf>
    <xf numFmtId="0" fontId="0" fillId="0" borderId="0" xfId="22" applyNumberFormat="1" applyFont="1" applyFill="1" applyBorder="1" applyAlignment="1">
      <alignment horizontal="center"/>
    </xf>
    <xf numFmtId="0" fontId="0" fillId="0" borderId="0" xfId="0" applyFont="1" applyBorder="1" applyAlignment="1">
      <alignment/>
    </xf>
    <xf numFmtId="2" fontId="0" fillId="0" borderId="0" xfId="0" applyNumberFormat="1" applyFont="1" applyBorder="1" applyAlignment="1">
      <alignment/>
    </xf>
    <xf numFmtId="0" fontId="31" fillId="0" borderId="0" xfId="0" applyFont="1" applyAlignment="1">
      <alignment/>
    </xf>
    <xf numFmtId="1" fontId="0" fillId="0" borderId="0" xfId="0" applyNumberFormat="1" applyFont="1" applyAlignment="1">
      <alignment/>
    </xf>
    <xf numFmtId="41" fontId="0" fillId="0" borderId="0" xfId="0" applyNumberFormat="1" applyFont="1" applyAlignment="1">
      <alignment/>
    </xf>
    <xf numFmtId="43" fontId="0" fillId="0" borderId="0" xfId="0" applyNumberFormat="1" applyFont="1" applyFill="1" applyAlignment="1">
      <alignment/>
    </xf>
    <xf numFmtId="43" fontId="0" fillId="0" borderId="0" xfId="0" applyNumberFormat="1" applyFont="1" applyAlignment="1">
      <alignment/>
    </xf>
    <xf numFmtId="0" fontId="0" fillId="0" borderId="0" xfId="0" applyFont="1" applyFill="1" applyBorder="1" applyAlignment="1">
      <alignment horizontal="center"/>
    </xf>
    <xf numFmtId="0" fontId="0" fillId="0" borderId="0" xfId="0" applyFont="1" applyFill="1" applyBorder="1" applyAlignment="1">
      <alignment wrapText="1"/>
    </xf>
    <xf numFmtId="0" fontId="5" fillId="0" borderId="0" xfId="0" applyFont="1" applyFill="1" applyBorder="1" applyAlignment="1">
      <alignment wrapText="1"/>
    </xf>
    <xf numFmtId="10" fontId="0" fillId="5" borderId="0" xfId="0" applyNumberFormat="1" applyFill="1" applyAlignment="1">
      <alignment/>
    </xf>
    <xf numFmtId="3" fontId="0" fillId="0" borderId="0" xfId="0" applyNumberFormat="1" applyFont="1" applyAlignment="1">
      <alignment/>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xf>
    <xf numFmtId="3" fontId="0" fillId="0" borderId="0" xfId="0" applyNumberFormat="1" applyFont="1" applyFill="1" applyBorder="1" applyAlignment="1">
      <alignment/>
    </xf>
    <xf numFmtId="0" fontId="0" fillId="0" borderId="0" xfId="0" applyFont="1" applyFill="1" applyBorder="1" applyAlignment="1">
      <alignment/>
    </xf>
    <xf numFmtId="0" fontId="5" fillId="0" borderId="0" xfId="0" applyFont="1" applyFill="1" applyAlignment="1">
      <alignment/>
    </xf>
    <xf numFmtId="188" fontId="0" fillId="0" borderId="0" xfId="0" applyNumberFormat="1" applyFill="1" applyAlignment="1">
      <alignment/>
    </xf>
    <xf numFmtId="3" fontId="0" fillId="0" borderId="0" xfId="0" applyNumberFormat="1" applyFont="1" applyFill="1" applyAlignment="1">
      <alignment/>
    </xf>
    <xf numFmtId="0" fontId="43" fillId="0" borderId="0" xfId="0" applyFont="1" applyAlignment="1">
      <alignment/>
    </xf>
    <xf numFmtId="0" fontId="0" fillId="0" borderId="23" xfId="0" applyFont="1" applyBorder="1" applyAlignment="1">
      <alignment vertical="top" wrapText="1"/>
    </xf>
    <xf numFmtId="0" fontId="0" fillId="0" borderId="23" xfId="0" applyBorder="1" applyAlignment="1">
      <alignment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6" fillId="0" borderId="23" xfId="20" applyFill="1" applyBorder="1" applyAlignment="1">
      <alignment vertical="top" wrapText="1"/>
    </xf>
    <xf numFmtId="0" fontId="6" fillId="0" borderId="23" xfId="20" applyBorder="1" applyAlignment="1">
      <alignment wrapText="1"/>
    </xf>
    <xf numFmtId="0" fontId="44" fillId="0" borderId="0" xfId="0" applyFont="1" applyAlignment="1">
      <alignment/>
    </xf>
    <xf numFmtId="9" fontId="8" fillId="0" borderId="0" xfId="0" applyNumberFormat="1" applyFont="1" applyFill="1" applyBorder="1" applyAlignment="1">
      <alignment/>
    </xf>
    <xf numFmtId="0" fontId="44" fillId="0" borderId="0" xfId="0" applyFont="1" applyAlignment="1">
      <alignment/>
    </xf>
    <xf numFmtId="0" fontId="6" fillId="0" borderId="23" xfId="20" applyBorder="1" applyAlignment="1">
      <alignment vertical="top" wrapText="1"/>
    </xf>
    <xf numFmtId="0" fontId="0" fillId="0" borderId="0"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8" xfId="0" applyBorder="1" applyAlignment="1">
      <alignment vertical="center" wrapText="1"/>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vertical="center"/>
    </xf>
    <xf numFmtId="9" fontId="0" fillId="0" borderId="12" xfId="0" applyNumberFormat="1" applyBorder="1" applyAlignment="1">
      <alignment horizontal="center" vertical="center"/>
    </xf>
    <xf numFmtId="9" fontId="0" fillId="0" borderId="13" xfId="0" applyNumberFormat="1" applyBorder="1" applyAlignment="1">
      <alignment horizontal="center" vertical="center"/>
    </xf>
    <xf numFmtId="0" fontId="48" fillId="0" borderId="0" xfId="0" applyFont="1" applyAlignment="1">
      <alignment/>
    </xf>
    <xf numFmtId="9" fontId="47" fillId="0" borderId="0" xfId="0" applyNumberFormat="1" applyFont="1" applyAlignment="1">
      <alignment/>
    </xf>
    <xf numFmtId="0" fontId="3" fillId="0" borderId="0" xfId="0" applyFont="1" applyAlignment="1">
      <alignment/>
    </xf>
    <xf numFmtId="0" fontId="49" fillId="0" borderId="0" xfId="0" applyFont="1" applyAlignment="1">
      <alignment horizontal="right"/>
    </xf>
    <xf numFmtId="14" fontId="49" fillId="0" borderId="0" xfId="0" applyNumberFormat="1" applyFont="1" applyAlignment="1">
      <alignment horizontal="left"/>
    </xf>
    <xf numFmtId="14" fontId="49" fillId="0" borderId="0" xfId="0" applyNumberFormat="1" applyFont="1" applyAlignment="1">
      <alignment horizontal="left" vertical="top"/>
    </xf>
    <xf numFmtId="0" fontId="0" fillId="0" borderId="12" xfId="0" applyFill="1" applyBorder="1" applyAlignment="1">
      <alignmen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ill="1" applyBorder="1" applyAlignment="1">
      <alignment vertical="center"/>
    </xf>
    <xf numFmtId="0" fontId="0" fillId="0" borderId="4" xfId="23" applyFont="1" applyBorder="1" applyAlignment="1">
      <alignment vertical="center" wrapText="1"/>
      <protection/>
    </xf>
    <xf numFmtId="0" fontId="0" fillId="0" borderId="0" xfId="23" applyFont="1" applyBorder="1" applyAlignment="1">
      <alignment vertical="center" wrapText="1"/>
      <protection/>
    </xf>
    <xf numFmtId="1" fontId="0" fillId="0" borderId="10" xfId="15" applyNumberFormat="1" applyBorder="1" applyAlignment="1">
      <alignment horizontal="center" vertical="center"/>
    </xf>
    <xf numFmtId="0" fontId="5" fillId="0" borderId="4" xfId="0" applyFont="1" applyFill="1" applyBorder="1" applyAlignment="1">
      <alignment vertical="center" wrapText="1"/>
    </xf>
    <xf numFmtId="0" fontId="0" fillId="0" borderId="8" xfId="23" applyFont="1" applyBorder="1" applyAlignment="1">
      <alignment vertical="center" wrapText="1"/>
      <protection/>
    </xf>
    <xf numFmtId="0" fontId="50" fillId="0" borderId="13" xfId="0" applyFont="1" applyFill="1" applyBorder="1" applyAlignment="1">
      <alignment horizontal="center" vertical="center" wrapText="1"/>
    </xf>
    <xf numFmtId="0" fontId="51" fillId="0" borderId="0" xfId="0" applyFont="1" applyAlignment="1">
      <alignment horizontal="center" vertical="center"/>
    </xf>
    <xf numFmtId="0" fontId="0" fillId="0" borderId="4"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8" xfId="23" applyFont="1" applyBorder="1" applyAlignment="1">
      <alignment horizontal="center" vertical="center"/>
      <protection/>
    </xf>
    <xf numFmtId="188" fontId="0" fillId="0" borderId="12" xfId="24" applyNumberFormat="1" applyBorder="1" applyAlignment="1">
      <alignment horizontal="center" vertical="center"/>
    </xf>
    <xf numFmtId="188" fontId="0" fillId="0" borderId="13" xfId="24" applyNumberFormat="1" applyBorder="1" applyAlignment="1">
      <alignment horizontal="center" vertical="center"/>
    </xf>
    <xf numFmtId="0" fontId="5" fillId="0" borderId="0" xfId="0" applyFont="1" applyAlignment="1">
      <alignment horizontal="right" vertical="center"/>
    </xf>
    <xf numFmtId="188" fontId="45" fillId="13" borderId="9" xfId="24" applyNumberFormat="1" applyFont="1" applyFill="1" applyBorder="1" applyAlignment="1">
      <alignment horizontal="center" vertical="center"/>
    </xf>
    <xf numFmtId="188" fontId="45" fillId="0" borderId="0" xfId="24" applyNumberFormat="1" applyFont="1" applyFill="1" applyBorder="1" applyAlignment="1">
      <alignment horizontal="center" vertical="center"/>
    </xf>
    <xf numFmtId="188" fontId="5" fillId="0" borderId="9" xfId="0" applyNumberFormat="1" applyFont="1" applyBorder="1" applyAlignment="1">
      <alignment horizontal="center" vertical="center"/>
    </xf>
    <xf numFmtId="0" fontId="0" fillId="0" borderId="6" xfId="0" applyBorder="1" applyAlignment="1">
      <alignment/>
    </xf>
    <xf numFmtId="0" fontId="7" fillId="0" borderId="6" xfId="0" applyFont="1" applyBorder="1" applyAlignment="1">
      <alignment horizontal="left" vertical="center" wrapText="1"/>
    </xf>
    <xf numFmtId="0" fontId="0" fillId="0" borderId="0" xfId="0" applyBorder="1" applyAlignment="1">
      <alignment wrapText="1"/>
    </xf>
    <xf numFmtId="0" fontId="0" fillId="0" borderId="0" xfId="0" applyNumberFormat="1" applyBorder="1" applyAlignment="1">
      <alignment wrapText="1"/>
    </xf>
    <xf numFmtId="0" fontId="5" fillId="0" borderId="0" xfId="0" applyFont="1" applyBorder="1" applyAlignment="1">
      <alignment horizontal="left" vertical="top"/>
    </xf>
    <xf numFmtId="0" fontId="49" fillId="0" borderId="0" xfId="0" applyFont="1" applyAlignment="1">
      <alignment horizontal="right"/>
    </xf>
    <xf numFmtId="9" fontId="47" fillId="3" borderId="12" xfId="24" applyFont="1" applyFill="1" applyBorder="1" applyAlignment="1">
      <alignment horizontal="center" vertical="center"/>
    </xf>
    <xf numFmtId="9" fontId="47" fillId="3" borderId="13" xfId="24" applyFont="1" applyFill="1" applyBorder="1" applyAlignment="1">
      <alignment horizontal="center" vertical="center"/>
    </xf>
    <xf numFmtId="1" fontId="47" fillId="3" borderId="10" xfId="0" applyNumberFormat="1" applyFont="1" applyFill="1" applyBorder="1" applyAlignment="1">
      <alignment horizontal="center" vertical="center"/>
    </xf>
    <xf numFmtId="188" fontId="47" fillId="3" borderId="12" xfId="24" applyNumberFormat="1" applyFont="1" applyFill="1" applyBorder="1" applyAlignment="1">
      <alignment horizontal="center" vertical="center"/>
    </xf>
    <xf numFmtId="188" fontId="47" fillId="3" borderId="13" xfId="24" applyNumberFormat="1" applyFont="1" applyFill="1" applyBorder="1" applyAlignment="1">
      <alignment horizontal="center" vertical="center"/>
    </xf>
    <xf numFmtId="2" fontId="8" fillId="0" borderId="0" xfId="0" applyNumberFormat="1" applyFont="1" applyFill="1" applyAlignment="1">
      <alignment horizontal="center" vertical="center"/>
    </xf>
    <xf numFmtId="9" fontId="0" fillId="4" borderId="12" xfId="0" applyNumberFormat="1" applyFont="1" applyFill="1" applyBorder="1" applyAlignment="1">
      <alignment horizontal="center" vertical="center"/>
    </xf>
    <xf numFmtId="9" fontId="0" fillId="4" borderId="13" xfId="0" applyNumberFormat="1" applyFont="1" applyFill="1" applyBorder="1" applyAlignment="1">
      <alignment horizontal="center" vertical="center"/>
    </xf>
    <xf numFmtId="37" fontId="0" fillId="4" borderId="10" xfId="15" applyNumberFormat="1" applyFont="1" applyFill="1" applyBorder="1" applyAlignment="1">
      <alignment horizontal="center" vertical="center"/>
    </xf>
    <xf numFmtId="188" fontId="0" fillId="4" borderId="12" xfId="15" applyNumberFormat="1" applyFont="1" applyFill="1" applyBorder="1" applyAlignment="1">
      <alignment horizontal="center" vertical="center"/>
    </xf>
    <xf numFmtId="188" fontId="0" fillId="4" borderId="13" xfId="15" applyNumberFormat="1" applyFont="1" applyFill="1" applyBorder="1" applyAlignment="1">
      <alignment horizontal="center" vertical="center"/>
    </xf>
    <xf numFmtId="0" fontId="0" fillId="0" borderId="23" xfId="0" applyFont="1" applyBorder="1" applyAlignment="1">
      <alignment horizontal="left" vertical="center" wrapText="1"/>
    </xf>
    <xf numFmtId="14" fontId="0" fillId="0" borderId="31" xfId="0" applyNumberFormat="1" applyFont="1" applyBorder="1" applyAlignment="1">
      <alignment horizontal="left" vertical="center" wrapText="1"/>
    </xf>
    <xf numFmtId="0" fontId="0" fillId="0" borderId="32" xfId="0" applyFont="1" applyBorder="1" applyAlignment="1">
      <alignment vertical="center" wrapText="1"/>
    </xf>
    <xf numFmtId="0" fontId="0" fillId="0" borderId="31" xfId="0" applyFont="1" applyBorder="1" applyAlignment="1">
      <alignment vertical="center" wrapText="1"/>
    </xf>
    <xf numFmtId="0" fontId="0" fillId="0" borderId="33" xfId="0" applyFont="1" applyBorder="1" applyAlignment="1">
      <alignment vertical="center" wrapText="1"/>
    </xf>
    <xf numFmtId="0" fontId="0" fillId="0" borderId="23" xfId="0" applyFont="1" applyBorder="1" applyAlignment="1">
      <alignment vertical="center" wrapText="1"/>
    </xf>
    <xf numFmtId="9" fontId="47" fillId="0" borderId="29" xfId="0" applyNumberFormat="1" applyFont="1" applyBorder="1" applyAlignment="1">
      <alignment horizontal="center" vertical="center" wrapText="1"/>
    </xf>
    <xf numFmtId="14" fontId="49" fillId="0" borderId="0" xfId="0" applyNumberFormat="1" applyFont="1" applyAlignment="1">
      <alignment horizontal="right"/>
    </xf>
    <xf numFmtId="0" fontId="5" fillId="0" borderId="9" xfId="0" applyFont="1" applyBorder="1" applyAlignment="1">
      <alignment vertical="center"/>
    </xf>
    <xf numFmtId="0" fontId="5" fillId="0" borderId="0" xfId="0" applyFont="1" applyFill="1" applyAlignment="1">
      <alignment horizontal="left" vertical="center" wrapText="1"/>
    </xf>
    <xf numFmtId="0" fontId="5" fillId="0" borderId="34" xfId="0" applyFont="1" applyBorder="1" applyAlignment="1">
      <alignment horizontal="center" vertical="center" wrapText="1"/>
    </xf>
    <xf numFmtId="0" fontId="0" fillId="0" borderId="35" xfId="0" applyBorder="1" applyAlignment="1">
      <alignment/>
    </xf>
    <xf numFmtId="0" fontId="8" fillId="0" borderId="13" xfId="20" applyFont="1" applyBorder="1" applyAlignment="1">
      <alignment vertical="center"/>
    </xf>
    <xf numFmtId="0" fontId="8" fillId="0" borderId="12" xfId="20" applyFont="1" applyBorder="1" applyAlignment="1">
      <alignment vertical="center"/>
    </xf>
    <xf numFmtId="0" fontId="5" fillId="0" borderId="0" xfId="0" applyFont="1" applyFill="1" applyAlignment="1">
      <alignment vertical="center" wrapText="1"/>
    </xf>
    <xf numFmtId="0" fontId="49" fillId="0" borderId="0" xfId="0" applyFont="1" applyAlignment="1">
      <alignment/>
    </xf>
    <xf numFmtId="0" fontId="39" fillId="0" borderId="10" xfId="0" applyFont="1" applyFill="1" applyBorder="1" applyAlignment="1">
      <alignment/>
    </xf>
    <xf numFmtId="0" fontId="39" fillId="0" borderId="3" xfId="0" applyFont="1" applyFill="1" applyBorder="1" applyAlignment="1">
      <alignment/>
    </xf>
    <xf numFmtId="0" fontId="39" fillId="0" borderId="4" xfId="0" applyFont="1" applyFill="1" applyBorder="1" applyAlignment="1">
      <alignment/>
    </xf>
    <xf numFmtId="0" fontId="49" fillId="0" borderId="0" xfId="0" applyFont="1" applyBorder="1" applyAlignment="1">
      <alignment horizontal="right"/>
    </xf>
    <xf numFmtId="14" fontId="49" fillId="0" borderId="0" xfId="0" applyNumberFormat="1" applyFont="1" applyBorder="1" applyAlignment="1">
      <alignment horizontal="left"/>
    </xf>
    <xf numFmtId="0" fontId="39" fillId="0" borderId="5" xfId="0" applyFont="1" applyFill="1" applyBorder="1" applyAlignment="1">
      <alignment/>
    </xf>
    <xf numFmtId="0" fontId="7" fillId="0" borderId="10" xfId="0" applyFont="1" applyFill="1" applyBorder="1" applyAlignment="1">
      <alignment/>
    </xf>
    <xf numFmtId="190" fontId="39" fillId="0" borderId="10" xfId="0" applyNumberFormat="1" applyFont="1" applyFill="1" applyBorder="1" applyAlignment="1">
      <alignment/>
    </xf>
    <xf numFmtId="0" fontId="35" fillId="12" borderId="13" xfId="0" applyFont="1" applyFill="1" applyBorder="1" applyAlignment="1">
      <alignment/>
    </xf>
    <xf numFmtId="0" fontId="35" fillId="12" borderId="36" xfId="0" applyFont="1" applyFill="1" applyBorder="1" applyAlignment="1">
      <alignment/>
    </xf>
    <xf numFmtId="190" fontId="35" fillId="12" borderId="13" xfId="0" applyNumberFormat="1" applyFont="1" applyFill="1" applyBorder="1" applyAlignment="1">
      <alignment/>
    </xf>
    <xf numFmtId="0" fontId="49" fillId="0" borderId="22" xfId="0" applyFont="1" applyBorder="1" applyAlignment="1">
      <alignment horizontal="right"/>
    </xf>
    <xf numFmtId="14" fontId="49" fillId="0" borderId="22" xfId="0" applyNumberFormat="1" applyFont="1" applyBorder="1" applyAlignment="1">
      <alignment horizontal="left"/>
    </xf>
    <xf numFmtId="0" fontId="7" fillId="0" borderId="22" xfId="0" applyFont="1" applyFill="1" applyBorder="1" applyAlignment="1">
      <alignment/>
    </xf>
    <xf numFmtId="0" fontId="5" fillId="0" borderId="22" xfId="0" applyFont="1" applyFill="1" applyBorder="1" applyAlignment="1">
      <alignment vertical="center" wrapText="1"/>
    </xf>
    <xf numFmtId="0" fontId="5" fillId="0" borderId="0" xfId="0" applyFont="1" applyFill="1" applyBorder="1" applyAlignment="1">
      <alignment vertical="center" wrapText="1"/>
    </xf>
    <xf numFmtId="0" fontId="17" fillId="0" borderId="11" xfId="0" applyFont="1" applyBorder="1" applyAlignment="1">
      <alignment horizontal="center"/>
    </xf>
    <xf numFmtId="0" fontId="43" fillId="0" borderId="0" xfId="0" applyFont="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0" fontId="0" fillId="0" borderId="37"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8" xfId="0" applyFont="1" applyFill="1" applyBorder="1" applyAlignment="1">
      <alignment horizontal="left" vertical="top"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5" fillId="0" borderId="0" xfId="0" applyFont="1" applyFill="1" applyAlignment="1">
      <alignment horizontal="left" vertical="center" wrapText="1"/>
    </xf>
    <xf numFmtId="0" fontId="0" fillId="0" borderId="0" xfId="0" applyAlignment="1">
      <alignment horizontal="left" wrapText="1"/>
    </xf>
    <xf numFmtId="0" fontId="17" fillId="0" borderId="5" xfId="0" applyFont="1" applyBorder="1" applyAlignment="1">
      <alignment vertical="center"/>
    </xf>
    <xf numFmtId="0" fontId="17" fillId="0" borderId="2" xfId="0" applyFont="1" applyBorder="1" applyAlignment="1">
      <alignment vertical="center"/>
    </xf>
    <xf numFmtId="0" fontId="17" fillId="0" borderId="22" xfId="0" applyFont="1" applyBorder="1" applyAlignment="1">
      <alignment horizontal="center"/>
    </xf>
    <xf numFmtId="0" fontId="17" fillId="0" borderId="21" xfId="0" applyFont="1" applyBorder="1" applyAlignment="1">
      <alignment horizontal="center"/>
    </xf>
    <xf numFmtId="0" fontId="5" fillId="0" borderId="10" xfId="0" applyFont="1" applyFill="1" applyBorder="1" applyAlignment="1">
      <alignment horizontal="left" vertical="center"/>
    </xf>
    <xf numFmtId="0" fontId="5" fillId="0" borderId="39" xfId="0" applyFont="1" applyFill="1" applyBorder="1" applyAlignment="1">
      <alignment horizontal="left" vertical="center"/>
    </xf>
    <xf numFmtId="0" fontId="0" fillId="0" borderId="2" xfId="0" applyFont="1" applyBorder="1" applyAlignment="1">
      <alignment wrapText="1"/>
    </xf>
    <xf numFmtId="0" fontId="5" fillId="0" borderId="16" xfId="0" applyFont="1" applyBorder="1" applyAlignment="1">
      <alignment wrapText="1"/>
    </xf>
    <xf numFmtId="0" fontId="0" fillId="0" borderId="16" xfId="0" applyBorder="1" applyAlignment="1">
      <alignment wrapText="1"/>
    </xf>
    <xf numFmtId="0" fontId="0" fillId="0" borderId="16" xfId="0" applyFont="1" applyBorder="1" applyAlignment="1">
      <alignment horizontal="center" wrapText="1"/>
    </xf>
    <xf numFmtId="0" fontId="0" fillId="0" borderId="16" xfId="0" applyBorder="1" applyAlignment="1">
      <alignment horizontal="center"/>
    </xf>
    <xf numFmtId="0" fontId="16" fillId="0" borderId="40" xfId="0" applyFont="1" applyBorder="1" applyAlignment="1">
      <alignment wrapText="1"/>
    </xf>
    <xf numFmtId="0" fontId="0" fillId="0" borderId="41" xfId="0" applyBorder="1" applyAlignment="1">
      <alignment/>
    </xf>
    <xf numFmtId="0" fontId="0" fillId="0" borderId="42" xfId="0" applyBorder="1" applyAlignment="1">
      <alignment/>
    </xf>
    <xf numFmtId="0" fontId="0" fillId="0" borderId="41" xfId="0" applyBorder="1" applyAlignment="1">
      <alignment wrapText="1"/>
    </xf>
    <xf numFmtId="0" fontId="0" fillId="0" borderId="42" xfId="0" applyBorder="1" applyAlignment="1">
      <alignment wrapText="1"/>
    </xf>
    <xf numFmtId="0" fontId="30" fillId="12" borderId="10" xfId="0" applyFont="1" applyFill="1" applyBorder="1" applyAlignment="1">
      <alignment horizontal="center" vertical="center" wrapText="1"/>
    </xf>
    <xf numFmtId="0" fontId="30" fillId="12" borderId="13" xfId="0" applyFont="1" applyFill="1" applyBorder="1" applyAlignment="1">
      <alignment horizontal="center" vertical="center" wrapText="1"/>
    </xf>
    <xf numFmtId="0" fontId="34" fillId="12" borderId="36" xfId="0" applyFont="1" applyFill="1" applyBorder="1" applyAlignment="1">
      <alignment horizontal="center" vertical="center" wrapText="1"/>
    </xf>
    <xf numFmtId="0" fontId="34" fillId="12" borderId="8" xfId="0" applyFont="1" applyFill="1" applyBorder="1" applyAlignment="1">
      <alignment horizontal="center" vertical="center" wrapText="1"/>
    </xf>
    <xf numFmtId="0" fontId="34" fillId="12" borderId="2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34" fillId="12" borderId="6" xfId="0" applyFont="1" applyFill="1" applyBorder="1" applyAlignment="1">
      <alignment horizontal="center" vertical="center" wrapText="1"/>
    </xf>
    <xf numFmtId="0" fontId="34" fillId="12" borderId="0" xfId="0" applyFont="1" applyFill="1" applyBorder="1" applyAlignment="1">
      <alignment horizontal="center" vertical="center" wrapText="1"/>
    </xf>
    <xf numFmtId="0" fontId="30" fillId="12" borderId="9" xfId="0" applyFont="1" applyFill="1" applyBorder="1" applyAlignment="1">
      <alignment horizontal="center" vertical="center" wrapText="1"/>
    </xf>
    <xf numFmtId="190" fontId="35" fillId="12" borderId="11" xfId="0" applyNumberFormat="1" applyFont="1" applyFill="1" applyBorder="1" applyAlignment="1">
      <alignment horizontal="center"/>
    </xf>
    <xf numFmtId="190" fontId="35" fillId="12" borderId="22" xfId="0" applyNumberFormat="1" applyFont="1" applyFill="1" applyBorder="1" applyAlignment="1">
      <alignment horizontal="center"/>
    </xf>
    <xf numFmtId="190" fontId="35" fillId="12" borderId="21" xfId="0" applyNumberFormat="1" applyFont="1" applyFill="1" applyBorder="1" applyAlignment="1">
      <alignment horizontal="center"/>
    </xf>
    <xf numFmtId="0" fontId="34" fillId="12" borderId="9" xfId="0" applyFont="1" applyFill="1" applyBorder="1" applyAlignment="1">
      <alignment horizontal="center" vertical="center" wrapText="1"/>
    </xf>
    <xf numFmtId="0" fontId="19" fillId="0" borderId="0" xfId="21" applyFont="1" applyBorder="1" applyAlignment="1">
      <alignment horizontal="left" wrapText="1"/>
      <protection/>
    </xf>
    <xf numFmtId="10" fontId="0" fillId="0" borderId="0" xfId="0" applyNumberFormat="1" applyFont="1" applyFill="1" applyAlignment="1">
      <alignment/>
    </xf>
    <xf numFmtId="1" fontId="0" fillId="0" borderId="0" xfId="0" applyNumberFormat="1" applyFont="1" applyFill="1" applyAlignment="1">
      <alignment/>
    </xf>
    <xf numFmtId="9" fontId="8" fillId="0" borderId="0" xfId="0" applyNumberFormat="1" applyFont="1" applyFill="1" applyAlignment="1">
      <alignment/>
    </xf>
    <xf numFmtId="188" fontId="8" fillId="0" borderId="0" xfId="0" applyNumberFormat="1" applyFont="1" applyFill="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1995-2004" xfId="21"/>
    <cellStyle name="Normal_MCA UNIT Budget (draft)" xfId="22"/>
    <cellStyle name="Normal_Mongolia Rail ERR.IM Cleaned" xfId="23"/>
    <cellStyle name="Percent" xfId="24"/>
  </cellStyles>
  <dxfs count="3">
    <dxf>
      <font>
        <color rgb="FFFFFFFF"/>
      </font>
      <fill>
        <patternFill patternType="none">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Mongolia Vocational Education Project</a:t>
            </a:r>
          </a:p>
        </c:rich>
      </c:tx>
      <c:layout>
        <c:manualLayout>
          <c:xMode val="factor"/>
          <c:yMode val="factor"/>
          <c:x val="-0.008"/>
          <c:y val="0"/>
        </c:manualLayout>
      </c:layout>
      <c:spPr>
        <a:noFill/>
        <a:ln>
          <a:noFill/>
        </a:ln>
      </c:spPr>
    </c:title>
    <c:plotArea>
      <c:layout>
        <c:manualLayout>
          <c:xMode val="edge"/>
          <c:yMode val="edge"/>
          <c:x val="0.05225"/>
          <c:y val="0.115"/>
          <c:w val="0.9345"/>
          <c:h val="0.7625"/>
        </c:manualLayout>
      </c:layout>
      <c:areaChart>
        <c:grouping val="standard"/>
        <c:varyColors val="0"/>
        <c:ser>
          <c:idx val="0"/>
          <c:order val="0"/>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cat>
            <c:strRef>
              <c:f>'ERR Summary'!$E$6:$Y$6</c:f>
              <c:strCache>
                <c:ptCount val="21"/>
                <c:pt idx="0">
                  <c:v>CIF</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strCache>
            </c:strRef>
          </c:cat>
          <c:val>
            <c:numRef>
              <c:f>'ERR Summary'!$E$18:$Y$18</c:f>
              <c:numCache>
                <c:ptCount val="21"/>
                <c:pt idx="0">
                  <c:v>-1.345142572263182</c:v>
                </c:pt>
                <c:pt idx="1">
                  <c:v>-3.0273029478294693</c:v>
                </c:pt>
                <c:pt idx="2">
                  <c:v>-8.914709738481356</c:v>
                </c:pt>
                <c:pt idx="3">
                  <c:v>-8.822484330730743</c:v>
                </c:pt>
                <c:pt idx="4">
                  <c:v>-5.113354289083123</c:v>
                </c:pt>
                <c:pt idx="5">
                  <c:v>0.19047973226950887</c:v>
                </c:pt>
                <c:pt idx="6">
                  <c:v>2.621533639070117</c:v>
                </c:pt>
                <c:pt idx="7">
                  <c:v>3.9333631981639834</c:v>
                </c:pt>
                <c:pt idx="8">
                  <c:v>5.343702277493506</c:v>
                </c:pt>
                <c:pt idx="9">
                  <c:v>6.862322250956793</c:v>
                </c:pt>
                <c:pt idx="10">
                  <c:v>8.497594432764192</c:v>
                </c:pt>
                <c:pt idx="11">
                  <c:v>10.257312145546642</c:v>
                </c:pt>
                <c:pt idx="12">
                  <c:v>12.149119669588107</c:v>
                </c:pt>
                <c:pt idx="13">
                  <c:v>14.09987451180464</c:v>
                </c:pt>
                <c:pt idx="14">
                  <c:v>16.149150077108697</c:v>
                </c:pt>
                <c:pt idx="15">
                  <c:v>18.299462222991394</c:v>
                </c:pt>
                <c:pt idx="16">
                  <c:v>20.549754175694428</c:v>
                </c:pt>
                <c:pt idx="17">
                  <c:v>22.97155643013853</c:v>
                </c:pt>
                <c:pt idx="18">
                  <c:v>25.583110690164496</c:v>
                </c:pt>
                <c:pt idx="19">
                  <c:v>28.400981256236438</c:v>
                </c:pt>
                <c:pt idx="20">
                  <c:v>31.441343061833525</c:v>
                </c:pt>
              </c:numCache>
            </c:numRef>
          </c:val>
        </c:ser>
        <c:axId val="41516310"/>
        <c:axId val="38102471"/>
      </c:areaChart>
      <c:catAx>
        <c:axId val="41516310"/>
        <c:scaling>
          <c:orientation val="minMax"/>
        </c:scaling>
        <c:axPos val="b"/>
        <c:title>
          <c:tx>
            <c:rich>
              <a:bodyPr vert="horz" rot="0" anchor="ctr"/>
              <a:lstStyle/>
              <a:p>
                <a:pPr algn="ctr">
                  <a:defRPr/>
                </a:pPr>
                <a:r>
                  <a:rPr lang="en-US" cap="none" sz="1100" b="1" i="0" u="none" baseline="0">
                    <a:latin typeface="Arial"/>
                    <a:ea typeface="Arial"/>
                    <a:cs typeface="Arial"/>
                  </a:rPr>
                  <a:t>Year</a:t>
                </a:r>
              </a:p>
            </c:rich>
          </c:tx>
          <c:layout/>
          <c:overlay val="0"/>
          <c:spPr>
            <a:noFill/>
            <a:ln>
              <a:noFill/>
            </a:ln>
          </c:spPr>
        </c:title>
        <c:delete val="0"/>
        <c:numFmt formatCode="General" sourceLinked="1"/>
        <c:majorTickMark val="cross"/>
        <c:minorTickMark val="none"/>
        <c:tickLblPos val="nextTo"/>
        <c:spPr>
          <a:ln w="12700">
            <a:solidFill/>
          </a:ln>
        </c:spPr>
        <c:txPr>
          <a:bodyPr vert="horz" rot="-4200000"/>
          <a:lstStyle/>
          <a:p>
            <a:pPr>
              <a:defRPr lang="en-US" cap="none" sz="1100" b="0" i="0" u="none" baseline="0">
                <a:latin typeface="Arial"/>
                <a:ea typeface="Arial"/>
                <a:cs typeface="Arial"/>
              </a:defRPr>
            </a:pPr>
          </a:p>
        </c:txPr>
        <c:crossAx val="38102471"/>
        <c:crosses val="autoZero"/>
        <c:auto val="1"/>
        <c:lblOffset val="100"/>
        <c:tickLblSkip val="1"/>
        <c:noMultiLvlLbl val="0"/>
      </c:catAx>
      <c:valAx>
        <c:axId val="38102471"/>
        <c:scaling>
          <c:orientation val="minMax"/>
        </c:scaling>
        <c:axPos val="l"/>
        <c:title>
          <c:tx>
            <c:rich>
              <a:bodyPr vert="horz" rot="-5400000" anchor="ctr"/>
              <a:lstStyle/>
              <a:p>
                <a:pPr algn="ctr">
                  <a:defRPr/>
                </a:pPr>
                <a:r>
                  <a:rPr lang="en-US" cap="none" sz="1100" b="1" i="0" u="none" baseline="0">
                    <a:latin typeface="Arial"/>
                    <a:ea typeface="Arial"/>
                    <a:cs typeface="Arial"/>
                  </a:rPr>
                  <a:t>US$ (millions)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41516310"/>
        <c:crossesAt val="1"/>
        <c:crossBetween val="midCat"/>
        <c:dispUnits/>
      </c:valAx>
      <c:spPr>
        <a:solidFill>
          <a:srgbClr val="C0C0C0"/>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MCC Estimated ERR Given Uncertainties in Key Parameter Values
(</a:t>
            </a:r>
            <a:r>
              <a:rPr lang="en-US" cap="none" sz="1050" b="1" i="0" u="none" baseline="0">
                <a:latin typeface="Arial"/>
                <a:ea typeface="Arial"/>
                <a:cs typeface="Arial"/>
              </a:rPr>
              <a:t>as of 8/16/2007)</a:t>
            </a:r>
          </a:p>
        </c:rich>
      </c:tx>
      <c:layout>
        <c:manualLayout>
          <c:xMode val="factor"/>
          <c:yMode val="factor"/>
          <c:x val="0.0465"/>
          <c:y val="-0.01275"/>
        </c:manualLayout>
      </c:layout>
      <c:spPr>
        <a:noFill/>
        <a:ln>
          <a:noFill/>
        </a:ln>
      </c:spPr>
    </c:title>
    <c:plotArea>
      <c:layout>
        <c:manualLayout>
          <c:xMode val="edge"/>
          <c:yMode val="edge"/>
          <c:x val="0.045"/>
          <c:y val="0.19725"/>
          <c:w val="0.9405"/>
          <c:h val="0.71375"/>
        </c:manualLayout>
      </c:layout>
      <c:scatterChart>
        <c:scatterStyle val="lineMarker"/>
        <c:varyColors val="0"/>
        <c:ser>
          <c:idx val="0"/>
          <c:order val="0"/>
          <c:tx>
            <c:v>Default1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0"/>
        </c:ser>
        <c:ser>
          <c:idx val="1"/>
          <c:order val="1"/>
          <c:tx>
            <c:v>Default2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numLit>
          </c:yVal>
          <c:smooth val="0"/>
        </c:ser>
        <c:ser>
          <c:idx val="2"/>
          <c:order val="2"/>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107"/>
              <c:pt idx="0">
                <c:v>0.07666326314210892</c:v>
              </c:pt>
              <c:pt idx="1">
                <c:v>0.07666326314210892</c:v>
              </c:pt>
              <c:pt idx="2">
                <c:v>0.07678814190129439</c:v>
              </c:pt>
              <c:pt idx="3">
                <c:v>0.07678814190129439</c:v>
              </c:pt>
              <c:pt idx="4">
                <c:v>0.07691302066047986</c:v>
              </c:pt>
              <c:pt idx="5">
                <c:v>0.07691302066047986</c:v>
              </c:pt>
              <c:pt idx="6">
                <c:v>0.07703789941966534</c:v>
              </c:pt>
              <c:pt idx="7">
                <c:v>0.07703789941966534</c:v>
              </c:pt>
              <c:pt idx="8">
                <c:v>0.07716277817885081</c:v>
              </c:pt>
              <c:pt idx="9">
                <c:v>0.07716277817885081</c:v>
              </c:pt>
              <c:pt idx="10">
                <c:v>0.07728765693803628</c:v>
              </c:pt>
              <c:pt idx="11">
                <c:v>0.07728765693803628</c:v>
              </c:pt>
              <c:pt idx="12">
                <c:v>0.07741253569722176</c:v>
              </c:pt>
              <c:pt idx="13">
                <c:v>0.07741253569722176</c:v>
              </c:pt>
              <c:pt idx="14">
                <c:v>0.07753741445640723</c:v>
              </c:pt>
              <c:pt idx="15">
                <c:v>0.07753741445640723</c:v>
              </c:pt>
              <c:pt idx="16">
                <c:v>0.0776622932155927</c:v>
              </c:pt>
              <c:pt idx="17">
                <c:v>0.0776622932155927</c:v>
              </c:pt>
              <c:pt idx="18">
                <c:v>0.07778717197477818</c:v>
              </c:pt>
              <c:pt idx="19">
                <c:v>0.07778717197477818</c:v>
              </c:pt>
              <c:pt idx="20">
                <c:v>0.07791205073396365</c:v>
              </c:pt>
              <c:pt idx="21">
                <c:v>0.07791205073396365</c:v>
              </c:pt>
              <c:pt idx="22">
                <c:v>0.07803692949314912</c:v>
              </c:pt>
              <c:pt idx="23">
                <c:v>0.07803692949314912</c:v>
              </c:pt>
              <c:pt idx="24">
                <c:v>0.0781618082523346</c:v>
              </c:pt>
              <c:pt idx="25">
                <c:v>0.0781618082523346</c:v>
              </c:pt>
              <c:pt idx="26">
                <c:v>0.07828668701152007</c:v>
              </c:pt>
              <c:pt idx="27">
                <c:v>0.07828668701152007</c:v>
              </c:pt>
              <c:pt idx="28">
                <c:v>0.07841156577070554</c:v>
              </c:pt>
              <c:pt idx="29">
                <c:v>0.07841156577070554</c:v>
              </c:pt>
              <c:pt idx="30">
                <c:v>0.07853644452989102</c:v>
              </c:pt>
              <c:pt idx="31">
                <c:v>0.07853644452989102</c:v>
              </c:pt>
              <c:pt idx="32">
                <c:v>0.07866132328907649</c:v>
              </c:pt>
              <c:pt idx="33">
                <c:v>0.07866132328907649</c:v>
              </c:pt>
              <c:pt idx="34">
                <c:v>0.07878620204826196</c:v>
              </c:pt>
              <c:pt idx="35">
                <c:v>0.07878620204826196</c:v>
              </c:pt>
              <c:pt idx="36">
                <c:v>0.07891108080744744</c:v>
              </c:pt>
              <c:pt idx="37">
                <c:v>0.07891108080744744</c:v>
              </c:pt>
              <c:pt idx="38">
                <c:v>0.07903595956663291</c:v>
              </c:pt>
              <c:pt idx="39">
                <c:v>0.07903595956663291</c:v>
              </c:pt>
              <c:pt idx="40">
                <c:v>0.07916083832581838</c:v>
              </c:pt>
              <c:pt idx="41">
                <c:v>0.07916083832581838</c:v>
              </c:pt>
              <c:pt idx="42">
                <c:v>0.07928571708500386</c:v>
              </c:pt>
              <c:pt idx="43">
                <c:v>0.07928571708500386</c:v>
              </c:pt>
              <c:pt idx="44">
                <c:v>0.07941059584418933</c:v>
              </c:pt>
              <c:pt idx="45">
                <c:v>0.07941059584418933</c:v>
              </c:pt>
              <c:pt idx="46">
                <c:v>0.0795354746033748</c:v>
              </c:pt>
              <c:pt idx="47">
                <c:v>0.0795354746033748</c:v>
              </c:pt>
              <c:pt idx="48">
                <c:v>0.07966035336256028</c:v>
              </c:pt>
              <c:pt idx="49">
                <c:v>0.07966035336256028</c:v>
              </c:pt>
              <c:pt idx="50">
                <c:v>0.07978523212174575</c:v>
              </c:pt>
              <c:pt idx="51">
                <c:v>0.07978523212174575</c:v>
              </c:pt>
              <c:pt idx="52">
                <c:v>0.07991011088093122</c:v>
              </c:pt>
              <c:pt idx="53">
                <c:v>0.07991011088093122</c:v>
              </c:pt>
              <c:pt idx="54">
                <c:v>0.0800349896401167</c:v>
              </c:pt>
              <c:pt idx="55">
                <c:v>0.0800349896401167</c:v>
              </c:pt>
              <c:pt idx="56">
                <c:v>0.08015986839930217</c:v>
              </c:pt>
              <c:pt idx="57">
                <c:v>0.08015986839930217</c:v>
              </c:pt>
              <c:pt idx="58">
                <c:v>0.08028474715848764</c:v>
              </c:pt>
              <c:pt idx="59">
                <c:v>0.08028474715848764</c:v>
              </c:pt>
              <c:pt idx="60">
                <c:v>0.08040962591767312</c:v>
              </c:pt>
              <c:pt idx="61">
                <c:v>0.08040962591767312</c:v>
              </c:pt>
              <c:pt idx="62">
                <c:v>0.08053450467685859</c:v>
              </c:pt>
              <c:pt idx="63">
                <c:v>0.08053450467685859</c:v>
              </c:pt>
              <c:pt idx="64">
                <c:v>0.08065938343604406</c:v>
              </c:pt>
              <c:pt idx="65">
                <c:v>0.08065938343604406</c:v>
              </c:pt>
              <c:pt idx="66">
                <c:v>0.08078426219522954</c:v>
              </c:pt>
              <c:pt idx="67">
                <c:v>0.08078426219522954</c:v>
              </c:pt>
              <c:pt idx="68">
                <c:v>0.08090914095441501</c:v>
              </c:pt>
              <c:pt idx="69">
                <c:v>0.08090914095441501</c:v>
              </c:pt>
              <c:pt idx="70">
                <c:v>0.08103401971360047</c:v>
              </c:pt>
              <c:pt idx="71">
                <c:v>0.08103401971360047</c:v>
              </c:pt>
              <c:pt idx="72">
                <c:v>0.08115889847278596</c:v>
              </c:pt>
              <c:pt idx="73">
                <c:v>0.08115889847278596</c:v>
              </c:pt>
              <c:pt idx="74">
                <c:v>0.08128377723197142</c:v>
              </c:pt>
              <c:pt idx="75">
                <c:v>0.08128377723197142</c:v>
              </c:pt>
              <c:pt idx="76">
                <c:v>0.0814086559911569</c:v>
              </c:pt>
              <c:pt idx="77">
                <c:v>0.0814086559911569</c:v>
              </c:pt>
              <c:pt idx="78">
                <c:v>0.08153353475034236</c:v>
              </c:pt>
              <c:pt idx="79">
                <c:v>0.08153353475034236</c:v>
              </c:pt>
              <c:pt idx="80">
                <c:v>0.08165841350952784</c:v>
              </c:pt>
              <c:pt idx="81">
                <c:v>0.08165841350952784</c:v>
              </c:pt>
              <c:pt idx="82">
                <c:v>0.08178329226871331</c:v>
              </c:pt>
              <c:pt idx="83">
                <c:v>0.08178329226871331</c:v>
              </c:pt>
              <c:pt idx="84">
                <c:v>0.08190817102789878</c:v>
              </c:pt>
              <c:pt idx="85">
                <c:v>0.08190817102789878</c:v>
              </c:pt>
              <c:pt idx="86">
                <c:v>0.08203304978708426</c:v>
              </c:pt>
              <c:pt idx="87">
                <c:v>0.08203304978708426</c:v>
              </c:pt>
              <c:pt idx="88">
                <c:v>0.08215792854626973</c:v>
              </c:pt>
              <c:pt idx="89">
                <c:v>0.08215792854626973</c:v>
              </c:pt>
              <c:pt idx="90">
                <c:v>0.0822828073054552</c:v>
              </c:pt>
              <c:pt idx="91">
                <c:v>0.0822828073054552</c:v>
              </c:pt>
              <c:pt idx="92">
                <c:v>0.08240768606464068</c:v>
              </c:pt>
              <c:pt idx="93">
                <c:v>0.08240768606464068</c:v>
              </c:pt>
              <c:pt idx="94">
                <c:v>0.08253256482382615</c:v>
              </c:pt>
              <c:pt idx="95">
                <c:v>0.08253256482382615</c:v>
              </c:pt>
              <c:pt idx="96">
                <c:v>0.08265744358301162</c:v>
              </c:pt>
              <c:pt idx="97">
                <c:v>0.08265744358301162</c:v>
              </c:pt>
              <c:pt idx="98">
                <c:v>0.0827823223421971</c:v>
              </c:pt>
              <c:pt idx="99">
                <c:v>0.0827823223421971</c:v>
              </c:pt>
              <c:pt idx="100">
                <c:v>0.08290720110138257</c:v>
              </c:pt>
              <c:pt idx="101">
                <c:v>0.08290720110138257</c:v>
              </c:pt>
              <c:pt idx="102">
                <c:v>0.08303207986056804</c:v>
              </c:pt>
              <c:pt idx="103">
                <c:v>0.08303207986056804</c:v>
              </c:pt>
              <c:pt idx="104">
                <c:v>0.08315695861975352</c:v>
              </c:pt>
              <c:pt idx="105">
                <c:v>0.08315695861975352</c:v>
              </c:pt>
              <c:pt idx="106">
                <c:v>0.08328183737893899</c:v>
              </c:pt>
              <c:pt idx="107">
                <c:v>0.08328183737893899</c:v>
              </c:pt>
              <c:pt idx="108">
                <c:v>0.08340671613812446</c:v>
              </c:pt>
              <c:pt idx="109">
                <c:v>0.08340671613812446</c:v>
              </c:pt>
              <c:pt idx="110">
                <c:v>0.08353159489730994</c:v>
              </c:pt>
              <c:pt idx="111">
                <c:v>0.08353159489730994</c:v>
              </c:pt>
              <c:pt idx="112">
                <c:v>0.08365647365649541</c:v>
              </c:pt>
              <c:pt idx="113">
                <c:v>0.08365647365649541</c:v>
              </c:pt>
              <c:pt idx="114">
                <c:v>0.08378135241568088</c:v>
              </c:pt>
              <c:pt idx="115">
                <c:v>0.08378135241568088</c:v>
              </c:pt>
              <c:pt idx="116">
                <c:v>0.08390623117486636</c:v>
              </c:pt>
              <c:pt idx="117">
                <c:v>0.08390623117486636</c:v>
              </c:pt>
              <c:pt idx="118">
                <c:v>0.08403110993405183</c:v>
              </c:pt>
              <c:pt idx="119">
                <c:v>0.08403110993405183</c:v>
              </c:pt>
              <c:pt idx="120">
                <c:v>0.0841559886932373</c:v>
              </c:pt>
              <c:pt idx="121">
                <c:v>0.0841559886932373</c:v>
              </c:pt>
              <c:pt idx="122">
                <c:v>0.08428086745242278</c:v>
              </c:pt>
              <c:pt idx="123">
                <c:v>0.08428086745242278</c:v>
              </c:pt>
              <c:pt idx="124">
                <c:v>0.08440574621160825</c:v>
              </c:pt>
              <c:pt idx="125">
                <c:v>0.08440574621160825</c:v>
              </c:pt>
              <c:pt idx="126">
                <c:v>0.08453062497079372</c:v>
              </c:pt>
              <c:pt idx="127">
                <c:v>0.08453062497079372</c:v>
              </c:pt>
              <c:pt idx="128">
                <c:v>0.0846555037299792</c:v>
              </c:pt>
              <c:pt idx="129">
                <c:v>0.0846555037299792</c:v>
              </c:pt>
              <c:pt idx="130">
                <c:v>0.08478038248916467</c:v>
              </c:pt>
              <c:pt idx="131">
                <c:v>0.08478038248916467</c:v>
              </c:pt>
              <c:pt idx="132">
                <c:v>0.08490526124835014</c:v>
              </c:pt>
              <c:pt idx="133">
                <c:v>0.08490526124835014</c:v>
              </c:pt>
              <c:pt idx="134">
                <c:v>0.08503014000753562</c:v>
              </c:pt>
              <c:pt idx="135">
                <c:v>0.08503014000753562</c:v>
              </c:pt>
              <c:pt idx="136">
                <c:v>0.08515501876672109</c:v>
              </c:pt>
              <c:pt idx="137">
                <c:v>0.08515501876672109</c:v>
              </c:pt>
              <c:pt idx="138">
                <c:v>0.08527989752590656</c:v>
              </c:pt>
              <c:pt idx="139">
                <c:v>0.08527989752590656</c:v>
              </c:pt>
              <c:pt idx="140">
                <c:v>0.08540477628509204</c:v>
              </c:pt>
              <c:pt idx="141">
                <c:v>0.08540477628509204</c:v>
              </c:pt>
              <c:pt idx="142">
                <c:v>0.08552965504427751</c:v>
              </c:pt>
              <c:pt idx="143">
                <c:v>0.08552965504427751</c:v>
              </c:pt>
              <c:pt idx="144">
                <c:v>0.08558317451249986</c:v>
              </c:pt>
              <c:pt idx="145">
                <c:v>0.08558317451249986</c:v>
              </c:pt>
              <c:pt idx="146">
                <c:v>0.08558317451249986</c:v>
              </c:pt>
              <c:pt idx="147">
                <c:v>0.08558317451249986</c:v>
              </c:pt>
              <c:pt idx="148">
                <c:v>0.08558317451249986</c:v>
              </c:pt>
              <c:pt idx="149">
                <c:v>0.08558317451249986</c:v>
              </c:pt>
              <c:pt idx="150">
                <c:v>0.08570805327168533</c:v>
              </c:pt>
              <c:pt idx="151">
                <c:v>0.08570805327168533</c:v>
              </c:pt>
              <c:pt idx="152">
                <c:v>0.0858329320308708</c:v>
              </c:pt>
              <c:pt idx="153">
                <c:v>0.0858329320308708</c:v>
              </c:pt>
              <c:pt idx="154">
                <c:v>0.08595781079005628</c:v>
              </c:pt>
              <c:pt idx="155">
                <c:v>0.08595781079005628</c:v>
              </c:pt>
              <c:pt idx="156">
                <c:v>0.08608268954924175</c:v>
              </c:pt>
              <c:pt idx="157">
                <c:v>0.08608268954924175</c:v>
              </c:pt>
              <c:pt idx="158">
                <c:v>0.08620756830842723</c:v>
              </c:pt>
              <c:pt idx="159">
                <c:v>0.08620756830842723</c:v>
              </c:pt>
              <c:pt idx="160">
                <c:v>0.0863324470676127</c:v>
              </c:pt>
              <c:pt idx="161">
                <c:v>0.0863324470676127</c:v>
              </c:pt>
              <c:pt idx="162">
                <c:v>0.08645732582679817</c:v>
              </c:pt>
              <c:pt idx="163">
                <c:v>0.08645732582679817</c:v>
              </c:pt>
              <c:pt idx="164">
                <c:v>0.08658220458598365</c:v>
              </c:pt>
              <c:pt idx="165">
                <c:v>0.08658220458598365</c:v>
              </c:pt>
              <c:pt idx="166">
                <c:v>0.08670708334516912</c:v>
              </c:pt>
              <c:pt idx="167">
                <c:v>0.08670708334516912</c:v>
              </c:pt>
              <c:pt idx="168">
                <c:v>0.08683196210435459</c:v>
              </c:pt>
              <c:pt idx="169">
                <c:v>0.08683196210435459</c:v>
              </c:pt>
              <c:pt idx="170">
                <c:v>0.08695684086354007</c:v>
              </c:pt>
              <c:pt idx="171">
                <c:v>0.08695684086354007</c:v>
              </c:pt>
              <c:pt idx="172">
                <c:v>0.08708171962272554</c:v>
              </c:pt>
              <c:pt idx="173">
                <c:v>0.08708171962272554</c:v>
              </c:pt>
              <c:pt idx="174">
                <c:v>0.08720659838191101</c:v>
              </c:pt>
              <c:pt idx="175">
                <c:v>0.08720659838191101</c:v>
              </c:pt>
              <c:pt idx="176">
                <c:v>0.08733147714109649</c:v>
              </c:pt>
              <c:pt idx="177">
                <c:v>0.08733147714109649</c:v>
              </c:pt>
              <c:pt idx="178">
                <c:v>0.08745635590028196</c:v>
              </c:pt>
              <c:pt idx="179">
                <c:v>0.08745635590028196</c:v>
              </c:pt>
              <c:pt idx="180">
                <c:v>0.08758123465946743</c:v>
              </c:pt>
              <c:pt idx="181">
                <c:v>0.08758123465946743</c:v>
              </c:pt>
              <c:pt idx="182">
                <c:v>0.0877061134186529</c:v>
              </c:pt>
              <c:pt idx="183">
                <c:v>0.0877061134186529</c:v>
              </c:pt>
              <c:pt idx="184">
                <c:v>0.08783099217783838</c:v>
              </c:pt>
              <c:pt idx="185">
                <c:v>0.08783099217783838</c:v>
              </c:pt>
              <c:pt idx="186">
                <c:v>0.08795587093702385</c:v>
              </c:pt>
              <c:pt idx="187">
                <c:v>0.08795587093702385</c:v>
              </c:pt>
              <c:pt idx="188">
                <c:v>0.08808074969620933</c:v>
              </c:pt>
              <c:pt idx="189">
                <c:v>0.08808074969620933</c:v>
              </c:pt>
              <c:pt idx="190">
                <c:v>0.0882056284553948</c:v>
              </c:pt>
              <c:pt idx="191">
                <c:v>0.0882056284553948</c:v>
              </c:pt>
              <c:pt idx="192">
                <c:v>0.08833050721458027</c:v>
              </c:pt>
              <c:pt idx="193">
                <c:v>0.08833050721458027</c:v>
              </c:pt>
              <c:pt idx="194">
                <c:v>0.08845538597376575</c:v>
              </c:pt>
              <c:pt idx="195">
                <c:v>0.08845538597376575</c:v>
              </c:pt>
              <c:pt idx="196">
                <c:v>0.08858026473295122</c:v>
              </c:pt>
              <c:pt idx="197">
                <c:v>0.08858026473295122</c:v>
              </c:pt>
              <c:pt idx="198">
                <c:v>0.08870514349213669</c:v>
              </c:pt>
              <c:pt idx="199">
                <c:v>0.08870514349213669</c:v>
              </c:pt>
              <c:pt idx="200">
                <c:v>0.08883002225132217</c:v>
              </c:pt>
              <c:pt idx="201">
                <c:v>0.08883002225132217</c:v>
              </c:pt>
              <c:pt idx="202">
                <c:v>0.08895490101050764</c:v>
              </c:pt>
              <c:pt idx="203">
                <c:v>0.08895490101050764</c:v>
              </c:pt>
              <c:pt idx="204">
                <c:v>0.08907977976969311</c:v>
              </c:pt>
              <c:pt idx="205">
                <c:v>0.08907977976969311</c:v>
              </c:pt>
              <c:pt idx="206">
                <c:v>0.08920465852887859</c:v>
              </c:pt>
              <c:pt idx="207">
                <c:v>0.08920465852887859</c:v>
              </c:pt>
              <c:pt idx="208">
                <c:v>0.08932953728806406</c:v>
              </c:pt>
              <c:pt idx="209">
                <c:v>0.08932953728806406</c:v>
              </c:pt>
              <c:pt idx="210">
                <c:v>0.08945441604724953</c:v>
              </c:pt>
              <c:pt idx="211">
                <c:v>0.08945441604724953</c:v>
              </c:pt>
              <c:pt idx="212">
                <c:v>0.089579294806435</c:v>
              </c:pt>
              <c:pt idx="213">
                <c:v>0.089579294806435</c:v>
              </c:pt>
              <c:pt idx="214">
                <c:v>0.08970417356562048</c:v>
              </c:pt>
              <c:pt idx="215">
                <c:v>0.08970417356562048</c:v>
              </c:pt>
              <c:pt idx="216">
                <c:v>0.08982905232480595</c:v>
              </c:pt>
              <c:pt idx="217">
                <c:v>0.08982905232480595</c:v>
              </c:pt>
              <c:pt idx="218">
                <c:v>0.08995393108399141</c:v>
              </c:pt>
              <c:pt idx="219">
                <c:v>0.08995393108399141</c:v>
              </c:pt>
              <c:pt idx="220">
                <c:v>0.0900788098431769</c:v>
              </c:pt>
              <c:pt idx="221">
                <c:v>0.0900788098431769</c:v>
              </c:pt>
              <c:pt idx="222">
                <c:v>0.09020368860236236</c:v>
              </c:pt>
              <c:pt idx="223">
                <c:v>0.09020368860236236</c:v>
              </c:pt>
              <c:pt idx="224">
                <c:v>0.09032856736154785</c:v>
              </c:pt>
              <c:pt idx="225">
                <c:v>0.09032856736154785</c:v>
              </c:pt>
              <c:pt idx="226">
                <c:v>0.0904534461207333</c:v>
              </c:pt>
              <c:pt idx="227">
                <c:v>0.0904534461207333</c:v>
              </c:pt>
              <c:pt idx="228">
                <c:v>0.09057832487991878</c:v>
              </c:pt>
              <c:pt idx="229">
                <c:v>0.09057832487991878</c:v>
              </c:pt>
              <c:pt idx="230">
                <c:v>0.09070320363910425</c:v>
              </c:pt>
              <c:pt idx="231">
                <c:v>0.09070320363910425</c:v>
              </c:pt>
              <c:pt idx="232">
                <c:v>0.09082808239828973</c:v>
              </c:pt>
              <c:pt idx="233">
                <c:v>0.09082808239828973</c:v>
              </c:pt>
              <c:pt idx="234">
                <c:v>0.0909529611574752</c:v>
              </c:pt>
              <c:pt idx="235">
                <c:v>0.0909529611574752</c:v>
              </c:pt>
              <c:pt idx="236">
                <c:v>0.09107783991666067</c:v>
              </c:pt>
              <c:pt idx="237">
                <c:v>0.09107783991666067</c:v>
              </c:pt>
              <c:pt idx="238">
                <c:v>0.09120271867584615</c:v>
              </c:pt>
              <c:pt idx="239">
                <c:v>0.09120271867584615</c:v>
              </c:pt>
              <c:pt idx="240">
                <c:v>0.09132759743503162</c:v>
              </c:pt>
              <c:pt idx="241">
                <c:v>0.09132759743503162</c:v>
              </c:pt>
              <c:pt idx="242">
                <c:v>0.09145247619421709</c:v>
              </c:pt>
              <c:pt idx="243">
                <c:v>0.09145247619421709</c:v>
              </c:pt>
              <c:pt idx="244">
                <c:v>0.09157735495340256</c:v>
              </c:pt>
              <c:pt idx="245">
                <c:v>0.09157735495340256</c:v>
              </c:pt>
              <c:pt idx="246">
                <c:v>0.09170223371258804</c:v>
              </c:pt>
              <c:pt idx="247">
                <c:v>0.09170223371258804</c:v>
              </c:pt>
              <c:pt idx="248">
                <c:v>0.09182711247177351</c:v>
              </c:pt>
              <c:pt idx="249">
                <c:v>0.09182711247177351</c:v>
              </c:pt>
              <c:pt idx="250">
                <c:v>0.09195199123095898</c:v>
              </c:pt>
              <c:pt idx="251">
                <c:v>0.09195199123095898</c:v>
              </c:pt>
              <c:pt idx="252">
                <c:v>0.09207686999014446</c:v>
              </c:pt>
              <c:pt idx="253">
                <c:v>0.09207686999014446</c:v>
              </c:pt>
              <c:pt idx="254">
                <c:v>0.09220174874932993</c:v>
              </c:pt>
              <c:pt idx="255">
                <c:v>0.09220174874932993</c:v>
              </c:pt>
              <c:pt idx="256">
                <c:v>0.0923266275085154</c:v>
              </c:pt>
              <c:pt idx="257">
                <c:v>0.0923266275085154</c:v>
              </c:pt>
              <c:pt idx="258">
                <c:v>0.09245150626770088</c:v>
              </c:pt>
              <c:pt idx="259">
                <c:v>0.09245150626770088</c:v>
              </c:pt>
              <c:pt idx="260">
                <c:v>0.09257638502688635</c:v>
              </c:pt>
              <c:pt idx="261">
                <c:v>0.09257638502688635</c:v>
              </c:pt>
              <c:pt idx="262">
                <c:v>0.09270126378607182</c:v>
              </c:pt>
              <c:pt idx="263">
                <c:v>0.09270126378607182</c:v>
              </c:pt>
              <c:pt idx="264">
                <c:v>0.0928261425452573</c:v>
              </c:pt>
              <c:pt idx="265">
                <c:v>0.0928261425452573</c:v>
              </c:pt>
              <c:pt idx="266">
                <c:v>0.09295102130444277</c:v>
              </c:pt>
              <c:pt idx="267">
                <c:v>0.09295102130444277</c:v>
              </c:pt>
              <c:pt idx="268">
                <c:v>0.09307590006362824</c:v>
              </c:pt>
              <c:pt idx="269">
                <c:v>0.09307590006362824</c:v>
              </c:pt>
              <c:pt idx="270">
                <c:v>0.09320077882281372</c:v>
              </c:pt>
              <c:pt idx="271">
                <c:v>0.09320077882281372</c:v>
              </c:pt>
              <c:pt idx="272">
                <c:v>0.09332565758199919</c:v>
              </c:pt>
              <c:pt idx="273">
                <c:v>0.09332565758199919</c:v>
              </c:pt>
              <c:pt idx="274">
                <c:v>0.09345053634118466</c:v>
              </c:pt>
              <c:pt idx="275">
                <c:v>0.09345053634118466</c:v>
              </c:pt>
              <c:pt idx="276">
                <c:v>0.09357541510037014</c:v>
              </c:pt>
              <c:pt idx="277">
                <c:v>0.09357541510037014</c:v>
              </c:pt>
              <c:pt idx="278">
                <c:v>0.09370029385955561</c:v>
              </c:pt>
              <c:pt idx="279">
                <c:v>0.09370029385955561</c:v>
              </c:pt>
              <c:pt idx="280">
                <c:v>0.09382517261874108</c:v>
              </c:pt>
              <c:pt idx="281">
                <c:v>0.09382517261874108</c:v>
              </c:pt>
              <c:pt idx="282">
                <c:v>0.09395005137792656</c:v>
              </c:pt>
              <c:pt idx="283">
                <c:v>0.09395005137792656</c:v>
              </c:pt>
              <c:pt idx="284">
                <c:v>0.09407493013711203</c:v>
              </c:pt>
              <c:pt idx="285">
                <c:v>0.09407493013711203</c:v>
              </c:pt>
              <c:pt idx="286">
                <c:v>0.0941998088962975</c:v>
              </c:pt>
              <c:pt idx="287">
                <c:v>0.0941998088962975</c:v>
              </c:pt>
              <c:pt idx="288">
                <c:v>0.09432468765548298</c:v>
              </c:pt>
              <c:pt idx="289">
                <c:v>0.09432468765548298</c:v>
              </c:pt>
              <c:pt idx="290">
                <c:v>0.09444956641466845</c:v>
              </c:pt>
              <c:pt idx="291">
                <c:v>0.09444956641466845</c:v>
              </c:pt>
              <c:pt idx="292">
                <c:v>0.09450308588289079</c:v>
              </c:pt>
              <c:pt idx="293">
                <c:v>0.09450308588289079</c:v>
              </c:pt>
              <c:pt idx="294">
                <c:v>0.09450308588289079</c:v>
              </c:pt>
              <c:pt idx="295">
                <c:v>0.09450308588289079</c:v>
              </c:pt>
              <c:pt idx="296">
                <c:v>0.09450308588289079</c:v>
              </c:pt>
              <c:pt idx="297">
                <c:v>0.09450308588289079</c:v>
              </c:pt>
              <c:pt idx="298">
                <c:v>0.09462796464207626</c:v>
              </c:pt>
              <c:pt idx="299">
                <c:v>0.09462796464207626</c:v>
              </c:pt>
              <c:pt idx="300">
                <c:v>0.09475284340126174</c:v>
              </c:pt>
              <c:pt idx="301">
                <c:v>0.09475284340126174</c:v>
              </c:pt>
              <c:pt idx="302">
                <c:v>0.09487772216044721</c:v>
              </c:pt>
              <c:pt idx="303">
                <c:v>0.09487772216044721</c:v>
              </c:pt>
              <c:pt idx="304">
                <c:v>0.09500260091963268</c:v>
              </c:pt>
              <c:pt idx="305">
                <c:v>0.09500260091963268</c:v>
              </c:pt>
              <c:pt idx="306">
                <c:v>0.09512747967881816</c:v>
              </c:pt>
              <c:pt idx="307">
                <c:v>0.09512747967881816</c:v>
              </c:pt>
              <c:pt idx="308">
                <c:v>0.09525235843800363</c:v>
              </c:pt>
              <c:pt idx="309">
                <c:v>0.09525235843800363</c:v>
              </c:pt>
              <c:pt idx="310">
                <c:v>0.0953772371971891</c:v>
              </c:pt>
              <c:pt idx="311">
                <c:v>0.0953772371971891</c:v>
              </c:pt>
              <c:pt idx="312">
                <c:v>0.09550211595637458</c:v>
              </c:pt>
              <c:pt idx="313">
                <c:v>0.09550211595637458</c:v>
              </c:pt>
              <c:pt idx="314">
                <c:v>0.09562699471556005</c:v>
              </c:pt>
              <c:pt idx="315">
                <c:v>0.09562699471556005</c:v>
              </c:pt>
              <c:pt idx="316">
                <c:v>0.09575187347474552</c:v>
              </c:pt>
              <c:pt idx="317">
                <c:v>0.09575187347474552</c:v>
              </c:pt>
              <c:pt idx="318">
                <c:v>0.095876752233931</c:v>
              </c:pt>
              <c:pt idx="319">
                <c:v>0.095876752233931</c:v>
              </c:pt>
              <c:pt idx="320">
                <c:v>0.09600163099311647</c:v>
              </c:pt>
              <c:pt idx="321">
                <c:v>0.09600163099311647</c:v>
              </c:pt>
              <c:pt idx="322">
                <c:v>0.09612650975230194</c:v>
              </c:pt>
              <c:pt idx="323">
                <c:v>0.09612650975230194</c:v>
              </c:pt>
              <c:pt idx="324">
                <c:v>0.09625138851148742</c:v>
              </c:pt>
              <c:pt idx="325">
                <c:v>0.09625138851148742</c:v>
              </c:pt>
              <c:pt idx="326">
                <c:v>0.09637626727067289</c:v>
              </c:pt>
              <c:pt idx="327">
                <c:v>0.09637626727067289</c:v>
              </c:pt>
              <c:pt idx="328">
                <c:v>0.09650114602985836</c:v>
              </c:pt>
              <c:pt idx="329">
                <c:v>0.09650114602985836</c:v>
              </c:pt>
              <c:pt idx="330">
                <c:v>0.09662602478904384</c:v>
              </c:pt>
              <c:pt idx="331">
                <c:v>0.09662602478904384</c:v>
              </c:pt>
              <c:pt idx="332">
                <c:v>0.09675090354822931</c:v>
              </c:pt>
              <c:pt idx="333">
                <c:v>0.09675090354822931</c:v>
              </c:pt>
              <c:pt idx="334">
                <c:v>0.09687578230741478</c:v>
              </c:pt>
              <c:pt idx="335">
                <c:v>0.09687578230741478</c:v>
              </c:pt>
              <c:pt idx="336">
                <c:v>0.09700066106660026</c:v>
              </c:pt>
              <c:pt idx="337">
                <c:v>0.09700066106660026</c:v>
              </c:pt>
              <c:pt idx="338">
                <c:v>0.09712553982578573</c:v>
              </c:pt>
              <c:pt idx="339">
                <c:v>0.09712553982578573</c:v>
              </c:pt>
              <c:pt idx="340">
                <c:v>0.0972504185849712</c:v>
              </c:pt>
              <c:pt idx="341">
                <c:v>0.0972504185849712</c:v>
              </c:pt>
              <c:pt idx="342">
                <c:v>0.09737529734415667</c:v>
              </c:pt>
              <c:pt idx="343">
                <c:v>0.09737529734415667</c:v>
              </c:pt>
              <c:pt idx="344">
                <c:v>0.09750017610334215</c:v>
              </c:pt>
              <c:pt idx="345">
                <c:v>0.09750017610334215</c:v>
              </c:pt>
              <c:pt idx="346">
                <c:v>0.09762505486252762</c:v>
              </c:pt>
              <c:pt idx="347">
                <c:v>0.09762505486252762</c:v>
              </c:pt>
              <c:pt idx="348">
                <c:v>0.0977499336217131</c:v>
              </c:pt>
              <c:pt idx="349">
                <c:v>0.0977499336217131</c:v>
              </c:pt>
              <c:pt idx="350">
                <c:v>0.09787481238089857</c:v>
              </c:pt>
              <c:pt idx="351">
                <c:v>0.09787481238089857</c:v>
              </c:pt>
              <c:pt idx="352">
                <c:v>0.09799969114008404</c:v>
              </c:pt>
              <c:pt idx="353">
                <c:v>0.09799969114008404</c:v>
              </c:pt>
              <c:pt idx="354">
                <c:v>0.09812456989926951</c:v>
              </c:pt>
              <c:pt idx="355">
                <c:v>0.09812456989926951</c:v>
              </c:pt>
              <c:pt idx="356">
                <c:v>0.09824944865845499</c:v>
              </c:pt>
              <c:pt idx="357">
                <c:v>0.09824944865845499</c:v>
              </c:pt>
              <c:pt idx="358">
                <c:v>0.09837432741764046</c:v>
              </c:pt>
              <c:pt idx="359">
                <c:v>0.09837432741764046</c:v>
              </c:pt>
              <c:pt idx="360">
                <c:v>0.09849920617682593</c:v>
              </c:pt>
              <c:pt idx="361">
                <c:v>0.09849920617682593</c:v>
              </c:pt>
              <c:pt idx="362">
                <c:v>0.09862408493601141</c:v>
              </c:pt>
              <c:pt idx="363">
                <c:v>0.09862408493601141</c:v>
              </c:pt>
              <c:pt idx="364">
                <c:v>0.09874896369519688</c:v>
              </c:pt>
              <c:pt idx="365">
                <c:v>0.09874896369519688</c:v>
              </c:pt>
              <c:pt idx="366">
                <c:v>0.09887384245438235</c:v>
              </c:pt>
              <c:pt idx="367">
                <c:v>0.09887384245438235</c:v>
              </c:pt>
              <c:pt idx="368">
                <c:v>0.09899872121356781</c:v>
              </c:pt>
              <c:pt idx="369">
                <c:v>0.09899872121356781</c:v>
              </c:pt>
              <c:pt idx="370">
                <c:v>0.0991235999727533</c:v>
              </c:pt>
              <c:pt idx="371">
                <c:v>0.0991235999727533</c:v>
              </c:pt>
              <c:pt idx="372">
                <c:v>0.09924847873193876</c:v>
              </c:pt>
              <c:pt idx="373">
                <c:v>0.09924847873193876</c:v>
              </c:pt>
              <c:pt idx="374">
                <c:v>0.09937335749112423</c:v>
              </c:pt>
              <c:pt idx="375">
                <c:v>0.09937335749112423</c:v>
              </c:pt>
              <c:pt idx="376">
                <c:v>0.09949823625030971</c:v>
              </c:pt>
              <c:pt idx="377">
                <c:v>0.09949823625030971</c:v>
              </c:pt>
              <c:pt idx="378">
                <c:v>0.09962311500949518</c:v>
              </c:pt>
              <c:pt idx="379">
                <c:v>0.09962311500949518</c:v>
              </c:pt>
              <c:pt idx="380">
                <c:v>0.09974799376868065</c:v>
              </c:pt>
              <c:pt idx="381">
                <c:v>0.09974799376868065</c:v>
              </c:pt>
              <c:pt idx="382">
                <c:v>0.09987287252786613</c:v>
              </c:pt>
              <c:pt idx="383">
                <c:v>0.09987287252786613</c:v>
              </c:pt>
              <c:pt idx="384">
                <c:v>0.0999977512870516</c:v>
              </c:pt>
              <c:pt idx="385">
                <c:v>0.0999977512870516</c:v>
              </c:pt>
              <c:pt idx="386">
                <c:v>0.10012263004623707</c:v>
              </c:pt>
              <c:pt idx="387">
                <c:v>0.10012263004623707</c:v>
              </c:pt>
              <c:pt idx="388">
                <c:v>0.10024750880542255</c:v>
              </c:pt>
              <c:pt idx="389">
                <c:v>0.10024750880542255</c:v>
              </c:pt>
              <c:pt idx="390">
                <c:v>0.10037238756460802</c:v>
              </c:pt>
              <c:pt idx="391">
                <c:v>0.10037238756460802</c:v>
              </c:pt>
              <c:pt idx="392">
                <c:v>0.1004972663237935</c:v>
              </c:pt>
              <c:pt idx="393">
                <c:v>0.1004972663237935</c:v>
              </c:pt>
              <c:pt idx="394">
                <c:v>0.10062214508297897</c:v>
              </c:pt>
              <c:pt idx="395">
                <c:v>0.10062214508297897</c:v>
              </c:pt>
              <c:pt idx="396">
                <c:v>0.10074702384216444</c:v>
              </c:pt>
              <c:pt idx="397">
                <c:v>0.10074702384216444</c:v>
              </c:pt>
              <c:pt idx="398">
                <c:v>0.10087190260134991</c:v>
              </c:pt>
              <c:pt idx="399">
                <c:v>0.10087190260134991</c:v>
              </c:pt>
              <c:pt idx="400">
                <c:v>0.10099678136053539</c:v>
              </c:pt>
              <c:pt idx="401">
                <c:v>0.10099678136053539</c:v>
              </c:pt>
              <c:pt idx="402">
                <c:v>0.10112166011972086</c:v>
              </c:pt>
              <c:pt idx="403">
                <c:v>0.10112166011972086</c:v>
              </c:pt>
              <c:pt idx="404">
                <c:v>0.10124653887890633</c:v>
              </c:pt>
              <c:pt idx="405">
                <c:v>0.10124653887890633</c:v>
              </c:pt>
              <c:pt idx="406">
                <c:v>0.10137141763809181</c:v>
              </c:pt>
              <c:pt idx="407">
                <c:v>0.10137141763809181</c:v>
              </c:pt>
              <c:pt idx="408">
                <c:v>0.10149629639727728</c:v>
              </c:pt>
              <c:pt idx="409">
                <c:v>0.10149629639727728</c:v>
              </c:pt>
              <c:pt idx="410">
                <c:v>0.10162117515646275</c:v>
              </c:pt>
              <c:pt idx="411">
                <c:v>0.10162117515646275</c:v>
              </c:pt>
              <c:pt idx="412">
                <c:v>0.10174605391564823</c:v>
              </c:pt>
              <c:pt idx="413">
                <c:v>0.10174605391564823</c:v>
              </c:pt>
              <c:pt idx="414">
                <c:v>0.1018709326748337</c:v>
              </c:pt>
              <c:pt idx="415">
                <c:v>0.1018709326748337</c:v>
              </c:pt>
              <c:pt idx="416">
                <c:v>0.10199581143401917</c:v>
              </c:pt>
              <c:pt idx="417">
                <c:v>0.10199581143401917</c:v>
              </c:pt>
              <c:pt idx="418">
                <c:v>0.10212069019320465</c:v>
              </c:pt>
              <c:pt idx="419">
                <c:v>0.10212069019320465</c:v>
              </c:pt>
              <c:pt idx="420">
                <c:v>0.10224556895239012</c:v>
              </c:pt>
              <c:pt idx="421">
                <c:v>0.10224556895239012</c:v>
              </c:pt>
              <c:pt idx="422">
                <c:v>0.1023704477115756</c:v>
              </c:pt>
              <c:pt idx="423">
                <c:v>0.1023704477115756</c:v>
              </c:pt>
              <c:pt idx="424">
                <c:v>0.10249532647076107</c:v>
              </c:pt>
              <c:pt idx="425">
                <c:v>0.10249532647076107</c:v>
              </c:pt>
              <c:pt idx="426">
                <c:v>0.10262020522994654</c:v>
              </c:pt>
              <c:pt idx="427">
                <c:v>0.10262020522994654</c:v>
              </c:pt>
              <c:pt idx="428">
                <c:v>0.10274508398913201</c:v>
              </c:pt>
              <c:pt idx="429">
                <c:v>0.10274508398913201</c:v>
              </c:pt>
              <c:pt idx="430">
                <c:v>0.10286996274831749</c:v>
              </c:pt>
              <c:pt idx="431">
                <c:v>0.10286996274831749</c:v>
              </c:pt>
              <c:pt idx="432">
                <c:v>0.10299484150750296</c:v>
              </c:pt>
              <c:pt idx="433">
                <c:v>0.10299484150750296</c:v>
              </c:pt>
              <c:pt idx="434">
                <c:v>0.10311972026668843</c:v>
              </c:pt>
              <c:pt idx="435">
                <c:v>0.10311972026668843</c:v>
              </c:pt>
              <c:pt idx="436">
                <c:v>0.1032445990258739</c:v>
              </c:pt>
              <c:pt idx="437">
                <c:v>0.1032445990258739</c:v>
              </c:pt>
              <c:pt idx="438">
                <c:v>0.10336947778505938</c:v>
              </c:pt>
              <c:pt idx="439">
                <c:v>0.10336947778505938</c:v>
              </c:pt>
              <c:pt idx="440">
                <c:v>0.10342299725328173</c:v>
              </c:pt>
              <c:pt idx="441">
                <c:v>0.10342299725328173</c:v>
              </c:pt>
              <c:pt idx="442">
                <c:v>0.10342299725328173</c:v>
              </c:pt>
              <c:pt idx="443">
                <c:v>0.10342299725328173</c:v>
              </c:pt>
              <c:pt idx="444">
                <c:v>0.10342299725328173</c:v>
              </c:pt>
              <c:pt idx="445">
                <c:v>0.10342299725328173</c:v>
              </c:pt>
              <c:pt idx="446">
                <c:v>0.1035478760124672</c:v>
              </c:pt>
              <c:pt idx="447">
                <c:v>0.1035478760124672</c:v>
              </c:pt>
              <c:pt idx="448">
                <c:v>0.10367275477165268</c:v>
              </c:pt>
              <c:pt idx="449">
                <c:v>0.10367275477165268</c:v>
              </c:pt>
              <c:pt idx="450">
                <c:v>0.10379763353083815</c:v>
              </c:pt>
              <c:pt idx="451">
                <c:v>0.10379763353083815</c:v>
              </c:pt>
              <c:pt idx="452">
                <c:v>0.10392251229002362</c:v>
              </c:pt>
              <c:pt idx="453">
                <c:v>0.10392251229002362</c:v>
              </c:pt>
              <c:pt idx="454">
                <c:v>0.1040473910492091</c:v>
              </c:pt>
              <c:pt idx="455">
                <c:v>0.1040473910492091</c:v>
              </c:pt>
              <c:pt idx="456">
                <c:v>0.10417226980839457</c:v>
              </c:pt>
              <c:pt idx="457">
                <c:v>0.10417226980839457</c:v>
              </c:pt>
              <c:pt idx="458">
                <c:v>0.10429714856758004</c:v>
              </c:pt>
              <c:pt idx="459">
                <c:v>0.10429714856758004</c:v>
              </c:pt>
              <c:pt idx="460">
                <c:v>0.10442202732676552</c:v>
              </c:pt>
              <c:pt idx="461">
                <c:v>0.10442202732676552</c:v>
              </c:pt>
              <c:pt idx="462">
                <c:v>0.10454690608595099</c:v>
              </c:pt>
              <c:pt idx="463">
                <c:v>0.10454690608595099</c:v>
              </c:pt>
              <c:pt idx="464">
                <c:v>0.10467178484513646</c:v>
              </c:pt>
              <c:pt idx="465">
                <c:v>0.10467178484513646</c:v>
              </c:pt>
              <c:pt idx="466">
                <c:v>0.10479666360432194</c:v>
              </c:pt>
              <c:pt idx="467">
                <c:v>0.10479666360432194</c:v>
              </c:pt>
              <c:pt idx="468">
                <c:v>0.10492154236350741</c:v>
              </c:pt>
              <c:pt idx="469">
                <c:v>0.10492154236350741</c:v>
              </c:pt>
              <c:pt idx="470">
                <c:v>0.10504642112269288</c:v>
              </c:pt>
              <c:pt idx="471">
                <c:v>0.10504642112269288</c:v>
              </c:pt>
              <c:pt idx="472">
                <c:v>0.10517129988187836</c:v>
              </c:pt>
              <c:pt idx="473">
                <c:v>0.10517129988187836</c:v>
              </c:pt>
              <c:pt idx="474">
                <c:v>0.10529617864106383</c:v>
              </c:pt>
              <c:pt idx="475">
                <c:v>0.10529617864106383</c:v>
              </c:pt>
              <c:pt idx="476">
                <c:v>0.1054210574002493</c:v>
              </c:pt>
              <c:pt idx="477">
                <c:v>0.1054210574002493</c:v>
              </c:pt>
              <c:pt idx="478">
                <c:v>0.10554593615943478</c:v>
              </c:pt>
              <c:pt idx="479">
                <c:v>0.10554593615943478</c:v>
              </c:pt>
              <c:pt idx="480">
                <c:v>0.10567081491862025</c:v>
              </c:pt>
              <c:pt idx="481">
                <c:v>0.10567081491862025</c:v>
              </c:pt>
              <c:pt idx="482">
                <c:v>0.10579569367780572</c:v>
              </c:pt>
              <c:pt idx="483">
                <c:v>0.10579569367780572</c:v>
              </c:pt>
              <c:pt idx="484">
                <c:v>0.1059205724369912</c:v>
              </c:pt>
              <c:pt idx="485">
                <c:v>0.1059205724369912</c:v>
              </c:pt>
              <c:pt idx="486">
                <c:v>0.10604545119617667</c:v>
              </c:pt>
              <c:pt idx="487">
                <c:v>0.10604545119617667</c:v>
              </c:pt>
              <c:pt idx="488">
                <c:v>0.10617032995536214</c:v>
              </c:pt>
              <c:pt idx="489">
                <c:v>0.10617032995536214</c:v>
              </c:pt>
              <c:pt idx="490">
                <c:v>0.10629520871454762</c:v>
              </c:pt>
              <c:pt idx="491">
                <c:v>0.10629520871454762</c:v>
              </c:pt>
              <c:pt idx="492">
                <c:v>0.10642008747373309</c:v>
              </c:pt>
              <c:pt idx="493">
                <c:v>0.10642008747373309</c:v>
              </c:pt>
              <c:pt idx="494">
                <c:v>0.10654496623291856</c:v>
              </c:pt>
              <c:pt idx="495">
                <c:v>0.10654496623291856</c:v>
              </c:pt>
              <c:pt idx="496">
                <c:v>0.10666984499210404</c:v>
              </c:pt>
              <c:pt idx="497">
                <c:v>0.10666984499210404</c:v>
              </c:pt>
              <c:pt idx="498">
                <c:v>0.10679472375128951</c:v>
              </c:pt>
              <c:pt idx="499">
                <c:v>0.10679472375128951</c:v>
              </c:pt>
              <c:pt idx="500">
                <c:v>0.10691960251047498</c:v>
              </c:pt>
              <c:pt idx="501">
                <c:v>0.10691960251047498</c:v>
              </c:pt>
              <c:pt idx="502">
                <c:v>0.10704448126966046</c:v>
              </c:pt>
              <c:pt idx="503">
                <c:v>0.10704448126966046</c:v>
              </c:pt>
              <c:pt idx="504">
                <c:v>0.10716936002884593</c:v>
              </c:pt>
              <c:pt idx="505">
                <c:v>0.10716936002884593</c:v>
              </c:pt>
              <c:pt idx="506">
                <c:v>0.1072942387880314</c:v>
              </c:pt>
              <c:pt idx="507">
                <c:v>0.1072942387880314</c:v>
              </c:pt>
              <c:pt idx="508">
                <c:v>0.10741911754721688</c:v>
              </c:pt>
              <c:pt idx="509">
                <c:v>0.10741911754721688</c:v>
              </c:pt>
              <c:pt idx="510">
                <c:v>0.10754399630640235</c:v>
              </c:pt>
              <c:pt idx="511">
                <c:v>0.10754399630640235</c:v>
              </c:pt>
              <c:pt idx="512">
                <c:v>0.10766887506558782</c:v>
              </c:pt>
              <c:pt idx="513">
                <c:v>0.10766887506558782</c:v>
              </c:pt>
              <c:pt idx="514">
                <c:v>0.1077937538247733</c:v>
              </c:pt>
              <c:pt idx="515">
                <c:v>0.1077937538247733</c:v>
              </c:pt>
              <c:pt idx="516">
                <c:v>0.10791863258395876</c:v>
              </c:pt>
              <c:pt idx="517">
                <c:v>0.10791863258395876</c:v>
              </c:pt>
              <c:pt idx="518">
                <c:v>0.10804351134314424</c:v>
              </c:pt>
              <c:pt idx="519">
                <c:v>0.10804351134314424</c:v>
              </c:pt>
              <c:pt idx="520">
                <c:v>0.1081683901023297</c:v>
              </c:pt>
              <c:pt idx="521">
                <c:v>0.1081683901023297</c:v>
              </c:pt>
              <c:pt idx="522">
                <c:v>0.10829326886151518</c:v>
              </c:pt>
              <c:pt idx="523">
                <c:v>0.10829326886151518</c:v>
              </c:pt>
              <c:pt idx="524">
                <c:v>0.10841814762070065</c:v>
              </c:pt>
              <c:pt idx="525">
                <c:v>0.10841814762070065</c:v>
              </c:pt>
              <c:pt idx="526">
                <c:v>0.10854302637988612</c:v>
              </c:pt>
              <c:pt idx="527">
                <c:v>0.10854302637988612</c:v>
              </c:pt>
              <c:pt idx="528">
                <c:v>0.1086679051390716</c:v>
              </c:pt>
              <c:pt idx="529">
                <c:v>0.1086679051390716</c:v>
              </c:pt>
              <c:pt idx="530">
                <c:v>0.10879278389825707</c:v>
              </c:pt>
              <c:pt idx="531">
                <c:v>0.10879278389825707</c:v>
              </c:pt>
              <c:pt idx="532">
                <c:v>0.10891766265744254</c:v>
              </c:pt>
              <c:pt idx="533">
                <c:v>0.10891766265744254</c:v>
              </c:pt>
              <c:pt idx="534">
                <c:v>0.10904254141662802</c:v>
              </c:pt>
              <c:pt idx="535">
                <c:v>0.10904254141662802</c:v>
              </c:pt>
              <c:pt idx="536">
                <c:v>0.10916742017581349</c:v>
              </c:pt>
              <c:pt idx="537">
                <c:v>0.10916742017581349</c:v>
              </c:pt>
              <c:pt idx="538">
                <c:v>0.10929229893499896</c:v>
              </c:pt>
              <c:pt idx="539">
                <c:v>0.10929229893499896</c:v>
              </c:pt>
              <c:pt idx="540">
                <c:v>0.10941717769418444</c:v>
              </c:pt>
              <c:pt idx="541">
                <c:v>0.10941717769418444</c:v>
              </c:pt>
              <c:pt idx="542">
                <c:v>0.10954205645336991</c:v>
              </c:pt>
              <c:pt idx="543">
                <c:v>0.10954205645336991</c:v>
              </c:pt>
              <c:pt idx="544">
                <c:v>0.10966693521255538</c:v>
              </c:pt>
              <c:pt idx="545">
                <c:v>0.10966693521255538</c:v>
              </c:pt>
              <c:pt idx="546">
                <c:v>0.10979181397174086</c:v>
              </c:pt>
              <c:pt idx="547">
                <c:v>0.10979181397174086</c:v>
              </c:pt>
              <c:pt idx="548">
                <c:v>0.10991669273092633</c:v>
              </c:pt>
              <c:pt idx="549">
                <c:v>0.10991669273092633</c:v>
              </c:pt>
              <c:pt idx="550">
                <c:v>0.1100415714901118</c:v>
              </c:pt>
              <c:pt idx="551">
                <c:v>0.1100415714901118</c:v>
              </c:pt>
              <c:pt idx="552">
                <c:v>0.11016645024929728</c:v>
              </c:pt>
              <c:pt idx="553">
                <c:v>0.11016645024929728</c:v>
              </c:pt>
              <c:pt idx="554">
                <c:v>0.11029132900848275</c:v>
              </c:pt>
              <c:pt idx="555">
                <c:v>0.11029132900848275</c:v>
              </c:pt>
              <c:pt idx="556">
                <c:v>0.11041620776766822</c:v>
              </c:pt>
              <c:pt idx="557">
                <c:v>0.11041620776766822</c:v>
              </c:pt>
              <c:pt idx="558">
                <c:v>0.1105410865268537</c:v>
              </c:pt>
              <c:pt idx="559">
                <c:v>0.1105410865268537</c:v>
              </c:pt>
              <c:pt idx="560">
                <c:v>0.11066596528603917</c:v>
              </c:pt>
              <c:pt idx="561">
                <c:v>0.11066596528603917</c:v>
              </c:pt>
              <c:pt idx="562">
                <c:v>0.11079084404522464</c:v>
              </c:pt>
              <c:pt idx="563">
                <c:v>0.11079084404522464</c:v>
              </c:pt>
              <c:pt idx="564">
                <c:v>0.11091572280441012</c:v>
              </c:pt>
              <c:pt idx="565">
                <c:v>0.11091572280441012</c:v>
              </c:pt>
              <c:pt idx="566">
                <c:v>0.11104060156359559</c:v>
              </c:pt>
              <c:pt idx="567">
                <c:v>0.11104060156359559</c:v>
              </c:pt>
              <c:pt idx="568">
                <c:v>0.11116548032278106</c:v>
              </c:pt>
              <c:pt idx="569">
                <c:v>0.11116548032278106</c:v>
              </c:pt>
              <c:pt idx="570">
                <c:v>0.11129035908196654</c:v>
              </c:pt>
              <c:pt idx="571">
                <c:v>0.11129035908196654</c:v>
              </c:pt>
              <c:pt idx="572">
                <c:v>0.11141523784115201</c:v>
              </c:pt>
              <c:pt idx="573">
                <c:v>0.11141523784115201</c:v>
              </c:pt>
              <c:pt idx="574">
                <c:v>0.11154011660033748</c:v>
              </c:pt>
              <c:pt idx="575">
                <c:v>0.11154011660033748</c:v>
              </c:pt>
              <c:pt idx="576">
                <c:v>0.11166499535952296</c:v>
              </c:pt>
              <c:pt idx="577">
                <c:v>0.11166499535952296</c:v>
              </c:pt>
              <c:pt idx="578">
                <c:v>0.11178987411870843</c:v>
              </c:pt>
              <c:pt idx="579">
                <c:v>0.11178987411870843</c:v>
              </c:pt>
              <c:pt idx="580">
                <c:v>0.1119147528778939</c:v>
              </c:pt>
              <c:pt idx="581">
                <c:v>0.1119147528778939</c:v>
              </c:pt>
              <c:pt idx="582">
                <c:v>0.11203963163707938</c:v>
              </c:pt>
              <c:pt idx="583">
                <c:v>0.11203963163707938</c:v>
              </c:pt>
              <c:pt idx="584">
                <c:v>0.11216451039626485</c:v>
              </c:pt>
              <c:pt idx="585">
                <c:v>0.11216451039626485</c:v>
              </c:pt>
              <c:pt idx="586">
                <c:v>0.11228938915545032</c:v>
              </c:pt>
              <c:pt idx="587">
                <c:v>0.11228938915545032</c:v>
              </c:pt>
              <c:pt idx="588">
                <c:v>0.11234290862367266</c:v>
              </c:pt>
              <c:pt idx="589">
                <c:v>0.11234290862367266</c:v>
              </c:pt>
              <c:pt idx="590">
                <c:v>0.11234290862367266</c:v>
              </c:pt>
              <c:pt idx="591">
                <c:v>0.11234290862367266</c:v>
              </c:pt>
              <c:pt idx="592">
                <c:v>0.11234290862367266</c:v>
              </c:pt>
              <c:pt idx="593">
                <c:v>0.11234290862367266</c:v>
              </c:pt>
              <c:pt idx="594">
                <c:v>0.11246778738285813</c:v>
              </c:pt>
              <c:pt idx="595">
                <c:v>0.11246778738285813</c:v>
              </c:pt>
              <c:pt idx="596">
                <c:v>0.11259266614204361</c:v>
              </c:pt>
              <c:pt idx="597">
                <c:v>0.11259266614204361</c:v>
              </c:pt>
              <c:pt idx="598">
                <c:v>0.11271754490122908</c:v>
              </c:pt>
              <c:pt idx="599">
                <c:v>0.11271754490122908</c:v>
              </c:pt>
              <c:pt idx="600">
                <c:v>0.11284242366041455</c:v>
              </c:pt>
              <c:pt idx="601">
                <c:v>0.11284242366041455</c:v>
              </c:pt>
              <c:pt idx="602">
                <c:v>0.11296730241960003</c:v>
              </c:pt>
              <c:pt idx="603">
                <c:v>0.11296730241960003</c:v>
              </c:pt>
              <c:pt idx="604">
                <c:v>0.1130921811787855</c:v>
              </c:pt>
              <c:pt idx="605">
                <c:v>0.1130921811787855</c:v>
              </c:pt>
              <c:pt idx="606">
                <c:v>0.11321705993797097</c:v>
              </c:pt>
              <c:pt idx="607">
                <c:v>0.11321705993797097</c:v>
              </c:pt>
              <c:pt idx="608">
                <c:v>0.11334193869715645</c:v>
              </c:pt>
              <c:pt idx="609">
                <c:v>0.11334193869715645</c:v>
              </c:pt>
              <c:pt idx="610">
                <c:v>0.11346681745634192</c:v>
              </c:pt>
              <c:pt idx="611">
                <c:v>0.11346681745634192</c:v>
              </c:pt>
              <c:pt idx="612">
                <c:v>0.1135916962155274</c:v>
              </c:pt>
              <c:pt idx="613">
                <c:v>0.1135916962155274</c:v>
              </c:pt>
              <c:pt idx="614">
                <c:v>0.11371657497471287</c:v>
              </c:pt>
              <c:pt idx="615">
                <c:v>0.11371657497471287</c:v>
              </c:pt>
              <c:pt idx="616">
                <c:v>0.11384145373389834</c:v>
              </c:pt>
              <c:pt idx="617">
                <c:v>0.11384145373389834</c:v>
              </c:pt>
              <c:pt idx="618">
                <c:v>0.11396633249308381</c:v>
              </c:pt>
              <c:pt idx="619">
                <c:v>0.11396633249308381</c:v>
              </c:pt>
              <c:pt idx="620">
                <c:v>0.11409121125226929</c:v>
              </c:pt>
              <c:pt idx="621">
                <c:v>0.11409121125226929</c:v>
              </c:pt>
              <c:pt idx="622">
                <c:v>0.11421609001145476</c:v>
              </c:pt>
              <c:pt idx="623">
                <c:v>0.11421609001145476</c:v>
              </c:pt>
              <c:pt idx="624">
                <c:v>0.11434096877064023</c:v>
              </c:pt>
              <c:pt idx="625">
                <c:v>0.11434096877064023</c:v>
              </c:pt>
              <c:pt idx="626">
                <c:v>0.1144658475298257</c:v>
              </c:pt>
              <c:pt idx="627">
                <c:v>0.1144658475298257</c:v>
              </c:pt>
              <c:pt idx="628">
                <c:v>0.11459072628901118</c:v>
              </c:pt>
              <c:pt idx="629">
                <c:v>0.11459072628901118</c:v>
              </c:pt>
              <c:pt idx="630">
                <c:v>0.11471560504819665</c:v>
              </c:pt>
              <c:pt idx="631">
                <c:v>0.11471560504819665</c:v>
              </c:pt>
              <c:pt idx="632">
                <c:v>0.11484048380738213</c:v>
              </c:pt>
              <c:pt idx="633">
                <c:v>0.11484048380738213</c:v>
              </c:pt>
              <c:pt idx="634">
                <c:v>0.1149653625665676</c:v>
              </c:pt>
              <c:pt idx="635">
                <c:v>0.1149653625665676</c:v>
              </c:pt>
              <c:pt idx="636">
                <c:v>0.11509024132575307</c:v>
              </c:pt>
              <c:pt idx="637">
                <c:v>0.11509024132575307</c:v>
              </c:pt>
              <c:pt idx="638">
                <c:v>0.11521512008493855</c:v>
              </c:pt>
              <c:pt idx="639">
                <c:v>0.11521512008493855</c:v>
              </c:pt>
              <c:pt idx="640">
                <c:v>0.11533999884412402</c:v>
              </c:pt>
              <c:pt idx="641">
                <c:v>0.11533999884412402</c:v>
              </c:pt>
              <c:pt idx="642">
                <c:v>0.1154648776033095</c:v>
              </c:pt>
              <c:pt idx="643">
                <c:v>0.1154648776033095</c:v>
              </c:pt>
              <c:pt idx="644">
                <c:v>0.11558975636249497</c:v>
              </c:pt>
              <c:pt idx="645">
                <c:v>0.11558975636249497</c:v>
              </c:pt>
              <c:pt idx="646">
                <c:v>0.11571463512168044</c:v>
              </c:pt>
              <c:pt idx="647">
                <c:v>0.11571463512168044</c:v>
              </c:pt>
              <c:pt idx="648">
                <c:v>0.11583951388086591</c:v>
              </c:pt>
              <c:pt idx="649">
                <c:v>0.11583951388086591</c:v>
              </c:pt>
              <c:pt idx="650">
                <c:v>0.11596439264005139</c:v>
              </c:pt>
              <c:pt idx="651">
                <c:v>0.11596439264005139</c:v>
              </c:pt>
              <c:pt idx="652">
                <c:v>0.11608927139923686</c:v>
              </c:pt>
              <c:pt idx="653">
                <c:v>0.11608927139923686</c:v>
              </c:pt>
              <c:pt idx="654">
                <c:v>0.11621415015842233</c:v>
              </c:pt>
              <c:pt idx="655">
                <c:v>0.11621415015842233</c:v>
              </c:pt>
              <c:pt idx="656">
                <c:v>0.1163390289176078</c:v>
              </c:pt>
              <c:pt idx="657">
                <c:v>0.1163390289176078</c:v>
              </c:pt>
              <c:pt idx="658">
                <c:v>0.11646390767679328</c:v>
              </c:pt>
              <c:pt idx="659">
                <c:v>0.11646390767679328</c:v>
              </c:pt>
              <c:pt idx="660">
                <c:v>0.11658878643597875</c:v>
              </c:pt>
              <c:pt idx="661">
                <c:v>0.11658878643597875</c:v>
              </c:pt>
              <c:pt idx="662">
                <c:v>0.11671366519516421</c:v>
              </c:pt>
              <c:pt idx="663">
                <c:v>0.11671366519516421</c:v>
              </c:pt>
              <c:pt idx="664">
                <c:v>0.1168385439543497</c:v>
              </c:pt>
              <c:pt idx="665">
                <c:v>0.1168385439543497</c:v>
              </c:pt>
              <c:pt idx="666">
                <c:v>0.11696342271353516</c:v>
              </c:pt>
              <c:pt idx="667">
                <c:v>0.11696342271353516</c:v>
              </c:pt>
              <c:pt idx="668">
                <c:v>0.11708830147272065</c:v>
              </c:pt>
              <c:pt idx="669">
                <c:v>0.11708830147272065</c:v>
              </c:pt>
              <c:pt idx="670">
                <c:v>0.1172131802319061</c:v>
              </c:pt>
              <c:pt idx="671">
                <c:v>0.1172131802319061</c:v>
              </c:pt>
              <c:pt idx="672">
                <c:v>0.11733805899109158</c:v>
              </c:pt>
              <c:pt idx="673">
                <c:v>0.11733805899109158</c:v>
              </c:pt>
              <c:pt idx="674">
                <c:v>0.11746293775027705</c:v>
              </c:pt>
              <c:pt idx="675">
                <c:v>0.11746293775027705</c:v>
              </c:pt>
              <c:pt idx="676">
                <c:v>0.11758781650946253</c:v>
              </c:pt>
              <c:pt idx="677">
                <c:v>0.11758781650946253</c:v>
              </c:pt>
              <c:pt idx="678">
                <c:v>0.117712695268648</c:v>
              </c:pt>
              <c:pt idx="679">
                <c:v>0.117712695268648</c:v>
              </c:pt>
              <c:pt idx="680">
                <c:v>0.11783757402783347</c:v>
              </c:pt>
              <c:pt idx="681">
                <c:v>0.11783757402783347</c:v>
              </c:pt>
              <c:pt idx="682">
                <c:v>0.11796245278701895</c:v>
              </c:pt>
              <c:pt idx="683">
                <c:v>0.11796245278701895</c:v>
              </c:pt>
              <c:pt idx="684">
                <c:v>0.11808733154620442</c:v>
              </c:pt>
              <c:pt idx="685">
                <c:v>0.11808733154620442</c:v>
              </c:pt>
              <c:pt idx="686">
                <c:v>0.11821221030538989</c:v>
              </c:pt>
              <c:pt idx="687">
                <c:v>0.11821221030538989</c:v>
              </c:pt>
              <c:pt idx="688">
                <c:v>0.11833708906457537</c:v>
              </c:pt>
              <c:pt idx="689">
                <c:v>0.11833708906457537</c:v>
              </c:pt>
              <c:pt idx="690">
                <c:v>0.11846196782376084</c:v>
              </c:pt>
              <c:pt idx="691">
                <c:v>0.11846196782376084</c:v>
              </c:pt>
              <c:pt idx="692">
                <c:v>0.11858684658294631</c:v>
              </c:pt>
              <c:pt idx="693">
                <c:v>0.11858684658294631</c:v>
              </c:pt>
              <c:pt idx="694">
                <c:v>0.11871172534213179</c:v>
              </c:pt>
              <c:pt idx="695">
                <c:v>0.11871172534213179</c:v>
              </c:pt>
              <c:pt idx="696">
                <c:v>0.11883660410131726</c:v>
              </c:pt>
              <c:pt idx="697">
                <c:v>0.11883660410131726</c:v>
              </c:pt>
              <c:pt idx="698">
                <c:v>0.11896148286050273</c:v>
              </c:pt>
              <c:pt idx="699">
                <c:v>0.11896148286050273</c:v>
              </c:pt>
              <c:pt idx="700">
                <c:v>0.1190863616196882</c:v>
              </c:pt>
              <c:pt idx="701">
                <c:v>0.1190863616196882</c:v>
              </c:pt>
              <c:pt idx="702">
                <c:v>0.11921124037887368</c:v>
              </c:pt>
              <c:pt idx="703">
                <c:v>0.11921124037887368</c:v>
              </c:pt>
              <c:pt idx="704">
                <c:v>0.11933611913805915</c:v>
              </c:pt>
              <c:pt idx="705">
                <c:v>0.11933611913805915</c:v>
              </c:pt>
              <c:pt idx="706">
                <c:v>0.11946099789724463</c:v>
              </c:pt>
              <c:pt idx="707">
                <c:v>0.11946099789724463</c:v>
              </c:pt>
              <c:pt idx="708">
                <c:v>0.1195858766564301</c:v>
              </c:pt>
              <c:pt idx="709">
                <c:v>0.1195858766564301</c:v>
              </c:pt>
              <c:pt idx="710">
                <c:v>0.11971075541561557</c:v>
              </c:pt>
              <c:pt idx="711">
                <c:v>0.11971075541561557</c:v>
              </c:pt>
              <c:pt idx="712">
                <c:v>0.11983563417480105</c:v>
              </c:pt>
              <c:pt idx="713">
                <c:v>0.11983563417480105</c:v>
              </c:pt>
              <c:pt idx="714">
                <c:v>0.11996051293398652</c:v>
              </c:pt>
              <c:pt idx="715">
                <c:v>0.11996051293398652</c:v>
              </c:pt>
              <c:pt idx="716">
                <c:v>0.12008539169317199</c:v>
              </c:pt>
              <c:pt idx="717">
                <c:v>0.12008539169317199</c:v>
              </c:pt>
              <c:pt idx="718">
                <c:v>0.12021027045235746</c:v>
              </c:pt>
              <c:pt idx="719">
                <c:v>0.12021027045235746</c:v>
              </c:pt>
              <c:pt idx="720">
                <c:v>0.12033514921154294</c:v>
              </c:pt>
              <c:pt idx="721">
                <c:v>0.12033514921154294</c:v>
              </c:pt>
              <c:pt idx="722">
                <c:v>0.12046002797072841</c:v>
              </c:pt>
              <c:pt idx="723">
                <c:v>0.12046002797072841</c:v>
              </c:pt>
              <c:pt idx="724">
                <c:v>0.12058490672991388</c:v>
              </c:pt>
              <c:pt idx="725">
                <c:v>0.12058490672991388</c:v>
              </c:pt>
              <c:pt idx="726">
                <c:v>0.12070978548909936</c:v>
              </c:pt>
              <c:pt idx="727">
                <c:v>0.12070978548909936</c:v>
              </c:pt>
              <c:pt idx="728">
                <c:v>0.12083466424828483</c:v>
              </c:pt>
              <c:pt idx="729">
                <c:v>0.12083466424828483</c:v>
              </c:pt>
              <c:pt idx="730">
                <c:v>0.1209595430074703</c:v>
              </c:pt>
              <c:pt idx="731">
                <c:v>0.1209595430074703</c:v>
              </c:pt>
              <c:pt idx="732">
                <c:v>0.12108442176665578</c:v>
              </c:pt>
              <c:pt idx="733">
                <c:v>0.12108442176665578</c:v>
              </c:pt>
              <c:pt idx="734">
                <c:v>0.12120930052584125</c:v>
              </c:pt>
              <c:pt idx="735">
                <c:v>0.12120930052584125</c:v>
              </c:pt>
              <c:pt idx="736">
                <c:v>0.1212628199940636</c:v>
              </c:pt>
              <c:pt idx="737">
                <c:v>0.1212628199940636</c:v>
              </c:pt>
              <c:pt idx="738">
                <c:v>0.1212628199940636</c:v>
              </c:pt>
              <c:pt idx="739">
                <c:v>0.1212628199940636</c:v>
              </c:pt>
              <c:pt idx="740">
                <c:v>0.1212628199940636</c:v>
              </c:pt>
              <c:pt idx="741">
                <c:v>0.1212628199940636</c:v>
              </c:pt>
              <c:pt idx="742">
                <c:v>0.12138769875324908</c:v>
              </c:pt>
              <c:pt idx="743">
                <c:v>0.12138769875324908</c:v>
              </c:pt>
              <c:pt idx="744">
                <c:v>0.12151257751243455</c:v>
              </c:pt>
              <c:pt idx="745">
                <c:v>0.12151257751243455</c:v>
              </c:pt>
              <c:pt idx="746">
                <c:v>0.12163745627162002</c:v>
              </c:pt>
              <c:pt idx="747">
                <c:v>0.12163745627162002</c:v>
              </c:pt>
              <c:pt idx="748">
                <c:v>0.1217623350308055</c:v>
              </c:pt>
              <c:pt idx="749">
                <c:v>0.1217623350308055</c:v>
              </c:pt>
              <c:pt idx="750">
                <c:v>0.12188721378999097</c:v>
              </c:pt>
              <c:pt idx="751">
                <c:v>0.12188721378999097</c:v>
              </c:pt>
              <c:pt idx="752">
                <c:v>0.12201209254917644</c:v>
              </c:pt>
              <c:pt idx="753">
                <c:v>0.12201209254917644</c:v>
              </c:pt>
              <c:pt idx="754">
                <c:v>0.12213697130836192</c:v>
              </c:pt>
              <c:pt idx="755">
                <c:v>0.12213697130836192</c:v>
              </c:pt>
              <c:pt idx="756">
                <c:v>0.12226185006754739</c:v>
              </c:pt>
              <c:pt idx="757">
                <c:v>0.12226185006754739</c:v>
              </c:pt>
              <c:pt idx="758">
                <c:v>0.12238672882673286</c:v>
              </c:pt>
              <c:pt idx="759">
                <c:v>0.12238672882673286</c:v>
              </c:pt>
              <c:pt idx="760">
                <c:v>0.12251160758591834</c:v>
              </c:pt>
              <c:pt idx="761">
                <c:v>0.12251160758591834</c:v>
              </c:pt>
              <c:pt idx="762">
                <c:v>0.12263648634510381</c:v>
              </c:pt>
              <c:pt idx="763">
                <c:v>0.12263648634510381</c:v>
              </c:pt>
              <c:pt idx="764">
                <c:v>0.12276136510428928</c:v>
              </c:pt>
              <c:pt idx="765">
                <c:v>0.12276136510428928</c:v>
              </c:pt>
              <c:pt idx="766">
                <c:v>0.12288624386347476</c:v>
              </c:pt>
              <c:pt idx="767">
                <c:v>0.12288624386347476</c:v>
              </c:pt>
              <c:pt idx="768">
                <c:v>0.12301112262266023</c:v>
              </c:pt>
              <c:pt idx="769">
                <c:v>0.12301112262266023</c:v>
              </c:pt>
              <c:pt idx="770">
                <c:v>0.1231360013818457</c:v>
              </c:pt>
              <c:pt idx="771">
                <c:v>0.1231360013818457</c:v>
              </c:pt>
              <c:pt idx="772">
                <c:v>0.12326088014103118</c:v>
              </c:pt>
              <c:pt idx="773">
                <c:v>0.12326088014103118</c:v>
              </c:pt>
              <c:pt idx="774">
                <c:v>0.12338575890021665</c:v>
              </c:pt>
              <c:pt idx="775">
                <c:v>0.12338575890021665</c:v>
              </c:pt>
              <c:pt idx="776">
                <c:v>0.12351063765940212</c:v>
              </c:pt>
              <c:pt idx="777">
                <c:v>0.12351063765940212</c:v>
              </c:pt>
              <c:pt idx="778">
                <c:v>0.1236355164185876</c:v>
              </c:pt>
              <c:pt idx="779">
                <c:v>0.1236355164185876</c:v>
              </c:pt>
              <c:pt idx="780">
                <c:v>0.12376039517777307</c:v>
              </c:pt>
              <c:pt idx="781">
                <c:v>0.12376039517777307</c:v>
              </c:pt>
              <c:pt idx="782">
                <c:v>0.12388527393695854</c:v>
              </c:pt>
              <c:pt idx="783">
                <c:v>0.12388527393695854</c:v>
              </c:pt>
              <c:pt idx="784">
                <c:v>0.12401015269614402</c:v>
              </c:pt>
              <c:pt idx="785">
                <c:v>0.12401015269614402</c:v>
              </c:pt>
              <c:pt idx="786">
                <c:v>0.12413503145532949</c:v>
              </c:pt>
              <c:pt idx="787">
                <c:v>0.12413503145532949</c:v>
              </c:pt>
              <c:pt idx="788">
                <c:v>0.12425991021451496</c:v>
              </c:pt>
              <c:pt idx="789">
                <c:v>0.12425991021451496</c:v>
              </c:pt>
              <c:pt idx="790">
                <c:v>0.12438478897370044</c:v>
              </c:pt>
              <c:pt idx="791">
                <c:v>0.12438478897370044</c:v>
              </c:pt>
              <c:pt idx="792">
                <c:v>0.12450966773288591</c:v>
              </c:pt>
              <c:pt idx="793">
                <c:v>0.12450966773288591</c:v>
              </c:pt>
              <c:pt idx="794">
                <c:v>0.12463454649207138</c:v>
              </c:pt>
              <c:pt idx="795">
                <c:v>0.12463454649207138</c:v>
              </c:pt>
              <c:pt idx="796">
                <c:v>0.12475942525125686</c:v>
              </c:pt>
              <c:pt idx="797">
                <c:v>0.12475942525125686</c:v>
              </c:pt>
              <c:pt idx="798">
                <c:v>0.12488430401044233</c:v>
              </c:pt>
              <c:pt idx="799">
                <c:v>0.12488430401044233</c:v>
              </c:pt>
              <c:pt idx="800">
                <c:v>0.1250091827696278</c:v>
              </c:pt>
              <c:pt idx="801">
                <c:v>0.1250091827696278</c:v>
              </c:pt>
              <c:pt idx="802">
                <c:v>0.12513406152881326</c:v>
              </c:pt>
              <c:pt idx="803">
                <c:v>0.12513406152881326</c:v>
              </c:pt>
              <c:pt idx="804">
                <c:v>0.12525894028799875</c:v>
              </c:pt>
              <c:pt idx="805">
                <c:v>0.12525894028799875</c:v>
              </c:pt>
              <c:pt idx="806">
                <c:v>0.1253838190471842</c:v>
              </c:pt>
              <c:pt idx="807">
                <c:v>0.1253838190471842</c:v>
              </c:pt>
              <c:pt idx="808">
                <c:v>0.1255086978063697</c:v>
              </c:pt>
              <c:pt idx="809">
                <c:v>0.1255086978063697</c:v>
              </c:pt>
              <c:pt idx="810">
                <c:v>0.12563357656555516</c:v>
              </c:pt>
              <c:pt idx="811">
                <c:v>0.12563357656555516</c:v>
              </c:pt>
              <c:pt idx="812">
                <c:v>0.12575845532474064</c:v>
              </c:pt>
              <c:pt idx="813">
                <c:v>0.12575845532474064</c:v>
              </c:pt>
              <c:pt idx="814">
                <c:v>0.1258833340839261</c:v>
              </c:pt>
              <c:pt idx="815">
                <c:v>0.1258833340839261</c:v>
              </c:pt>
              <c:pt idx="816">
                <c:v>0.1260082128431116</c:v>
              </c:pt>
              <c:pt idx="817">
                <c:v>0.1260082128431116</c:v>
              </c:pt>
              <c:pt idx="818">
                <c:v>0.12613309160229705</c:v>
              </c:pt>
              <c:pt idx="819">
                <c:v>0.12613309160229705</c:v>
              </c:pt>
              <c:pt idx="820">
                <c:v>0.12625797036148254</c:v>
              </c:pt>
              <c:pt idx="821">
                <c:v>0.12625797036148254</c:v>
              </c:pt>
              <c:pt idx="822">
                <c:v>0.126382849120668</c:v>
              </c:pt>
              <c:pt idx="823">
                <c:v>0.126382849120668</c:v>
              </c:pt>
              <c:pt idx="824">
                <c:v>0.12650772787985348</c:v>
              </c:pt>
              <c:pt idx="825">
                <c:v>0.12650772787985348</c:v>
              </c:pt>
              <c:pt idx="826">
                <c:v>0.12663260663903894</c:v>
              </c:pt>
              <c:pt idx="827">
                <c:v>0.12663260663903894</c:v>
              </c:pt>
              <c:pt idx="828">
                <c:v>0.12675748539822443</c:v>
              </c:pt>
              <c:pt idx="829">
                <c:v>0.12675748539822443</c:v>
              </c:pt>
              <c:pt idx="830">
                <c:v>0.1268823641574099</c:v>
              </c:pt>
              <c:pt idx="831">
                <c:v>0.1268823641574099</c:v>
              </c:pt>
              <c:pt idx="832">
                <c:v>0.12700724291659538</c:v>
              </c:pt>
              <c:pt idx="833">
                <c:v>0.12700724291659538</c:v>
              </c:pt>
              <c:pt idx="834">
                <c:v>0.12713212167578083</c:v>
              </c:pt>
              <c:pt idx="835">
                <c:v>0.12713212167578083</c:v>
              </c:pt>
              <c:pt idx="836">
                <c:v>0.12725700043496632</c:v>
              </c:pt>
              <c:pt idx="837">
                <c:v>0.12725700043496632</c:v>
              </c:pt>
              <c:pt idx="838">
                <c:v>0.12738187919415178</c:v>
              </c:pt>
              <c:pt idx="839">
                <c:v>0.12738187919415178</c:v>
              </c:pt>
              <c:pt idx="840">
                <c:v>0.12750675795333727</c:v>
              </c:pt>
              <c:pt idx="841">
                <c:v>0.12750675795333727</c:v>
              </c:pt>
              <c:pt idx="842">
                <c:v>0.12763163671252273</c:v>
              </c:pt>
              <c:pt idx="843">
                <c:v>0.12763163671252273</c:v>
              </c:pt>
              <c:pt idx="844">
                <c:v>0.12775651547170822</c:v>
              </c:pt>
              <c:pt idx="845">
                <c:v>0.12775651547170822</c:v>
              </c:pt>
              <c:pt idx="846">
                <c:v>0.12788139423089367</c:v>
              </c:pt>
              <c:pt idx="847">
                <c:v>0.12788139423089367</c:v>
              </c:pt>
              <c:pt idx="848">
                <c:v>0.12800627299007916</c:v>
              </c:pt>
              <c:pt idx="849">
                <c:v>0.12800627299007916</c:v>
              </c:pt>
              <c:pt idx="850">
                <c:v>0.12813115174926462</c:v>
              </c:pt>
              <c:pt idx="851">
                <c:v>0.12813115174926462</c:v>
              </c:pt>
              <c:pt idx="852">
                <c:v>0.1282560305084501</c:v>
              </c:pt>
              <c:pt idx="853">
                <c:v>0.1282560305084501</c:v>
              </c:pt>
              <c:pt idx="854">
                <c:v>0.12838090926763557</c:v>
              </c:pt>
              <c:pt idx="855">
                <c:v>0.12838090926763557</c:v>
              </c:pt>
              <c:pt idx="856">
                <c:v>0.12850578802682106</c:v>
              </c:pt>
              <c:pt idx="857">
                <c:v>0.12850578802682106</c:v>
              </c:pt>
              <c:pt idx="858">
                <c:v>0.12863066678600651</c:v>
              </c:pt>
              <c:pt idx="859">
                <c:v>0.12863066678600651</c:v>
              </c:pt>
              <c:pt idx="860">
                <c:v>0.128755545545192</c:v>
              </c:pt>
              <c:pt idx="861">
                <c:v>0.128755545545192</c:v>
              </c:pt>
              <c:pt idx="862">
                <c:v>0.12888042430437746</c:v>
              </c:pt>
              <c:pt idx="863">
                <c:v>0.12888042430437746</c:v>
              </c:pt>
              <c:pt idx="864">
                <c:v>0.12900530306356295</c:v>
              </c:pt>
              <c:pt idx="865">
                <c:v>0.12900530306356295</c:v>
              </c:pt>
              <c:pt idx="866">
                <c:v>0.1291301818227484</c:v>
              </c:pt>
              <c:pt idx="867">
                <c:v>0.1291301818227484</c:v>
              </c:pt>
              <c:pt idx="868">
                <c:v>0.1292550605819339</c:v>
              </c:pt>
              <c:pt idx="869">
                <c:v>0.1292550605819339</c:v>
              </c:pt>
              <c:pt idx="870">
                <c:v>0.12937993934111935</c:v>
              </c:pt>
              <c:pt idx="871">
                <c:v>0.12937993934111935</c:v>
              </c:pt>
              <c:pt idx="872">
                <c:v>0.12950481810030484</c:v>
              </c:pt>
              <c:pt idx="873">
                <c:v>0.12950481810030484</c:v>
              </c:pt>
              <c:pt idx="874">
                <c:v>0.1296296968594903</c:v>
              </c:pt>
              <c:pt idx="875">
                <c:v>0.1296296968594903</c:v>
              </c:pt>
              <c:pt idx="876">
                <c:v>0.1297545756186758</c:v>
              </c:pt>
              <c:pt idx="877">
                <c:v>0.1297545756186758</c:v>
              </c:pt>
              <c:pt idx="878">
                <c:v>0.12987945437786125</c:v>
              </c:pt>
              <c:pt idx="879">
                <c:v>0.12987945437786125</c:v>
              </c:pt>
              <c:pt idx="880">
                <c:v>0.13000433313704673</c:v>
              </c:pt>
              <c:pt idx="881">
                <c:v>0.13000433313704673</c:v>
              </c:pt>
              <c:pt idx="882">
                <c:v>0.1301292118962322</c:v>
              </c:pt>
              <c:pt idx="883">
                <c:v>0.1301292118962322</c:v>
              </c:pt>
              <c:pt idx="884">
                <c:v>0.13018273136445455</c:v>
              </c:pt>
              <c:pt idx="885">
                <c:v>0.13018273136445455</c:v>
              </c:pt>
              <c:pt idx="886">
                <c:v>0.13018273136445455</c:v>
              </c:pt>
              <c:pt idx="887">
                <c:v>0.13018273136445455</c:v>
              </c:pt>
              <c:pt idx="888">
                <c:v>0.13018273136445455</c:v>
              </c:pt>
              <c:pt idx="889">
                <c:v>0.13018273136445455</c:v>
              </c:pt>
              <c:pt idx="890">
                <c:v>0.13030761012364</c:v>
              </c:pt>
              <c:pt idx="891">
                <c:v>0.13030761012364</c:v>
              </c:pt>
              <c:pt idx="892">
                <c:v>0.1304324888828255</c:v>
              </c:pt>
              <c:pt idx="893">
                <c:v>0.1304324888828255</c:v>
              </c:pt>
              <c:pt idx="894">
                <c:v>0.13055736764201095</c:v>
              </c:pt>
              <c:pt idx="895">
                <c:v>0.13055736764201095</c:v>
              </c:pt>
              <c:pt idx="896">
                <c:v>0.13068224640119644</c:v>
              </c:pt>
              <c:pt idx="897">
                <c:v>0.13068224640119644</c:v>
              </c:pt>
              <c:pt idx="898">
                <c:v>0.1308071251603819</c:v>
              </c:pt>
              <c:pt idx="899">
                <c:v>0.1308071251603819</c:v>
              </c:pt>
              <c:pt idx="900">
                <c:v>0.13093200391956739</c:v>
              </c:pt>
              <c:pt idx="901">
                <c:v>0.13093200391956739</c:v>
              </c:pt>
              <c:pt idx="902">
                <c:v>0.13105688267875285</c:v>
              </c:pt>
              <c:pt idx="903">
                <c:v>0.13105688267875285</c:v>
              </c:pt>
              <c:pt idx="904">
                <c:v>0.13118176143793833</c:v>
              </c:pt>
              <c:pt idx="905">
                <c:v>0.13118176143793833</c:v>
              </c:pt>
              <c:pt idx="906">
                <c:v>0.1313066401971238</c:v>
              </c:pt>
              <c:pt idx="907">
                <c:v>0.1313066401971238</c:v>
              </c:pt>
              <c:pt idx="908">
                <c:v>0.13143151895630928</c:v>
              </c:pt>
              <c:pt idx="909">
                <c:v>0.13143151895630928</c:v>
              </c:pt>
              <c:pt idx="910">
                <c:v>0.13155639771549474</c:v>
              </c:pt>
              <c:pt idx="911">
                <c:v>0.13155639771549474</c:v>
              </c:pt>
              <c:pt idx="912">
                <c:v>0.13168127647468023</c:v>
              </c:pt>
              <c:pt idx="913">
                <c:v>0.13168127647468023</c:v>
              </c:pt>
              <c:pt idx="914">
                <c:v>0.13180615523386568</c:v>
              </c:pt>
              <c:pt idx="915">
                <c:v>0.13180615523386568</c:v>
              </c:pt>
              <c:pt idx="916">
                <c:v>0.13193103399305117</c:v>
              </c:pt>
              <c:pt idx="917">
                <c:v>0.13193103399305117</c:v>
              </c:pt>
              <c:pt idx="918">
                <c:v>0.13205591275223663</c:v>
              </c:pt>
              <c:pt idx="919">
                <c:v>0.13205591275223663</c:v>
              </c:pt>
              <c:pt idx="920">
                <c:v>0.13218079151142212</c:v>
              </c:pt>
              <c:pt idx="921">
                <c:v>0.13218079151142212</c:v>
              </c:pt>
              <c:pt idx="922">
                <c:v>0.13230567027060758</c:v>
              </c:pt>
              <c:pt idx="923">
                <c:v>0.13230567027060758</c:v>
              </c:pt>
              <c:pt idx="924">
                <c:v>0.13243054902979307</c:v>
              </c:pt>
              <c:pt idx="925">
                <c:v>0.13243054902979307</c:v>
              </c:pt>
              <c:pt idx="926">
                <c:v>0.13255542778897852</c:v>
              </c:pt>
              <c:pt idx="927">
                <c:v>0.13255542778897852</c:v>
              </c:pt>
              <c:pt idx="928">
                <c:v>0.132680306548164</c:v>
              </c:pt>
              <c:pt idx="929">
                <c:v>0.132680306548164</c:v>
              </c:pt>
              <c:pt idx="930">
                <c:v>0.13280518530734947</c:v>
              </c:pt>
              <c:pt idx="931">
                <c:v>0.13280518530734947</c:v>
              </c:pt>
              <c:pt idx="932">
                <c:v>0.13293006406653496</c:v>
              </c:pt>
              <c:pt idx="933">
                <c:v>0.13293006406653496</c:v>
              </c:pt>
              <c:pt idx="934">
                <c:v>0.13305494282572042</c:v>
              </c:pt>
              <c:pt idx="935">
                <c:v>0.13305494282572042</c:v>
              </c:pt>
              <c:pt idx="936">
                <c:v>0.1331798215849059</c:v>
              </c:pt>
              <c:pt idx="937">
                <c:v>0.1331798215849059</c:v>
              </c:pt>
              <c:pt idx="938">
                <c:v>0.13330470034409136</c:v>
              </c:pt>
              <c:pt idx="939">
                <c:v>0.13330470034409136</c:v>
              </c:pt>
              <c:pt idx="940">
                <c:v>0.13342957910327685</c:v>
              </c:pt>
              <c:pt idx="941">
                <c:v>0.13342957910327685</c:v>
              </c:pt>
              <c:pt idx="942">
                <c:v>0.1335544578624623</c:v>
              </c:pt>
              <c:pt idx="943">
                <c:v>0.1335544578624623</c:v>
              </c:pt>
              <c:pt idx="944">
                <c:v>0.1336793366216478</c:v>
              </c:pt>
              <c:pt idx="945">
                <c:v>0.1336793366216478</c:v>
              </c:pt>
              <c:pt idx="946">
                <c:v>0.13380421538083326</c:v>
              </c:pt>
              <c:pt idx="947">
                <c:v>0.13380421538083326</c:v>
              </c:pt>
              <c:pt idx="948">
                <c:v>0.13392909414001875</c:v>
              </c:pt>
              <c:pt idx="949">
                <c:v>0.13392909414001875</c:v>
              </c:pt>
              <c:pt idx="950">
                <c:v>0.1340539728992042</c:v>
              </c:pt>
              <c:pt idx="951">
                <c:v>0.1340539728992042</c:v>
              </c:pt>
              <c:pt idx="952">
                <c:v>0.1341788516583897</c:v>
              </c:pt>
              <c:pt idx="953">
                <c:v>0.1341788516583897</c:v>
              </c:pt>
              <c:pt idx="954">
                <c:v>0.13430373041757515</c:v>
              </c:pt>
              <c:pt idx="955">
                <c:v>0.13430373041757515</c:v>
              </c:pt>
              <c:pt idx="956">
                <c:v>0.13442860917676064</c:v>
              </c:pt>
              <c:pt idx="957">
                <c:v>0.13442860917676064</c:v>
              </c:pt>
              <c:pt idx="958">
                <c:v>0.1345534879359461</c:v>
              </c:pt>
              <c:pt idx="959">
                <c:v>0.1345534879359461</c:v>
              </c:pt>
              <c:pt idx="960">
                <c:v>0.13467836669513158</c:v>
              </c:pt>
              <c:pt idx="961">
                <c:v>0.13467836669513158</c:v>
              </c:pt>
              <c:pt idx="962">
                <c:v>0.13480324545431704</c:v>
              </c:pt>
              <c:pt idx="963">
                <c:v>0.13480324545431704</c:v>
              </c:pt>
              <c:pt idx="964">
                <c:v>0.13492812421350253</c:v>
              </c:pt>
              <c:pt idx="965">
                <c:v>0.13492812421350253</c:v>
              </c:pt>
              <c:pt idx="966">
                <c:v>0.135053002972688</c:v>
              </c:pt>
              <c:pt idx="967">
                <c:v>0.135053002972688</c:v>
              </c:pt>
              <c:pt idx="968">
                <c:v>0.13517788173187348</c:v>
              </c:pt>
              <c:pt idx="969">
                <c:v>0.13517788173187348</c:v>
              </c:pt>
              <c:pt idx="970">
                <c:v>0.13530276049105894</c:v>
              </c:pt>
              <c:pt idx="971">
                <c:v>0.13530276049105894</c:v>
              </c:pt>
              <c:pt idx="972">
                <c:v>0.13542763925024442</c:v>
              </c:pt>
              <c:pt idx="973">
                <c:v>0.13542763925024442</c:v>
              </c:pt>
              <c:pt idx="974">
                <c:v>0.13555251800942988</c:v>
              </c:pt>
              <c:pt idx="975">
                <c:v>0.13555251800942988</c:v>
              </c:pt>
              <c:pt idx="976">
                <c:v>0.13567739676861537</c:v>
              </c:pt>
              <c:pt idx="977">
                <c:v>0.13567739676861537</c:v>
              </c:pt>
              <c:pt idx="978">
                <c:v>0.13580227552780083</c:v>
              </c:pt>
              <c:pt idx="979">
                <c:v>0.13580227552780083</c:v>
              </c:pt>
              <c:pt idx="980">
                <c:v>0.13592715428698632</c:v>
              </c:pt>
              <c:pt idx="981">
                <c:v>0.13592715428698632</c:v>
              </c:pt>
              <c:pt idx="982">
                <c:v>0.13605203304617178</c:v>
              </c:pt>
              <c:pt idx="983">
                <c:v>0.13605203304617178</c:v>
              </c:pt>
              <c:pt idx="984">
                <c:v>0.13617691180535726</c:v>
              </c:pt>
              <c:pt idx="985">
                <c:v>0.13617691180535726</c:v>
              </c:pt>
              <c:pt idx="986">
                <c:v>0.13630179056454272</c:v>
              </c:pt>
              <c:pt idx="987">
                <c:v>0.13630179056454272</c:v>
              </c:pt>
              <c:pt idx="988">
                <c:v>0.1364266693237282</c:v>
              </c:pt>
              <c:pt idx="989">
                <c:v>0.1364266693237282</c:v>
              </c:pt>
              <c:pt idx="990">
                <c:v>0.13655154808291367</c:v>
              </c:pt>
              <c:pt idx="991">
                <c:v>0.13655154808291367</c:v>
              </c:pt>
              <c:pt idx="992">
                <c:v>0.13667642684209916</c:v>
              </c:pt>
              <c:pt idx="993">
                <c:v>0.13667642684209916</c:v>
              </c:pt>
              <c:pt idx="994">
                <c:v>0.13680130560128462</c:v>
              </c:pt>
              <c:pt idx="995">
                <c:v>0.13680130560128462</c:v>
              </c:pt>
              <c:pt idx="996">
                <c:v>0.1369261843604701</c:v>
              </c:pt>
              <c:pt idx="997">
                <c:v>0.1369261843604701</c:v>
              </c:pt>
              <c:pt idx="998">
                <c:v>0.13705106311965556</c:v>
              </c:pt>
              <c:pt idx="999">
                <c:v>0.13705106311965556</c:v>
              </c:pt>
              <c:pt idx="1000">
                <c:v>0.13717594187884105</c:v>
              </c:pt>
              <c:pt idx="1001">
                <c:v>0.13717594187884105</c:v>
              </c:pt>
              <c:pt idx="1002">
                <c:v>0.1373008206380265</c:v>
              </c:pt>
              <c:pt idx="1003">
                <c:v>0.1373008206380265</c:v>
              </c:pt>
              <c:pt idx="1004">
                <c:v>0.137425699397212</c:v>
              </c:pt>
              <c:pt idx="1005">
                <c:v>0.137425699397212</c:v>
              </c:pt>
              <c:pt idx="1006">
                <c:v>0.13755057815639746</c:v>
              </c:pt>
              <c:pt idx="1007">
                <c:v>0.13755057815639746</c:v>
              </c:pt>
              <c:pt idx="1008">
                <c:v>0.13767545691558294</c:v>
              </c:pt>
              <c:pt idx="1009">
                <c:v>0.13767545691558294</c:v>
              </c:pt>
              <c:pt idx="1010">
                <c:v>0.1378003356747684</c:v>
              </c:pt>
              <c:pt idx="1011">
                <c:v>0.1378003356747684</c:v>
              </c:pt>
              <c:pt idx="1012">
                <c:v>0.1379252144339539</c:v>
              </c:pt>
              <c:pt idx="1013">
                <c:v>0.1379252144339539</c:v>
              </c:pt>
              <c:pt idx="1014">
                <c:v>0.13805009319313935</c:v>
              </c:pt>
              <c:pt idx="1015">
                <c:v>0.13805009319313935</c:v>
              </c:pt>
              <c:pt idx="1016">
                <c:v>0.13817497195232484</c:v>
              </c:pt>
              <c:pt idx="1017">
                <c:v>0.13817497195232484</c:v>
              </c:pt>
              <c:pt idx="1018">
                <c:v>0.1382998507115103</c:v>
              </c:pt>
              <c:pt idx="1019">
                <c:v>0.1382998507115103</c:v>
              </c:pt>
              <c:pt idx="1020">
                <c:v>0.13842472947069578</c:v>
              </c:pt>
              <c:pt idx="1021">
                <c:v>0.13842472947069578</c:v>
              </c:pt>
              <c:pt idx="1022">
                <c:v>0.13854960822988124</c:v>
              </c:pt>
              <c:pt idx="1023">
                <c:v>0.13854960822988124</c:v>
              </c:pt>
              <c:pt idx="1024">
                <c:v>0.13867448698906673</c:v>
              </c:pt>
              <c:pt idx="1025">
                <c:v>0.13867448698906673</c:v>
              </c:pt>
              <c:pt idx="1026">
                <c:v>0.1387993657482522</c:v>
              </c:pt>
              <c:pt idx="1027">
                <c:v>0.1387993657482522</c:v>
              </c:pt>
              <c:pt idx="1028">
                <c:v>0.13892424450743768</c:v>
              </c:pt>
              <c:pt idx="1029">
                <c:v>0.13892424450743768</c:v>
              </c:pt>
              <c:pt idx="1030">
                <c:v>0.13904912326662314</c:v>
              </c:pt>
              <c:pt idx="1031">
                <c:v>0.13904912326662314</c:v>
              </c:pt>
              <c:pt idx="1032">
                <c:v>0.1391026427348455</c:v>
              </c:pt>
              <c:pt idx="1033">
                <c:v>0.1391026427348455</c:v>
              </c:pt>
              <c:pt idx="1034">
                <c:v>0.1391026427348455</c:v>
              </c:pt>
              <c:pt idx="1035">
                <c:v>0.1391026427348455</c:v>
              </c:pt>
              <c:pt idx="1036">
                <c:v>0.1391026427348455</c:v>
              </c:pt>
              <c:pt idx="1037">
                <c:v>0.1391026427348455</c:v>
              </c:pt>
              <c:pt idx="1038">
                <c:v>0.13922752149403095</c:v>
              </c:pt>
              <c:pt idx="1039">
                <c:v>0.13922752149403095</c:v>
              </c:pt>
              <c:pt idx="1040">
                <c:v>0.13935240025321644</c:v>
              </c:pt>
              <c:pt idx="1041">
                <c:v>0.13935240025321644</c:v>
              </c:pt>
              <c:pt idx="1042">
                <c:v>0.1394772790124019</c:v>
              </c:pt>
              <c:pt idx="1043">
                <c:v>0.1394772790124019</c:v>
              </c:pt>
              <c:pt idx="1044">
                <c:v>0.13960215777158738</c:v>
              </c:pt>
              <c:pt idx="1045">
                <c:v>0.13960215777158738</c:v>
              </c:pt>
              <c:pt idx="1046">
                <c:v>0.13972703653077284</c:v>
              </c:pt>
              <c:pt idx="1047">
                <c:v>0.13972703653077284</c:v>
              </c:pt>
              <c:pt idx="1048">
                <c:v>0.13985191528995833</c:v>
              </c:pt>
              <c:pt idx="1049">
                <c:v>0.13985191528995833</c:v>
              </c:pt>
              <c:pt idx="1050">
                <c:v>0.1399767940491438</c:v>
              </c:pt>
              <c:pt idx="1051">
                <c:v>0.1399767940491438</c:v>
              </c:pt>
              <c:pt idx="1052">
                <c:v>0.14010167280832928</c:v>
              </c:pt>
              <c:pt idx="1053">
                <c:v>0.14010167280832928</c:v>
              </c:pt>
              <c:pt idx="1054">
                <c:v>0.14022655156751473</c:v>
              </c:pt>
              <c:pt idx="1055">
                <c:v>0.14022655156751473</c:v>
              </c:pt>
              <c:pt idx="1056">
                <c:v>0.14035143032670022</c:v>
              </c:pt>
              <c:pt idx="1057">
                <c:v>0.14035143032670022</c:v>
              </c:pt>
              <c:pt idx="1058">
                <c:v>0.14047630908588568</c:v>
              </c:pt>
              <c:pt idx="1059">
                <c:v>0.14047630908588568</c:v>
              </c:pt>
              <c:pt idx="1060">
                <c:v>0.14060118784507117</c:v>
              </c:pt>
              <c:pt idx="1061">
                <c:v>0.14060118784507117</c:v>
              </c:pt>
              <c:pt idx="1062">
                <c:v>0.14072606660425663</c:v>
              </c:pt>
              <c:pt idx="1063">
                <c:v>0.14072606660425663</c:v>
              </c:pt>
              <c:pt idx="1064">
                <c:v>0.14085094536344211</c:v>
              </c:pt>
              <c:pt idx="1065">
                <c:v>0.14085094536344211</c:v>
              </c:pt>
              <c:pt idx="1066">
                <c:v>0.14097582412262757</c:v>
              </c:pt>
              <c:pt idx="1067">
                <c:v>0.14097582412262757</c:v>
              </c:pt>
              <c:pt idx="1068">
                <c:v>0.14110070288181306</c:v>
              </c:pt>
              <c:pt idx="1069">
                <c:v>0.14110070288181306</c:v>
              </c:pt>
              <c:pt idx="1070">
                <c:v>0.14122558164099852</c:v>
              </c:pt>
              <c:pt idx="1071">
                <c:v>0.14122558164099852</c:v>
              </c:pt>
              <c:pt idx="1072">
                <c:v>0.141350460400184</c:v>
              </c:pt>
              <c:pt idx="1073">
                <c:v>0.141350460400184</c:v>
              </c:pt>
              <c:pt idx="1074">
                <c:v>0.14147533915936947</c:v>
              </c:pt>
              <c:pt idx="1075">
                <c:v>0.14147533915936947</c:v>
              </c:pt>
              <c:pt idx="1076">
                <c:v>0.14160021791855495</c:v>
              </c:pt>
              <c:pt idx="1077">
                <c:v>0.14160021791855495</c:v>
              </c:pt>
              <c:pt idx="1078">
                <c:v>0.14172509667774041</c:v>
              </c:pt>
              <c:pt idx="1079">
                <c:v>0.14172509667774041</c:v>
              </c:pt>
              <c:pt idx="1080">
                <c:v>0.1418499754369259</c:v>
              </c:pt>
              <c:pt idx="1081">
                <c:v>0.1418499754369259</c:v>
              </c:pt>
              <c:pt idx="1082">
                <c:v>0.14197485419611136</c:v>
              </c:pt>
              <c:pt idx="1083">
                <c:v>0.14197485419611136</c:v>
              </c:pt>
              <c:pt idx="1084">
                <c:v>0.14209973295529685</c:v>
              </c:pt>
              <c:pt idx="1085">
                <c:v>0.14209973295529685</c:v>
              </c:pt>
              <c:pt idx="1086">
                <c:v>0.1422246117144823</c:v>
              </c:pt>
              <c:pt idx="1087">
                <c:v>0.1422246117144823</c:v>
              </c:pt>
              <c:pt idx="1088">
                <c:v>0.1423494904736678</c:v>
              </c:pt>
              <c:pt idx="1089">
                <c:v>0.1423494904736678</c:v>
              </c:pt>
              <c:pt idx="1090">
                <c:v>0.14247436923285325</c:v>
              </c:pt>
              <c:pt idx="1091">
                <c:v>0.14247436923285325</c:v>
              </c:pt>
              <c:pt idx="1092">
                <c:v>0.14259924799203874</c:v>
              </c:pt>
              <c:pt idx="1093">
                <c:v>0.14259924799203874</c:v>
              </c:pt>
              <c:pt idx="1094">
                <c:v>0.1427241267512242</c:v>
              </c:pt>
              <c:pt idx="1095">
                <c:v>0.1427241267512242</c:v>
              </c:pt>
              <c:pt idx="1096">
                <c:v>0.1428490055104097</c:v>
              </c:pt>
              <c:pt idx="1097">
                <c:v>0.1428490055104097</c:v>
              </c:pt>
              <c:pt idx="1098">
                <c:v>0.14297388426959515</c:v>
              </c:pt>
              <c:pt idx="1099">
                <c:v>0.14297388426959515</c:v>
              </c:pt>
              <c:pt idx="1100">
                <c:v>0.14309876302878063</c:v>
              </c:pt>
              <c:pt idx="1101">
                <c:v>0.14309876302878063</c:v>
              </c:pt>
              <c:pt idx="1102">
                <c:v>0.1432236417879661</c:v>
              </c:pt>
              <c:pt idx="1103">
                <c:v>0.1432236417879661</c:v>
              </c:pt>
              <c:pt idx="1104">
                <c:v>0.14334852054715158</c:v>
              </c:pt>
              <c:pt idx="1105">
                <c:v>0.14334852054715158</c:v>
              </c:pt>
              <c:pt idx="1106">
                <c:v>0.14347339930633704</c:v>
              </c:pt>
              <c:pt idx="1107">
                <c:v>0.14347339930633704</c:v>
              </c:pt>
              <c:pt idx="1108">
                <c:v>0.14359827806552253</c:v>
              </c:pt>
              <c:pt idx="1109">
                <c:v>0.14359827806552253</c:v>
              </c:pt>
              <c:pt idx="1110">
                <c:v>0.143723156824708</c:v>
              </c:pt>
              <c:pt idx="1111">
                <c:v>0.143723156824708</c:v>
              </c:pt>
              <c:pt idx="1112">
                <c:v>0.14384803558389347</c:v>
              </c:pt>
              <c:pt idx="1113">
                <c:v>0.14384803558389347</c:v>
              </c:pt>
              <c:pt idx="1114">
                <c:v>0.14397291434307893</c:v>
              </c:pt>
              <c:pt idx="1115">
                <c:v>0.14397291434307893</c:v>
              </c:pt>
              <c:pt idx="1116">
                <c:v>0.14409779310226442</c:v>
              </c:pt>
              <c:pt idx="1117">
                <c:v>0.14409779310226442</c:v>
              </c:pt>
              <c:pt idx="1118">
                <c:v>0.14422267186144988</c:v>
              </c:pt>
              <c:pt idx="1119">
                <c:v>0.14422267186144988</c:v>
              </c:pt>
              <c:pt idx="1120">
                <c:v>0.14434755062063537</c:v>
              </c:pt>
              <c:pt idx="1121">
                <c:v>0.14434755062063537</c:v>
              </c:pt>
              <c:pt idx="1122">
                <c:v>0.14447242937982083</c:v>
              </c:pt>
              <c:pt idx="1123">
                <c:v>0.14447242937982083</c:v>
              </c:pt>
              <c:pt idx="1124">
                <c:v>0.14459730813900631</c:v>
              </c:pt>
              <c:pt idx="1125">
                <c:v>0.14459730813900631</c:v>
              </c:pt>
              <c:pt idx="1126">
                <c:v>0.14472218689819177</c:v>
              </c:pt>
              <c:pt idx="1127">
                <c:v>0.14472218689819177</c:v>
              </c:pt>
              <c:pt idx="1128">
                <c:v>0.14484706565737726</c:v>
              </c:pt>
              <c:pt idx="1129">
                <c:v>0.14484706565737726</c:v>
              </c:pt>
              <c:pt idx="1130">
                <c:v>0.14497194441656272</c:v>
              </c:pt>
              <c:pt idx="1131">
                <c:v>0.14497194441656272</c:v>
              </c:pt>
              <c:pt idx="1132">
                <c:v>0.1450968231757482</c:v>
              </c:pt>
              <c:pt idx="1133">
                <c:v>0.1450968231757482</c:v>
              </c:pt>
              <c:pt idx="1134">
                <c:v>0.14522170193493367</c:v>
              </c:pt>
              <c:pt idx="1135">
                <c:v>0.14522170193493367</c:v>
              </c:pt>
              <c:pt idx="1136">
                <c:v>0.14534658069411915</c:v>
              </c:pt>
              <c:pt idx="1137">
                <c:v>0.14534658069411915</c:v>
              </c:pt>
              <c:pt idx="1138">
                <c:v>0.1454714594533046</c:v>
              </c:pt>
              <c:pt idx="1139">
                <c:v>0.1454714594533046</c:v>
              </c:pt>
              <c:pt idx="1140">
                <c:v>0.1455963382124901</c:v>
              </c:pt>
              <c:pt idx="1141">
                <c:v>0.1455963382124901</c:v>
              </c:pt>
              <c:pt idx="1142">
                <c:v>0.14572121697167556</c:v>
              </c:pt>
              <c:pt idx="1143">
                <c:v>0.14572121697167556</c:v>
              </c:pt>
              <c:pt idx="1144">
                <c:v>0.14584609573086105</c:v>
              </c:pt>
              <c:pt idx="1145">
                <c:v>0.14584609573086105</c:v>
              </c:pt>
              <c:pt idx="1146">
                <c:v>0.1459709744900465</c:v>
              </c:pt>
              <c:pt idx="1147">
                <c:v>0.1459709744900465</c:v>
              </c:pt>
              <c:pt idx="1148">
                <c:v>0.146095853249232</c:v>
              </c:pt>
              <c:pt idx="1149">
                <c:v>0.146095853249232</c:v>
              </c:pt>
              <c:pt idx="1150">
                <c:v>0.14622073200841745</c:v>
              </c:pt>
              <c:pt idx="1151">
                <c:v>0.14622073200841745</c:v>
              </c:pt>
              <c:pt idx="1152">
                <c:v>0.14634561076760294</c:v>
              </c:pt>
              <c:pt idx="1153">
                <c:v>0.14634561076760294</c:v>
              </c:pt>
              <c:pt idx="1154">
                <c:v>0.1464704895267884</c:v>
              </c:pt>
              <c:pt idx="1155">
                <c:v>0.1464704895267884</c:v>
              </c:pt>
              <c:pt idx="1156">
                <c:v>0.1465953682859739</c:v>
              </c:pt>
              <c:pt idx="1157">
                <c:v>0.1465953682859739</c:v>
              </c:pt>
              <c:pt idx="1158">
                <c:v>0.14672024704515935</c:v>
              </c:pt>
              <c:pt idx="1159">
                <c:v>0.14672024704515935</c:v>
              </c:pt>
              <c:pt idx="1160">
                <c:v>0.14684512580434483</c:v>
              </c:pt>
              <c:pt idx="1161">
                <c:v>0.14684512580434483</c:v>
              </c:pt>
              <c:pt idx="1162">
                <c:v>0.1469700045635303</c:v>
              </c:pt>
              <c:pt idx="1163">
                <c:v>0.1469700045635303</c:v>
              </c:pt>
              <c:pt idx="1164">
                <c:v>0.14709488332271578</c:v>
              </c:pt>
              <c:pt idx="1165">
                <c:v>0.14709488332271578</c:v>
              </c:pt>
              <c:pt idx="1166">
                <c:v>0.14721976208190124</c:v>
              </c:pt>
              <c:pt idx="1167">
                <c:v>0.14721976208190124</c:v>
              </c:pt>
              <c:pt idx="1168">
                <c:v>0.14734464084108673</c:v>
              </c:pt>
              <c:pt idx="1169">
                <c:v>0.14734464084108673</c:v>
              </c:pt>
              <c:pt idx="1170">
                <c:v>0.1474695196002722</c:v>
              </c:pt>
              <c:pt idx="1171">
                <c:v>0.1474695196002722</c:v>
              </c:pt>
              <c:pt idx="1172">
                <c:v>0.14759439835945767</c:v>
              </c:pt>
              <c:pt idx="1173">
                <c:v>0.14759439835945767</c:v>
              </c:pt>
              <c:pt idx="1174">
                <c:v>0.14771927711864313</c:v>
              </c:pt>
              <c:pt idx="1175">
                <c:v>0.14771927711864313</c:v>
              </c:pt>
              <c:pt idx="1176">
                <c:v>0.14784415587782862</c:v>
              </c:pt>
              <c:pt idx="1177">
                <c:v>0.14784415587782862</c:v>
              </c:pt>
              <c:pt idx="1178">
                <c:v>0.14796903463701408</c:v>
              </c:pt>
              <c:pt idx="1179">
                <c:v>0.14796903463701408</c:v>
              </c:pt>
              <c:pt idx="1180">
                <c:v>0.1480225541052364</c:v>
              </c:pt>
              <c:pt idx="1181">
                <c:v>0.1480225541052364</c:v>
              </c:pt>
              <c:pt idx="1182">
                <c:v>0.1480225541052364</c:v>
              </c:pt>
              <c:pt idx="1183">
                <c:v>0.1480225541052364</c:v>
              </c:pt>
              <c:pt idx="1184">
                <c:v>0.1480225541052364</c:v>
              </c:pt>
              <c:pt idx="1185">
                <c:v>0.1480225541052364</c:v>
              </c:pt>
              <c:pt idx="1186">
                <c:v>0.14814743286442186</c:v>
              </c:pt>
              <c:pt idx="1187">
                <c:v>0.14814743286442186</c:v>
              </c:pt>
              <c:pt idx="1188">
                <c:v>0.14827231162360735</c:v>
              </c:pt>
              <c:pt idx="1189">
                <c:v>0.14827231162360735</c:v>
              </c:pt>
              <c:pt idx="1190">
                <c:v>0.1483971903827928</c:v>
              </c:pt>
              <c:pt idx="1191">
                <c:v>0.1483971903827928</c:v>
              </c:pt>
              <c:pt idx="1192">
                <c:v>0.1485220691419783</c:v>
              </c:pt>
              <c:pt idx="1193">
                <c:v>0.1485220691419783</c:v>
              </c:pt>
              <c:pt idx="1194">
                <c:v>0.14864694790116376</c:v>
              </c:pt>
              <c:pt idx="1195">
                <c:v>0.14864694790116376</c:v>
              </c:pt>
              <c:pt idx="1196">
                <c:v>0.14877182666034924</c:v>
              </c:pt>
              <c:pt idx="1197">
                <c:v>0.14877182666034924</c:v>
              </c:pt>
              <c:pt idx="1198">
                <c:v>0.1488967054195347</c:v>
              </c:pt>
              <c:pt idx="1199">
                <c:v>0.1488967054195347</c:v>
              </c:pt>
              <c:pt idx="1200">
                <c:v>0.1490215841787202</c:v>
              </c:pt>
              <c:pt idx="1201">
                <c:v>0.1490215841787202</c:v>
              </c:pt>
              <c:pt idx="1202">
                <c:v>0.14914646293790565</c:v>
              </c:pt>
              <c:pt idx="1203">
                <c:v>0.14914646293790565</c:v>
              </c:pt>
              <c:pt idx="1204">
                <c:v>0.14927134169709114</c:v>
              </c:pt>
              <c:pt idx="1205">
                <c:v>0.14927134169709114</c:v>
              </c:pt>
              <c:pt idx="1206">
                <c:v>0.1493962204562766</c:v>
              </c:pt>
              <c:pt idx="1207">
                <c:v>0.1493962204562766</c:v>
              </c:pt>
              <c:pt idx="1208">
                <c:v>0.14952109921546208</c:v>
              </c:pt>
              <c:pt idx="1209">
                <c:v>0.14952109921546208</c:v>
              </c:pt>
              <c:pt idx="1210">
                <c:v>0.14964597797464754</c:v>
              </c:pt>
              <c:pt idx="1211">
                <c:v>0.14964597797464754</c:v>
              </c:pt>
              <c:pt idx="1212">
                <c:v>0.14977085673383303</c:v>
              </c:pt>
              <c:pt idx="1213">
                <c:v>0.14977085673383303</c:v>
              </c:pt>
              <c:pt idx="1214">
                <c:v>0.1498957354930185</c:v>
              </c:pt>
              <c:pt idx="1215">
                <c:v>0.1498957354930185</c:v>
              </c:pt>
              <c:pt idx="1216">
                <c:v>0.15002061425220398</c:v>
              </c:pt>
              <c:pt idx="1217">
                <c:v>0.15002061425220398</c:v>
              </c:pt>
              <c:pt idx="1218">
                <c:v>0.15014549301138944</c:v>
              </c:pt>
              <c:pt idx="1219">
                <c:v>0.15014549301138944</c:v>
              </c:pt>
              <c:pt idx="1220">
                <c:v>0.15027037177057492</c:v>
              </c:pt>
              <c:pt idx="1221">
                <c:v>0.15027037177057492</c:v>
              </c:pt>
              <c:pt idx="1222">
                <c:v>0.15039525052976038</c:v>
              </c:pt>
              <c:pt idx="1223">
                <c:v>0.15039525052976038</c:v>
              </c:pt>
              <c:pt idx="1224">
                <c:v>0.15052012928894587</c:v>
              </c:pt>
              <c:pt idx="1225">
                <c:v>0.15052012928894587</c:v>
              </c:pt>
              <c:pt idx="1226">
                <c:v>0.15064500804813133</c:v>
              </c:pt>
              <c:pt idx="1227">
                <c:v>0.15064500804813133</c:v>
              </c:pt>
              <c:pt idx="1228">
                <c:v>0.15076988680731682</c:v>
              </c:pt>
              <c:pt idx="1229">
                <c:v>0.15076988680731682</c:v>
              </c:pt>
              <c:pt idx="1230">
                <c:v>0.15089476556650228</c:v>
              </c:pt>
              <c:pt idx="1231">
                <c:v>0.15089476556650228</c:v>
              </c:pt>
              <c:pt idx="1232">
                <c:v>0.15101964432568776</c:v>
              </c:pt>
              <c:pt idx="1233">
                <c:v>0.15101964432568776</c:v>
              </c:pt>
              <c:pt idx="1234">
                <c:v>0.15114452308487322</c:v>
              </c:pt>
              <c:pt idx="1235">
                <c:v>0.15114452308487322</c:v>
              </c:pt>
              <c:pt idx="1236">
                <c:v>0.1512694018440587</c:v>
              </c:pt>
              <c:pt idx="1237">
                <c:v>0.1512694018440587</c:v>
              </c:pt>
              <c:pt idx="1238">
                <c:v>0.15139428060324417</c:v>
              </c:pt>
              <c:pt idx="1239">
                <c:v>0.15139428060324417</c:v>
              </c:pt>
              <c:pt idx="1240">
                <c:v>0.15151915936242966</c:v>
              </c:pt>
              <c:pt idx="1241">
                <c:v>0.15151915936242966</c:v>
              </c:pt>
              <c:pt idx="1242">
                <c:v>0.15164403812161512</c:v>
              </c:pt>
              <c:pt idx="1243">
                <c:v>0.15164403812161512</c:v>
              </c:pt>
              <c:pt idx="1244">
                <c:v>0.1517689168808006</c:v>
              </c:pt>
              <c:pt idx="1245">
                <c:v>0.1517689168808006</c:v>
              </c:pt>
              <c:pt idx="1246">
                <c:v>0.15189379563998606</c:v>
              </c:pt>
              <c:pt idx="1247">
                <c:v>0.15189379563998606</c:v>
              </c:pt>
              <c:pt idx="1248">
                <c:v>0.15201867439917155</c:v>
              </c:pt>
              <c:pt idx="1249">
                <c:v>0.15201867439917155</c:v>
              </c:pt>
              <c:pt idx="1250">
                <c:v>0.152143553158357</c:v>
              </c:pt>
              <c:pt idx="1251">
                <c:v>0.152143553158357</c:v>
              </c:pt>
              <c:pt idx="1252">
                <c:v>0.1522684319175425</c:v>
              </c:pt>
              <c:pt idx="1253">
                <c:v>0.1522684319175425</c:v>
              </c:pt>
              <c:pt idx="1254">
                <c:v>0.15239331067672796</c:v>
              </c:pt>
              <c:pt idx="1255">
                <c:v>0.15239331067672796</c:v>
              </c:pt>
              <c:pt idx="1256">
                <c:v>0.15251818943591344</c:v>
              </c:pt>
              <c:pt idx="1257">
                <c:v>0.15251818943591344</c:v>
              </c:pt>
              <c:pt idx="1258">
                <c:v>0.1526430681950989</c:v>
              </c:pt>
              <c:pt idx="1259">
                <c:v>0.1526430681950989</c:v>
              </c:pt>
              <c:pt idx="1260">
                <c:v>0.1527679469542844</c:v>
              </c:pt>
              <c:pt idx="1261">
                <c:v>0.1527679469542844</c:v>
              </c:pt>
              <c:pt idx="1262">
                <c:v>0.15289282571346985</c:v>
              </c:pt>
              <c:pt idx="1263">
                <c:v>0.15289282571346985</c:v>
              </c:pt>
              <c:pt idx="1264">
                <c:v>0.15301770447265534</c:v>
              </c:pt>
              <c:pt idx="1265">
                <c:v>0.15301770447265534</c:v>
              </c:pt>
              <c:pt idx="1266">
                <c:v>0.1531425832318408</c:v>
              </c:pt>
              <c:pt idx="1267">
                <c:v>0.1531425832318408</c:v>
              </c:pt>
              <c:pt idx="1268">
                <c:v>0.15326746199102628</c:v>
              </c:pt>
              <c:pt idx="1269">
                <c:v>0.15326746199102628</c:v>
              </c:pt>
              <c:pt idx="1270">
                <c:v>0.15339234075021174</c:v>
              </c:pt>
              <c:pt idx="1271">
                <c:v>0.15339234075021174</c:v>
              </c:pt>
              <c:pt idx="1272">
                <c:v>0.15351721950939723</c:v>
              </c:pt>
              <c:pt idx="1273">
                <c:v>0.15351721950939723</c:v>
              </c:pt>
              <c:pt idx="1274">
                <c:v>0.1536420982685827</c:v>
              </c:pt>
              <c:pt idx="1275">
                <c:v>0.1536420982685827</c:v>
              </c:pt>
              <c:pt idx="1276">
                <c:v>0.15376697702776818</c:v>
              </c:pt>
              <c:pt idx="1277">
                <c:v>0.15376697702776818</c:v>
              </c:pt>
              <c:pt idx="1278">
                <c:v>0.15389185578695364</c:v>
              </c:pt>
              <c:pt idx="1279">
                <c:v>0.15389185578695364</c:v>
              </c:pt>
              <c:pt idx="1280">
                <c:v>0.15401673454613912</c:v>
              </c:pt>
              <c:pt idx="1281">
                <c:v>0.15401673454613912</c:v>
              </c:pt>
              <c:pt idx="1282">
                <c:v>0.15414161330532458</c:v>
              </c:pt>
              <c:pt idx="1283">
                <c:v>0.15414161330532458</c:v>
              </c:pt>
              <c:pt idx="1284">
                <c:v>0.15426649206451007</c:v>
              </c:pt>
              <c:pt idx="1285">
                <c:v>0.15426649206451007</c:v>
              </c:pt>
              <c:pt idx="1286">
                <c:v>0.15439137082369553</c:v>
              </c:pt>
              <c:pt idx="1287">
                <c:v>0.15439137082369553</c:v>
              </c:pt>
              <c:pt idx="1288">
                <c:v>0.15451624958288102</c:v>
              </c:pt>
              <c:pt idx="1289">
                <c:v>0.15451624958288102</c:v>
              </c:pt>
              <c:pt idx="1290">
                <c:v>0.15464112834206648</c:v>
              </c:pt>
              <c:pt idx="1291">
                <c:v>0.15464112834206648</c:v>
              </c:pt>
              <c:pt idx="1292">
                <c:v>0.15476600710125196</c:v>
              </c:pt>
              <c:pt idx="1293">
                <c:v>0.15476600710125196</c:v>
              </c:pt>
              <c:pt idx="1294">
                <c:v>0.15489088586043742</c:v>
              </c:pt>
              <c:pt idx="1295">
                <c:v>0.15489088586043742</c:v>
              </c:pt>
              <c:pt idx="1296">
                <c:v>0.1550157646196229</c:v>
              </c:pt>
              <c:pt idx="1297">
                <c:v>0.1550157646196229</c:v>
              </c:pt>
              <c:pt idx="1298">
                <c:v>0.15514064337880837</c:v>
              </c:pt>
              <c:pt idx="1299">
                <c:v>0.15514064337880837</c:v>
              </c:pt>
              <c:pt idx="1300">
                <c:v>0.15526552213799386</c:v>
              </c:pt>
              <c:pt idx="1301">
                <c:v>0.15526552213799386</c:v>
              </c:pt>
              <c:pt idx="1302">
                <c:v>0.15539040089717931</c:v>
              </c:pt>
              <c:pt idx="1303">
                <c:v>0.15539040089717931</c:v>
              </c:pt>
              <c:pt idx="1304">
                <c:v>0.1555152796563648</c:v>
              </c:pt>
              <c:pt idx="1305">
                <c:v>0.1555152796563648</c:v>
              </c:pt>
              <c:pt idx="1306">
                <c:v>0.15564015841555026</c:v>
              </c:pt>
              <c:pt idx="1307">
                <c:v>0.15564015841555026</c:v>
              </c:pt>
              <c:pt idx="1308">
                <c:v>0.15576503717473575</c:v>
              </c:pt>
              <c:pt idx="1309">
                <c:v>0.15576503717473575</c:v>
              </c:pt>
              <c:pt idx="1310">
                <c:v>0.1558899159339212</c:v>
              </c:pt>
              <c:pt idx="1311">
                <c:v>0.1558899159339212</c:v>
              </c:pt>
              <c:pt idx="1312">
                <c:v>0.1560147946931067</c:v>
              </c:pt>
              <c:pt idx="1313">
                <c:v>0.1560147946931067</c:v>
              </c:pt>
              <c:pt idx="1314">
                <c:v>0.15613967345229215</c:v>
              </c:pt>
              <c:pt idx="1315">
                <c:v>0.15613967345229215</c:v>
              </c:pt>
              <c:pt idx="1316">
                <c:v>0.15626455221147764</c:v>
              </c:pt>
              <c:pt idx="1317">
                <c:v>0.15626455221147764</c:v>
              </c:pt>
              <c:pt idx="1318">
                <c:v>0.1563894309706631</c:v>
              </c:pt>
              <c:pt idx="1319">
                <c:v>0.1563894309706631</c:v>
              </c:pt>
              <c:pt idx="1320">
                <c:v>0.1565143097298486</c:v>
              </c:pt>
              <c:pt idx="1321">
                <c:v>0.1565143097298486</c:v>
              </c:pt>
              <c:pt idx="1322">
                <c:v>0.15663918848903405</c:v>
              </c:pt>
              <c:pt idx="1323">
                <c:v>0.15663918848903405</c:v>
              </c:pt>
              <c:pt idx="1324">
                <c:v>0.1567640672482195</c:v>
              </c:pt>
              <c:pt idx="1325">
                <c:v>0.1567640672482195</c:v>
              </c:pt>
              <c:pt idx="1326">
                <c:v>0.156888946007405</c:v>
              </c:pt>
              <c:pt idx="1327">
                <c:v>0.156888946007405</c:v>
              </c:pt>
              <c:pt idx="1328">
                <c:v>0.15694246547562735</c:v>
              </c:pt>
              <c:pt idx="1329">
                <c:v>0.15694246547562735</c:v>
              </c:pt>
              <c:pt idx="1330">
                <c:v>0.15694246547562735</c:v>
              </c:pt>
              <c:pt idx="1331">
                <c:v>0.15694246547562735</c:v>
              </c:pt>
              <c:pt idx="1332">
                <c:v>0.15694246547562735</c:v>
              </c:pt>
              <c:pt idx="1333">
                <c:v>0.15694246547562735</c:v>
              </c:pt>
              <c:pt idx="1334">
                <c:v>0.1570673442348128</c:v>
              </c:pt>
              <c:pt idx="1335">
                <c:v>0.1570673442348128</c:v>
              </c:pt>
              <c:pt idx="1336">
                <c:v>0.1571922229939983</c:v>
              </c:pt>
              <c:pt idx="1337">
                <c:v>0.1571922229939983</c:v>
              </c:pt>
              <c:pt idx="1338">
                <c:v>0.15731710175318375</c:v>
              </c:pt>
              <c:pt idx="1339">
                <c:v>0.15731710175318375</c:v>
              </c:pt>
              <c:pt idx="1340">
                <c:v>0.15744198051236924</c:v>
              </c:pt>
              <c:pt idx="1341">
                <c:v>0.15744198051236924</c:v>
              </c:pt>
              <c:pt idx="1342">
                <c:v>0.1575668592715547</c:v>
              </c:pt>
              <c:pt idx="1343">
                <c:v>0.1575668592715547</c:v>
              </c:pt>
              <c:pt idx="1344">
                <c:v>0.1576917380307402</c:v>
              </c:pt>
              <c:pt idx="1345">
                <c:v>0.1576917380307402</c:v>
              </c:pt>
              <c:pt idx="1346">
                <c:v>0.15781661678992565</c:v>
              </c:pt>
              <c:pt idx="1347">
                <c:v>0.15781661678992565</c:v>
              </c:pt>
              <c:pt idx="1348">
                <c:v>0.15794149554911113</c:v>
              </c:pt>
              <c:pt idx="1349">
                <c:v>0.15794149554911113</c:v>
              </c:pt>
              <c:pt idx="1350">
                <c:v>0.1580663743082966</c:v>
              </c:pt>
              <c:pt idx="1351">
                <c:v>0.1580663743082966</c:v>
              </c:pt>
              <c:pt idx="1352">
                <c:v>0.15819125306748208</c:v>
              </c:pt>
              <c:pt idx="1353">
                <c:v>0.15819125306748208</c:v>
              </c:pt>
              <c:pt idx="1354">
                <c:v>0.15831613182666754</c:v>
              </c:pt>
              <c:pt idx="1355">
                <c:v>0.15831613182666754</c:v>
              </c:pt>
              <c:pt idx="1356">
                <c:v>0.15844101058585303</c:v>
              </c:pt>
              <c:pt idx="1357">
                <c:v>0.15844101058585303</c:v>
              </c:pt>
              <c:pt idx="1358">
                <c:v>0.15856588934503849</c:v>
              </c:pt>
              <c:pt idx="1359">
                <c:v>0.15856588934503849</c:v>
              </c:pt>
              <c:pt idx="1360">
                <c:v>0.15869076810422397</c:v>
              </c:pt>
              <c:pt idx="1361">
                <c:v>0.15869076810422397</c:v>
              </c:pt>
              <c:pt idx="1362">
                <c:v>0.15881564686340943</c:v>
              </c:pt>
              <c:pt idx="1363">
                <c:v>0.15881564686340943</c:v>
              </c:pt>
              <c:pt idx="1364">
                <c:v>0.15894052562259492</c:v>
              </c:pt>
              <c:pt idx="1365">
                <c:v>0.15894052562259492</c:v>
              </c:pt>
              <c:pt idx="1366">
                <c:v>0.15906540438178038</c:v>
              </c:pt>
              <c:pt idx="1367">
                <c:v>0.15906540438178038</c:v>
              </c:pt>
              <c:pt idx="1368">
                <c:v>0.15919028314096587</c:v>
              </c:pt>
              <c:pt idx="1369">
                <c:v>0.15919028314096587</c:v>
              </c:pt>
              <c:pt idx="1370">
                <c:v>0.15931516190015133</c:v>
              </c:pt>
              <c:pt idx="1371">
                <c:v>0.15931516190015133</c:v>
              </c:pt>
              <c:pt idx="1372">
                <c:v>0.1594400406593368</c:v>
              </c:pt>
              <c:pt idx="1373">
                <c:v>0.1594400406593368</c:v>
              </c:pt>
              <c:pt idx="1374">
                <c:v>0.15956491941852227</c:v>
              </c:pt>
              <c:pt idx="1375">
                <c:v>0.15956491941852227</c:v>
              </c:pt>
              <c:pt idx="1376">
                <c:v>0.15968979817770776</c:v>
              </c:pt>
              <c:pt idx="1377">
                <c:v>0.15968979817770776</c:v>
              </c:pt>
              <c:pt idx="1378">
                <c:v>0.15981467693689322</c:v>
              </c:pt>
              <c:pt idx="1379">
                <c:v>0.15981467693689322</c:v>
              </c:pt>
              <c:pt idx="1380">
                <c:v>0.1599395556960787</c:v>
              </c:pt>
              <c:pt idx="1381">
                <c:v>0.1599395556960787</c:v>
              </c:pt>
              <c:pt idx="1382">
                <c:v>0.16006443445526417</c:v>
              </c:pt>
              <c:pt idx="1383">
                <c:v>0.16006443445526417</c:v>
              </c:pt>
              <c:pt idx="1384">
                <c:v>0.16018931321444965</c:v>
              </c:pt>
              <c:pt idx="1385">
                <c:v>0.16018931321444965</c:v>
              </c:pt>
              <c:pt idx="1386">
                <c:v>0.1603141919736351</c:v>
              </c:pt>
              <c:pt idx="1387">
                <c:v>0.1603141919736351</c:v>
              </c:pt>
              <c:pt idx="1388">
                <c:v>0.1604390707328206</c:v>
              </c:pt>
              <c:pt idx="1389">
                <c:v>0.1604390707328206</c:v>
              </c:pt>
              <c:pt idx="1390">
                <c:v>0.16056394949200606</c:v>
              </c:pt>
              <c:pt idx="1391">
                <c:v>0.16056394949200606</c:v>
              </c:pt>
              <c:pt idx="1392">
                <c:v>0.16068882825119155</c:v>
              </c:pt>
              <c:pt idx="1393">
                <c:v>0.16068882825119155</c:v>
              </c:pt>
              <c:pt idx="1394">
                <c:v>0.160813707010377</c:v>
              </c:pt>
              <c:pt idx="1395">
                <c:v>0.160813707010377</c:v>
              </c:pt>
              <c:pt idx="1396">
                <c:v>0.1609385857695625</c:v>
              </c:pt>
              <c:pt idx="1397">
                <c:v>0.1609385857695625</c:v>
              </c:pt>
              <c:pt idx="1398">
                <c:v>0.16106346452874795</c:v>
              </c:pt>
              <c:pt idx="1399">
                <c:v>0.16106346452874795</c:v>
              </c:pt>
              <c:pt idx="1400">
                <c:v>0.16118834328793344</c:v>
              </c:pt>
              <c:pt idx="1401">
                <c:v>0.16118834328793344</c:v>
              </c:pt>
              <c:pt idx="1402">
                <c:v>0.1613132220471189</c:v>
              </c:pt>
              <c:pt idx="1403">
                <c:v>0.1613132220471189</c:v>
              </c:pt>
              <c:pt idx="1404">
                <c:v>0.16143810080630439</c:v>
              </c:pt>
              <c:pt idx="1405">
                <c:v>0.16143810080630439</c:v>
              </c:pt>
              <c:pt idx="1406">
                <c:v>0.16156297956548984</c:v>
              </c:pt>
              <c:pt idx="1407">
                <c:v>0.16156297956548984</c:v>
              </c:pt>
              <c:pt idx="1408">
                <c:v>0.16168785832467533</c:v>
              </c:pt>
              <c:pt idx="1409">
                <c:v>0.16168785832467533</c:v>
              </c:pt>
              <c:pt idx="1410">
                <c:v>0.1618127370838608</c:v>
              </c:pt>
              <c:pt idx="1411">
                <c:v>0.1618127370838608</c:v>
              </c:pt>
              <c:pt idx="1412">
                <c:v>0.16193761584304628</c:v>
              </c:pt>
              <c:pt idx="1413">
                <c:v>0.16193761584304628</c:v>
              </c:pt>
              <c:pt idx="1414">
                <c:v>0.16206249460223174</c:v>
              </c:pt>
              <c:pt idx="1415">
                <c:v>0.16206249460223174</c:v>
              </c:pt>
              <c:pt idx="1416">
                <c:v>0.16218737336141723</c:v>
              </c:pt>
              <c:pt idx="1417">
                <c:v>0.16218737336141723</c:v>
              </c:pt>
              <c:pt idx="1418">
                <c:v>0.16231225212060268</c:v>
              </c:pt>
              <c:pt idx="1419">
                <c:v>0.16231225212060268</c:v>
              </c:pt>
              <c:pt idx="1420">
                <c:v>0.16243713087978817</c:v>
              </c:pt>
              <c:pt idx="1421">
                <c:v>0.16243713087978817</c:v>
              </c:pt>
              <c:pt idx="1422">
                <c:v>0.16256200963897363</c:v>
              </c:pt>
              <c:pt idx="1423">
                <c:v>0.16256200963897363</c:v>
              </c:pt>
              <c:pt idx="1424">
                <c:v>0.16268688839815912</c:v>
              </c:pt>
              <c:pt idx="1425">
                <c:v>0.16268688839815912</c:v>
              </c:pt>
              <c:pt idx="1426">
                <c:v>0.16281176715734458</c:v>
              </c:pt>
              <c:pt idx="1427">
                <c:v>0.16281176715734458</c:v>
              </c:pt>
              <c:pt idx="1428">
                <c:v>0.16293664591653007</c:v>
              </c:pt>
              <c:pt idx="1429">
                <c:v>0.16293664591653007</c:v>
              </c:pt>
              <c:pt idx="1430">
                <c:v>0.16306152467571552</c:v>
              </c:pt>
              <c:pt idx="1431">
                <c:v>0.16306152467571552</c:v>
              </c:pt>
              <c:pt idx="1432">
                <c:v>0.163186403434901</c:v>
              </c:pt>
              <c:pt idx="1433">
                <c:v>0.163186403434901</c:v>
              </c:pt>
              <c:pt idx="1434">
                <c:v>0.16331128219408647</c:v>
              </c:pt>
              <c:pt idx="1435">
                <c:v>0.16331128219408647</c:v>
              </c:pt>
              <c:pt idx="1436">
                <c:v>0.16343616095327196</c:v>
              </c:pt>
              <c:pt idx="1437">
                <c:v>0.16343616095327196</c:v>
              </c:pt>
              <c:pt idx="1438">
                <c:v>0.16356103971245742</c:v>
              </c:pt>
              <c:pt idx="1439">
                <c:v>0.16356103971245742</c:v>
              </c:pt>
              <c:pt idx="1440">
                <c:v>0.1636859184716429</c:v>
              </c:pt>
              <c:pt idx="1441">
                <c:v>0.1636859184716429</c:v>
              </c:pt>
              <c:pt idx="1442">
                <c:v>0.16381079723082836</c:v>
              </c:pt>
              <c:pt idx="1443">
                <c:v>0.16381079723082836</c:v>
              </c:pt>
              <c:pt idx="1444">
                <c:v>0.16393567599001385</c:v>
              </c:pt>
              <c:pt idx="1445">
                <c:v>0.16393567599001385</c:v>
              </c:pt>
              <c:pt idx="1446">
                <c:v>0.1640605547491993</c:v>
              </c:pt>
              <c:pt idx="1447">
                <c:v>0.1640605547491993</c:v>
              </c:pt>
              <c:pt idx="1448">
                <c:v>0.1641854335083848</c:v>
              </c:pt>
              <c:pt idx="1449">
                <c:v>0.1641854335083848</c:v>
              </c:pt>
              <c:pt idx="1450">
                <c:v>0.16431031226757026</c:v>
              </c:pt>
              <c:pt idx="1451">
                <c:v>0.16431031226757026</c:v>
              </c:pt>
              <c:pt idx="1452">
                <c:v>0.16443519102675574</c:v>
              </c:pt>
              <c:pt idx="1453">
                <c:v>0.16443519102675574</c:v>
              </c:pt>
              <c:pt idx="1454">
                <c:v>0.1645600697859412</c:v>
              </c:pt>
              <c:pt idx="1455">
                <c:v>0.1645600697859412</c:v>
              </c:pt>
              <c:pt idx="1456">
                <c:v>0.1646849485451267</c:v>
              </c:pt>
              <c:pt idx="1457">
                <c:v>0.1646849485451267</c:v>
              </c:pt>
              <c:pt idx="1458">
                <c:v>0.16480982730431215</c:v>
              </c:pt>
              <c:pt idx="1459">
                <c:v>0.16480982730431215</c:v>
              </c:pt>
              <c:pt idx="1460">
                <c:v>0.16493470606349764</c:v>
              </c:pt>
              <c:pt idx="1461">
                <c:v>0.16493470606349764</c:v>
              </c:pt>
              <c:pt idx="1462">
                <c:v>0.1650595848226831</c:v>
              </c:pt>
              <c:pt idx="1463">
                <c:v>0.1650595848226831</c:v>
              </c:pt>
              <c:pt idx="1464">
                <c:v>0.16518446358186858</c:v>
              </c:pt>
              <c:pt idx="1465">
                <c:v>0.16518446358186858</c:v>
              </c:pt>
              <c:pt idx="1466">
                <c:v>0.16530934234105404</c:v>
              </c:pt>
              <c:pt idx="1467">
                <c:v>0.16530934234105404</c:v>
              </c:pt>
              <c:pt idx="1468">
                <c:v>0.16543422110023953</c:v>
              </c:pt>
              <c:pt idx="1469">
                <c:v>0.16543422110023953</c:v>
              </c:pt>
              <c:pt idx="1470">
                <c:v>0.165559099859425</c:v>
              </c:pt>
              <c:pt idx="1471">
                <c:v>0.165559099859425</c:v>
              </c:pt>
              <c:pt idx="1472">
                <c:v>0.16568397861861045</c:v>
              </c:pt>
              <c:pt idx="1473">
                <c:v>0.16568397861861045</c:v>
              </c:pt>
              <c:pt idx="1474">
                <c:v>0.16580885737779594</c:v>
              </c:pt>
              <c:pt idx="1475">
                <c:v>0.16580885737779594</c:v>
              </c:pt>
              <c:pt idx="1476">
                <c:v>0.1658623768460183</c:v>
              </c:pt>
              <c:pt idx="1477">
                <c:v>0.1658623768460183</c:v>
              </c:pt>
              <c:pt idx="1478">
                <c:v>0.1658623768460183</c:v>
              </c:pt>
              <c:pt idx="1479">
                <c:v>0.1658623768460183</c:v>
              </c:pt>
              <c:pt idx="1480">
                <c:v>0.1658623768460183</c:v>
              </c:pt>
              <c:pt idx="1481">
                <c:v>0.1658623768460183</c:v>
              </c:pt>
              <c:pt idx="1482">
                <c:v>0.16598725560520375</c:v>
              </c:pt>
              <c:pt idx="1483">
                <c:v>0.16598725560520375</c:v>
              </c:pt>
              <c:pt idx="1484">
                <c:v>0.16611213436438924</c:v>
              </c:pt>
              <c:pt idx="1485">
                <c:v>0.16611213436438924</c:v>
              </c:pt>
              <c:pt idx="1486">
                <c:v>0.1662370131235747</c:v>
              </c:pt>
              <c:pt idx="1487">
                <c:v>0.1662370131235747</c:v>
              </c:pt>
              <c:pt idx="1488">
                <c:v>0.16636189188276018</c:v>
              </c:pt>
              <c:pt idx="1489">
                <c:v>0.16636189188276018</c:v>
              </c:pt>
              <c:pt idx="1490">
                <c:v>0.16648677064194564</c:v>
              </c:pt>
              <c:pt idx="1491">
                <c:v>0.16648677064194564</c:v>
              </c:pt>
              <c:pt idx="1492">
                <c:v>0.16661164940113113</c:v>
              </c:pt>
              <c:pt idx="1493">
                <c:v>0.16661164940113113</c:v>
              </c:pt>
              <c:pt idx="1494">
                <c:v>0.1667365281603166</c:v>
              </c:pt>
              <c:pt idx="1495">
                <c:v>0.1667365281603166</c:v>
              </c:pt>
              <c:pt idx="1496">
                <c:v>0.16686140691950208</c:v>
              </c:pt>
              <c:pt idx="1497">
                <c:v>0.16686140691950208</c:v>
              </c:pt>
              <c:pt idx="1498">
                <c:v>0.16698628567868753</c:v>
              </c:pt>
              <c:pt idx="1499">
                <c:v>0.16698628567868753</c:v>
              </c:pt>
              <c:pt idx="1500">
                <c:v>0.16711116443787302</c:v>
              </c:pt>
              <c:pt idx="1501">
                <c:v>0.16711116443787302</c:v>
              </c:pt>
              <c:pt idx="1502">
                <c:v>0.16723604319705848</c:v>
              </c:pt>
              <c:pt idx="1503">
                <c:v>0.16723604319705848</c:v>
              </c:pt>
              <c:pt idx="1504">
                <c:v>0.16736092195624397</c:v>
              </c:pt>
              <c:pt idx="1505">
                <c:v>0.16736092195624397</c:v>
              </c:pt>
              <c:pt idx="1506">
                <c:v>0.16748580071542943</c:v>
              </c:pt>
              <c:pt idx="1507">
                <c:v>0.16748580071542943</c:v>
              </c:pt>
              <c:pt idx="1508">
                <c:v>0.16761067947461492</c:v>
              </c:pt>
              <c:pt idx="1509">
                <c:v>0.16761067947461492</c:v>
              </c:pt>
              <c:pt idx="1510">
                <c:v>0.16773555823380037</c:v>
              </c:pt>
              <c:pt idx="1511">
                <c:v>0.16773555823380037</c:v>
              </c:pt>
              <c:pt idx="1512">
                <c:v>0.16786043699298586</c:v>
              </c:pt>
              <c:pt idx="1513">
                <c:v>0.16786043699298586</c:v>
              </c:pt>
              <c:pt idx="1514">
                <c:v>0.16798531575217132</c:v>
              </c:pt>
              <c:pt idx="1515">
                <c:v>0.16798531575217132</c:v>
              </c:pt>
              <c:pt idx="1516">
                <c:v>0.1681101945113568</c:v>
              </c:pt>
              <c:pt idx="1517">
                <c:v>0.1681101945113568</c:v>
              </c:pt>
              <c:pt idx="1518">
                <c:v>0.16823507327054227</c:v>
              </c:pt>
              <c:pt idx="1519">
                <c:v>0.16823507327054227</c:v>
              </c:pt>
              <c:pt idx="1520">
                <c:v>0.16835995202972776</c:v>
              </c:pt>
              <c:pt idx="1521">
                <c:v>0.16835995202972776</c:v>
              </c:pt>
              <c:pt idx="1522">
                <c:v>0.16848483078891321</c:v>
              </c:pt>
              <c:pt idx="1523">
                <c:v>0.16848483078891321</c:v>
              </c:pt>
              <c:pt idx="1524">
                <c:v>0.1686097095480987</c:v>
              </c:pt>
              <c:pt idx="1525">
                <c:v>0.1686097095480987</c:v>
              </c:pt>
              <c:pt idx="1526">
                <c:v>0.16873458830728416</c:v>
              </c:pt>
              <c:pt idx="1527">
                <c:v>0.16873458830728416</c:v>
              </c:pt>
              <c:pt idx="1528">
                <c:v>0.16885946706646965</c:v>
              </c:pt>
              <c:pt idx="1529">
                <c:v>0.16885946706646965</c:v>
              </c:pt>
              <c:pt idx="1530">
                <c:v>0.1689843458256551</c:v>
              </c:pt>
              <c:pt idx="1531">
                <c:v>0.1689843458256551</c:v>
              </c:pt>
              <c:pt idx="1532">
                <c:v>0.1691092245848406</c:v>
              </c:pt>
              <c:pt idx="1533">
                <c:v>0.1691092245848406</c:v>
              </c:pt>
              <c:pt idx="1534">
                <c:v>0.16923410334402605</c:v>
              </c:pt>
              <c:pt idx="1535">
                <c:v>0.16923410334402605</c:v>
              </c:pt>
              <c:pt idx="1536">
                <c:v>0.16935898210321154</c:v>
              </c:pt>
              <c:pt idx="1537">
                <c:v>0.16935898210321154</c:v>
              </c:pt>
              <c:pt idx="1538">
                <c:v>0.169483860862397</c:v>
              </c:pt>
              <c:pt idx="1539">
                <c:v>0.169483860862397</c:v>
              </c:pt>
              <c:pt idx="1540">
                <c:v>0.1696087396215825</c:v>
              </c:pt>
              <c:pt idx="1541">
                <c:v>0.1696087396215825</c:v>
              </c:pt>
              <c:pt idx="1542">
                <c:v>0.16973361838076795</c:v>
              </c:pt>
              <c:pt idx="1543">
                <c:v>0.16973361838076795</c:v>
              </c:pt>
              <c:pt idx="1544">
                <c:v>0.16985849713995343</c:v>
              </c:pt>
              <c:pt idx="1545">
                <c:v>0.16985849713995343</c:v>
              </c:pt>
              <c:pt idx="1546">
                <c:v>0.1699833758991389</c:v>
              </c:pt>
              <c:pt idx="1547">
                <c:v>0.1699833758991389</c:v>
              </c:pt>
              <c:pt idx="1548">
                <c:v>0.17010825465832438</c:v>
              </c:pt>
              <c:pt idx="1549">
                <c:v>0.17010825465832438</c:v>
              </c:pt>
              <c:pt idx="1550">
                <c:v>0.17023313341750984</c:v>
              </c:pt>
              <c:pt idx="1551">
                <c:v>0.17023313341750984</c:v>
              </c:pt>
              <c:pt idx="1552">
                <c:v>0.17035801217669533</c:v>
              </c:pt>
              <c:pt idx="1553">
                <c:v>0.17035801217669533</c:v>
              </c:pt>
              <c:pt idx="1554">
                <c:v>0.1704828909358808</c:v>
              </c:pt>
              <c:pt idx="1555">
                <c:v>0.1704828909358808</c:v>
              </c:pt>
              <c:pt idx="1556">
                <c:v>0.17060776969506627</c:v>
              </c:pt>
              <c:pt idx="1557">
                <c:v>0.17060776969506627</c:v>
              </c:pt>
              <c:pt idx="1558">
                <c:v>0.17073264845425173</c:v>
              </c:pt>
              <c:pt idx="1559">
                <c:v>0.17073264845425173</c:v>
              </c:pt>
              <c:pt idx="1560">
                <c:v>0.17085752721343722</c:v>
              </c:pt>
              <c:pt idx="1561">
                <c:v>0.17085752721343722</c:v>
              </c:pt>
              <c:pt idx="1562">
                <c:v>0.17098240597262268</c:v>
              </c:pt>
              <c:pt idx="1563">
                <c:v>0.17098240597262268</c:v>
              </c:pt>
              <c:pt idx="1564">
                <c:v>0.17110728473180817</c:v>
              </c:pt>
              <c:pt idx="1565">
                <c:v>0.17110728473180817</c:v>
              </c:pt>
              <c:pt idx="1566">
                <c:v>0.17123216349099363</c:v>
              </c:pt>
              <c:pt idx="1567">
                <c:v>0.17123216349099363</c:v>
              </c:pt>
              <c:pt idx="1568">
                <c:v>0.17135704225017911</c:v>
              </c:pt>
              <c:pt idx="1569">
                <c:v>0.17135704225017911</c:v>
              </c:pt>
              <c:pt idx="1570">
                <c:v>0.17148192100936457</c:v>
              </c:pt>
              <c:pt idx="1571">
                <c:v>0.17148192100936457</c:v>
              </c:pt>
              <c:pt idx="1572">
                <c:v>0.17160679976855006</c:v>
              </c:pt>
              <c:pt idx="1573">
                <c:v>0.17160679976855006</c:v>
              </c:pt>
              <c:pt idx="1574">
                <c:v>0.17173167852773552</c:v>
              </c:pt>
              <c:pt idx="1575">
                <c:v>0.17173167852773552</c:v>
              </c:pt>
              <c:pt idx="1576">
                <c:v>0.171856557286921</c:v>
              </c:pt>
              <c:pt idx="1577">
                <c:v>0.171856557286921</c:v>
              </c:pt>
              <c:pt idx="1578">
                <c:v>0.17198143604610647</c:v>
              </c:pt>
              <c:pt idx="1579">
                <c:v>0.17198143604610647</c:v>
              </c:pt>
              <c:pt idx="1580">
                <c:v>0.17210631480529195</c:v>
              </c:pt>
              <c:pt idx="1581">
                <c:v>0.17210631480529195</c:v>
              </c:pt>
              <c:pt idx="1582">
                <c:v>0.17223119356447741</c:v>
              </c:pt>
              <c:pt idx="1583">
                <c:v>0.17223119356447741</c:v>
              </c:pt>
              <c:pt idx="1584">
                <c:v>0.1723560723236629</c:v>
              </c:pt>
              <c:pt idx="1585">
                <c:v>0.1723560723236629</c:v>
              </c:pt>
              <c:pt idx="1586">
                <c:v>0.17248095108284836</c:v>
              </c:pt>
              <c:pt idx="1587">
                <c:v>0.17248095108284836</c:v>
              </c:pt>
              <c:pt idx="1588">
                <c:v>0.17260582984203385</c:v>
              </c:pt>
              <c:pt idx="1589">
                <c:v>0.17260582984203385</c:v>
              </c:pt>
              <c:pt idx="1590">
                <c:v>0.1727307086012193</c:v>
              </c:pt>
              <c:pt idx="1591">
                <c:v>0.1727307086012193</c:v>
              </c:pt>
              <c:pt idx="1592">
                <c:v>0.1728555873604048</c:v>
              </c:pt>
              <c:pt idx="1593">
                <c:v>0.1728555873604048</c:v>
              </c:pt>
              <c:pt idx="1594">
                <c:v>0.17298046611959025</c:v>
              </c:pt>
              <c:pt idx="1595">
                <c:v>0.17298046611959025</c:v>
              </c:pt>
              <c:pt idx="1596">
                <c:v>0.17310534487877574</c:v>
              </c:pt>
              <c:pt idx="1597">
                <c:v>0.17310534487877574</c:v>
              </c:pt>
              <c:pt idx="1598">
                <c:v>0.1732302236379612</c:v>
              </c:pt>
              <c:pt idx="1599">
                <c:v>0.1732302236379612</c:v>
              </c:pt>
              <c:pt idx="1600">
                <c:v>0.1733551023971467</c:v>
              </c:pt>
              <c:pt idx="1601">
                <c:v>0.1733551023971467</c:v>
              </c:pt>
              <c:pt idx="1602">
                <c:v>0.17347998115633215</c:v>
              </c:pt>
              <c:pt idx="1603">
                <c:v>0.17347998115633215</c:v>
              </c:pt>
              <c:pt idx="1604">
                <c:v>0.17360485991551763</c:v>
              </c:pt>
              <c:pt idx="1605">
                <c:v>0.17360485991551763</c:v>
              </c:pt>
              <c:pt idx="1606">
                <c:v>0.1737297386747031</c:v>
              </c:pt>
              <c:pt idx="1607">
                <c:v>0.1737297386747031</c:v>
              </c:pt>
              <c:pt idx="1608">
                <c:v>0.17385461743388858</c:v>
              </c:pt>
              <c:pt idx="1609">
                <c:v>0.17385461743388858</c:v>
              </c:pt>
              <c:pt idx="1610">
                <c:v>0.17397949619307404</c:v>
              </c:pt>
              <c:pt idx="1611">
                <c:v>0.17397949619307404</c:v>
              </c:pt>
              <c:pt idx="1612">
                <c:v>0.17410437495225953</c:v>
              </c:pt>
              <c:pt idx="1613">
                <c:v>0.17410437495225953</c:v>
              </c:pt>
              <c:pt idx="1614">
                <c:v>0.174229253711445</c:v>
              </c:pt>
              <c:pt idx="1615">
                <c:v>0.174229253711445</c:v>
              </c:pt>
              <c:pt idx="1616">
                <c:v>0.17435413247063047</c:v>
              </c:pt>
              <c:pt idx="1617">
                <c:v>0.17435413247063047</c:v>
              </c:pt>
              <c:pt idx="1618">
                <c:v>0.17447901122981593</c:v>
              </c:pt>
              <c:pt idx="1619">
                <c:v>0.17447901122981593</c:v>
              </c:pt>
              <c:pt idx="1620">
                <c:v>0.1746038899890014</c:v>
              </c:pt>
              <c:pt idx="1621">
                <c:v>0.1746038899890014</c:v>
              </c:pt>
              <c:pt idx="1622">
                <c:v>0.17472876874818688</c:v>
              </c:pt>
              <c:pt idx="1623">
                <c:v>0.17472876874818688</c:v>
              </c:pt>
              <c:pt idx="1624">
                <c:v>0.17478228821640923</c:v>
              </c:pt>
              <c:pt idx="1625">
                <c:v>0.17478228821640923</c:v>
              </c:pt>
              <c:pt idx="1626">
                <c:v>0.17478228821640923</c:v>
              </c:pt>
              <c:pt idx="1627">
                <c:v>0.17478228821640923</c:v>
              </c:pt>
              <c:pt idx="1628">
                <c:v>0.17478228821640923</c:v>
              </c:pt>
              <c:pt idx="1629">
                <c:v>0.17478228821640923</c:v>
              </c:pt>
              <c:pt idx="1630">
                <c:v>0.1749071669755947</c:v>
              </c:pt>
              <c:pt idx="1631">
                <c:v>0.1749071669755947</c:v>
              </c:pt>
              <c:pt idx="1632">
                <c:v>0.17503204573478018</c:v>
              </c:pt>
              <c:pt idx="1633">
                <c:v>0.17503204573478018</c:v>
              </c:pt>
              <c:pt idx="1634">
                <c:v>0.17515692449396564</c:v>
              </c:pt>
              <c:pt idx="1635">
                <c:v>0.17515692449396564</c:v>
              </c:pt>
              <c:pt idx="1636">
                <c:v>0.17528180325315112</c:v>
              </c:pt>
              <c:pt idx="1637">
                <c:v>0.17528180325315112</c:v>
              </c:pt>
              <c:pt idx="1638">
                <c:v>0.17540668201233658</c:v>
              </c:pt>
              <c:pt idx="1639">
                <c:v>0.17540668201233658</c:v>
              </c:pt>
              <c:pt idx="1640">
                <c:v>0.17553156077152207</c:v>
              </c:pt>
              <c:pt idx="1641">
                <c:v>0.17553156077152207</c:v>
              </c:pt>
              <c:pt idx="1642">
                <c:v>0.17565643953070753</c:v>
              </c:pt>
              <c:pt idx="1643">
                <c:v>0.17565643953070753</c:v>
              </c:pt>
              <c:pt idx="1644">
                <c:v>0.17578131828989302</c:v>
              </c:pt>
              <c:pt idx="1645">
                <c:v>0.17578131828989302</c:v>
              </c:pt>
              <c:pt idx="1646">
                <c:v>0.17590619704907848</c:v>
              </c:pt>
              <c:pt idx="1647">
                <c:v>0.17590619704907848</c:v>
              </c:pt>
              <c:pt idx="1648">
                <c:v>0.17603107580826396</c:v>
              </c:pt>
              <c:pt idx="1649">
                <c:v>0.17603107580826396</c:v>
              </c:pt>
              <c:pt idx="1650">
                <c:v>0.17615595456744942</c:v>
              </c:pt>
              <c:pt idx="1651">
                <c:v>0.17615595456744942</c:v>
              </c:pt>
              <c:pt idx="1652">
                <c:v>0.1762808333266349</c:v>
              </c:pt>
              <c:pt idx="1653">
                <c:v>0.1762808333266349</c:v>
              </c:pt>
              <c:pt idx="1654">
                <c:v>0.17640571208582037</c:v>
              </c:pt>
              <c:pt idx="1655">
                <c:v>0.17640571208582037</c:v>
              </c:pt>
              <c:pt idx="1656">
                <c:v>0.17653059084500586</c:v>
              </c:pt>
              <c:pt idx="1657">
                <c:v>0.17653059084500586</c:v>
              </c:pt>
              <c:pt idx="1658">
                <c:v>0.17665546960419132</c:v>
              </c:pt>
              <c:pt idx="1659">
                <c:v>0.17665546960419132</c:v>
              </c:pt>
              <c:pt idx="1660">
                <c:v>0.1767803483633768</c:v>
              </c:pt>
              <c:pt idx="1661">
                <c:v>0.1767803483633768</c:v>
              </c:pt>
              <c:pt idx="1662">
                <c:v>0.17690522712256226</c:v>
              </c:pt>
              <c:pt idx="1663">
                <c:v>0.17690522712256226</c:v>
              </c:pt>
              <c:pt idx="1664">
                <c:v>0.17703010588174775</c:v>
              </c:pt>
              <c:pt idx="1665">
                <c:v>0.17703010588174775</c:v>
              </c:pt>
              <c:pt idx="1666">
                <c:v>0.1771549846409332</c:v>
              </c:pt>
              <c:pt idx="1667">
                <c:v>0.1771549846409332</c:v>
              </c:pt>
              <c:pt idx="1668">
                <c:v>0.1772798634001187</c:v>
              </c:pt>
              <c:pt idx="1669">
                <c:v>0.1772798634001187</c:v>
              </c:pt>
              <c:pt idx="1670">
                <c:v>0.17740474215930416</c:v>
              </c:pt>
              <c:pt idx="1671">
                <c:v>0.17740474215930416</c:v>
              </c:pt>
              <c:pt idx="1672">
                <c:v>0.17752962091848964</c:v>
              </c:pt>
              <c:pt idx="1673">
                <c:v>0.17752962091848964</c:v>
              </c:pt>
              <c:pt idx="1674">
                <c:v>0.1776544996776751</c:v>
              </c:pt>
              <c:pt idx="1675">
                <c:v>0.1776544996776751</c:v>
              </c:pt>
              <c:pt idx="1676">
                <c:v>0.1777793784368606</c:v>
              </c:pt>
              <c:pt idx="1677">
                <c:v>0.1777793784368606</c:v>
              </c:pt>
              <c:pt idx="1678">
                <c:v>0.17790425719604605</c:v>
              </c:pt>
              <c:pt idx="1679">
                <c:v>0.17790425719604605</c:v>
              </c:pt>
              <c:pt idx="1680">
                <c:v>0.17802913595523154</c:v>
              </c:pt>
              <c:pt idx="1681">
                <c:v>0.17802913595523154</c:v>
              </c:pt>
              <c:pt idx="1682">
                <c:v>0.178154014714417</c:v>
              </c:pt>
              <c:pt idx="1683">
                <c:v>0.178154014714417</c:v>
              </c:pt>
              <c:pt idx="1684">
                <c:v>0.17827889347360248</c:v>
              </c:pt>
              <c:pt idx="1685">
                <c:v>0.17827889347360248</c:v>
              </c:pt>
              <c:pt idx="1686">
                <c:v>0.17840377223278794</c:v>
              </c:pt>
              <c:pt idx="1687">
                <c:v>0.17840377223278794</c:v>
              </c:pt>
              <c:pt idx="1688">
                <c:v>0.17852865099197343</c:v>
              </c:pt>
              <c:pt idx="1689">
                <c:v>0.17852865099197343</c:v>
              </c:pt>
              <c:pt idx="1690">
                <c:v>0.1786535297511589</c:v>
              </c:pt>
              <c:pt idx="1691">
                <c:v>0.1786535297511589</c:v>
              </c:pt>
              <c:pt idx="1692">
                <c:v>0.17877840851034438</c:v>
              </c:pt>
              <c:pt idx="1693">
                <c:v>0.17877840851034438</c:v>
              </c:pt>
              <c:pt idx="1694">
                <c:v>0.17890328726952984</c:v>
              </c:pt>
              <c:pt idx="1695">
                <c:v>0.17890328726952984</c:v>
              </c:pt>
              <c:pt idx="1696">
                <c:v>0.17902816602871532</c:v>
              </c:pt>
              <c:pt idx="1697">
                <c:v>0.17902816602871532</c:v>
              </c:pt>
              <c:pt idx="1698">
                <c:v>0.17915304478790078</c:v>
              </c:pt>
              <c:pt idx="1699">
                <c:v>0.17915304478790078</c:v>
              </c:pt>
              <c:pt idx="1700">
                <c:v>0.17927792354708627</c:v>
              </c:pt>
              <c:pt idx="1701">
                <c:v>0.17927792354708627</c:v>
              </c:pt>
              <c:pt idx="1702">
                <c:v>0.17940280230627173</c:v>
              </c:pt>
              <c:pt idx="1703">
                <c:v>0.17940280230627173</c:v>
              </c:pt>
              <c:pt idx="1704">
                <c:v>0.17952768106545722</c:v>
              </c:pt>
              <c:pt idx="1705">
                <c:v>0.17952768106545722</c:v>
              </c:pt>
              <c:pt idx="1706">
                <c:v>0.17965255982464268</c:v>
              </c:pt>
              <c:pt idx="1707">
                <c:v>0.17965255982464268</c:v>
              </c:pt>
              <c:pt idx="1708">
                <c:v>0.17977743858382816</c:v>
              </c:pt>
              <c:pt idx="1709">
                <c:v>0.17977743858382816</c:v>
              </c:pt>
              <c:pt idx="1710">
                <c:v>0.17990231734301362</c:v>
              </c:pt>
              <c:pt idx="1711">
                <c:v>0.17990231734301362</c:v>
              </c:pt>
              <c:pt idx="1712">
                <c:v>0.1800271961021991</c:v>
              </c:pt>
              <c:pt idx="1713">
                <c:v>0.1800271961021991</c:v>
              </c:pt>
              <c:pt idx="1714">
                <c:v>0.18015207486138457</c:v>
              </c:pt>
              <c:pt idx="1715">
                <c:v>0.18015207486138457</c:v>
              </c:pt>
              <c:pt idx="1716">
                <c:v>0.18027695362057006</c:v>
              </c:pt>
              <c:pt idx="1717">
                <c:v>0.18027695362057006</c:v>
              </c:pt>
              <c:pt idx="1718">
                <c:v>0.18040183237975552</c:v>
              </c:pt>
              <c:pt idx="1719">
                <c:v>0.18040183237975552</c:v>
              </c:pt>
              <c:pt idx="1720">
                <c:v>0.180526711138941</c:v>
              </c:pt>
              <c:pt idx="1721">
                <c:v>0.180526711138941</c:v>
              </c:pt>
              <c:pt idx="1722">
                <c:v>0.18065158989812646</c:v>
              </c:pt>
              <c:pt idx="1723">
                <c:v>0.18065158989812646</c:v>
              </c:pt>
              <c:pt idx="1724">
                <c:v>0.18077646865731195</c:v>
              </c:pt>
              <c:pt idx="1725">
                <c:v>0.18077646865731195</c:v>
              </c:pt>
              <c:pt idx="1726">
                <c:v>0.1809013474164974</c:v>
              </c:pt>
              <c:pt idx="1727">
                <c:v>0.1809013474164974</c:v>
              </c:pt>
              <c:pt idx="1728">
                <c:v>0.1810262261756829</c:v>
              </c:pt>
              <c:pt idx="1729">
                <c:v>0.1810262261756829</c:v>
              </c:pt>
              <c:pt idx="1730">
                <c:v>0.18115110493486836</c:v>
              </c:pt>
              <c:pt idx="1731">
                <c:v>0.18115110493486836</c:v>
              </c:pt>
              <c:pt idx="1732">
                <c:v>0.18127598369405384</c:v>
              </c:pt>
              <c:pt idx="1733">
                <c:v>0.18127598369405384</c:v>
              </c:pt>
              <c:pt idx="1734">
                <c:v>0.1814008624532393</c:v>
              </c:pt>
              <c:pt idx="1735">
                <c:v>0.1814008624532393</c:v>
              </c:pt>
              <c:pt idx="1736">
                <c:v>0.1815257412124248</c:v>
              </c:pt>
              <c:pt idx="1737">
                <c:v>0.1815257412124248</c:v>
              </c:pt>
              <c:pt idx="1738">
                <c:v>0.18165061997161025</c:v>
              </c:pt>
              <c:pt idx="1739">
                <c:v>0.18165061997161025</c:v>
              </c:pt>
              <c:pt idx="1740">
                <c:v>0.18177549873079574</c:v>
              </c:pt>
              <c:pt idx="1741">
                <c:v>0.18177549873079574</c:v>
              </c:pt>
              <c:pt idx="1742">
                <c:v>0.1819003774899812</c:v>
              </c:pt>
              <c:pt idx="1743">
                <c:v>0.1819003774899812</c:v>
              </c:pt>
              <c:pt idx="1744">
                <c:v>0.18202525624916668</c:v>
              </c:pt>
              <c:pt idx="1745">
                <c:v>0.18202525624916668</c:v>
              </c:pt>
              <c:pt idx="1746">
                <c:v>0.18215013500835214</c:v>
              </c:pt>
              <c:pt idx="1747">
                <c:v>0.18215013500835214</c:v>
              </c:pt>
              <c:pt idx="1748">
                <c:v>0.18227501376753763</c:v>
              </c:pt>
              <c:pt idx="1749">
                <c:v>0.18227501376753763</c:v>
              </c:pt>
              <c:pt idx="1750">
                <c:v>0.1823998925267231</c:v>
              </c:pt>
              <c:pt idx="1751">
                <c:v>0.1823998925267231</c:v>
              </c:pt>
              <c:pt idx="1752">
                <c:v>0.18252477128590858</c:v>
              </c:pt>
              <c:pt idx="1753">
                <c:v>0.18252477128590858</c:v>
              </c:pt>
              <c:pt idx="1754">
                <c:v>0.18264965004509404</c:v>
              </c:pt>
              <c:pt idx="1755">
                <c:v>0.18264965004509404</c:v>
              </c:pt>
              <c:pt idx="1756">
                <c:v>0.18277452880427952</c:v>
              </c:pt>
              <c:pt idx="1757">
                <c:v>0.18277452880427952</c:v>
              </c:pt>
              <c:pt idx="1758">
                <c:v>0.18289940756346498</c:v>
              </c:pt>
              <c:pt idx="1759">
                <c:v>0.18289940756346498</c:v>
              </c:pt>
              <c:pt idx="1760">
                <c:v>0.18302428632265047</c:v>
              </c:pt>
              <c:pt idx="1761">
                <c:v>0.18302428632265047</c:v>
              </c:pt>
              <c:pt idx="1762">
                <c:v>0.18314916508183593</c:v>
              </c:pt>
              <c:pt idx="1763">
                <c:v>0.18314916508183593</c:v>
              </c:pt>
              <c:pt idx="1764">
                <c:v>0.18327404384102142</c:v>
              </c:pt>
              <c:pt idx="1765">
                <c:v>0.18327404384102142</c:v>
              </c:pt>
              <c:pt idx="1766">
                <c:v>0.18339892260020688</c:v>
              </c:pt>
              <c:pt idx="1767">
                <c:v>0.18339892260020688</c:v>
              </c:pt>
              <c:pt idx="1768">
                <c:v>0.18352380135939234</c:v>
              </c:pt>
              <c:pt idx="1769">
                <c:v>0.18352380135939234</c:v>
              </c:pt>
              <c:pt idx="1770">
                <c:v>0.18364868011857782</c:v>
              </c:pt>
              <c:pt idx="1771">
                <c:v>0.18364868011857782</c:v>
              </c:pt>
              <c:pt idx="1772">
                <c:v>0.18370219958680017</c:v>
              </c:pt>
              <c:pt idx="1773">
                <c:v>0.18370219958680017</c:v>
              </c:pt>
              <c:pt idx="1774">
                <c:v>0.18370219958680017</c:v>
              </c:pt>
              <c:pt idx="1775">
                <c:v>0.18370219958680017</c:v>
              </c:pt>
              <c:pt idx="1776">
                <c:v>0.18370219958680017</c:v>
              </c:pt>
              <c:pt idx="1777">
                <c:v>0.18370219958680017</c:v>
              </c:pt>
              <c:pt idx="1778">
                <c:v>0.18382707834598563</c:v>
              </c:pt>
              <c:pt idx="1779">
                <c:v>0.18382707834598563</c:v>
              </c:pt>
              <c:pt idx="1780">
                <c:v>0.18395195710517112</c:v>
              </c:pt>
              <c:pt idx="1781">
                <c:v>0.18395195710517112</c:v>
              </c:pt>
              <c:pt idx="1782">
                <c:v>0.18407683586435658</c:v>
              </c:pt>
              <c:pt idx="1783">
                <c:v>0.18407683586435658</c:v>
              </c:pt>
              <c:pt idx="1784">
                <c:v>0.18420171462354207</c:v>
              </c:pt>
              <c:pt idx="1785">
                <c:v>0.18420171462354207</c:v>
              </c:pt>
              <c:pt idx="1786">
                <c:v>0.18432659338272753</c:v>
              </c:pt>
              <c:pt idx="1787">
                <c:v>0.18432659338272753</c:v>
              </c:pt>
              <c:pt idx="1788">
                <c:v>0.18445147214191301</c:v>
              </c:pt>
              <c:pt idx="1789">
                <c:v>0.18445147214191301</c:v>
              </c:pt>
              <c:pt idx="1790">
                <c:v>0.18457635090109847</c:v>
              </c:pt>
              <c:pt idx="1791">
                <c:v>0.18457635090109847</c:v>
              </c:pt>
              <c:pt idx="1792">
                <c:v>0.18470122966028396</c:v>
              </c:pt>
              <c:pt idx="1793">
                <c:v>0.18470122966028396</c:v>
              </c:pt>
              <c:pt idx="1794">
                <c:v>0.18482610841946942</c:v>
              </c:pt>
              <c:pt idx="1795">
                <c:v>0.18482610841946942</c:v>
              </c:pt>
              <c:pt idx="1796">
                <c:v>0.1849509871786549</c:v>
              </c:pt>
              <c:pt idx="1797">
                <c:v>0.1849509871786549</c:v>
              </c:pt>
              <c:pt idx="1798">
                <c:v>0.18507586593784037</c:v>
              </c:pt>
              <c:pt idx="1799">
                <c:v>0.18507586593784037</c:v>
              </c:pt>
              <c:pt idx="1800">
                <c:v>0.18520074469702585</c:v>
              </c:pt>
              <c:pt idx="1801">
                <c:v>0.18520074469702585</c:v>
              </c:pt>
              <c:pt idx="1802">
                <c:v>0.1853256234562113</c:v>
              </c:pt>
              <c:pt idx="1803">
                <c:v>0.1853256234562113</c:v>
              </c:pt>
              <c:pt idx="1804">
                <c:v>0.1854505022153968</c:v>
              </c:pt>
              <c:pt idx="1805">
                <c:v>0.1854505022153968</c:v>
              </c:pt>
              <c:pt idx="1806">
                <c:v>0.18557538097458226</c:v>
              </c:pt>
              <c:pt idx="1807">
                <c:v>0.18557538097458226</c:v>
              </c:pt>
              <c:pt idx="1808">
                <c:v>0.18570025973376775</c:v>
              </c:pt>
              <c:pt idx="1809">
                <c:v>0.18570025973376775</c:v>
              </c:pt>
              <c:pt idx="1810">
                <c:v>0.1858251384929532</c:v>
              </c:pt>
              <c:pt idx="1811">
                <c:v>0.1858251384929532</c:v>
              </c:pt>
              <c:pt idx="1812">
                <c:v>0.1859500172521387</c:v>
              </c:pt>
              <c:pt idx="1813">
                <c:v>0.1859500172521387</c:v>
              </c:pt>
              <c:pt idx="1814">
                <c:v>0.18607489601132415</c:v>
              </c:pt>
              <c:pt idx="1815">
                <c:v>0.18607489601132415</c:v>
              </c:pt>
              <c:pt idx="1816">
                <c:v>0.18619977477050964</c:v>
              </c:pt>
              <c:pt idx="1817">
                <c:v>0.18619977477050964</c:v>
              </c:pt>
              <c:pt idx="1818">
                <c:v>0.1863246535296951</c:v>
              </c:pt>
              <c:pt idx="1819">
                <c:v>0.1863246535296951</c:v>
              </c:pt>
              <c:pt idx="1820">
                <c:v>0.1864495322888806</c:v>
              </c:pt>
              <c:pt idx="1821">
                <c:v>0.1864495322888806</c:v>
              </c:pt>
              <c:pt idx="1822">
                <c:v>0.18657441104806605</c:v>
              </c:pt>
              <c:pt idx="1823">
                <c:v>0.18657441104806605</c:v>
              </c:pt>
              <c:pt idx="1824">
                <c:v>0.18669928980725153</c:v>
              </c:pt>
              <c:pt idx="1825">
                <c:v>0.18669928980725153</c:v>
              </c:pt>
              <c:pt idx="1826">
                <c:v>0.186824168566437</c:v>
              </c:pt>
              <c:pt idx="1827">
                <c:v>0.186824168566437</c:v>
              </c:pt>
              <c:pt idx="1828">
                <c:v>0.18694904732562248</c:v>
              </c:pt>
              <c:pt idx="1829">
                <c:v>0.18694904732562248</c:v>
              </c:pt>
              <c:pt idx="1830">
                <c:v>0.18707392608480794</c:v>
              </c:pt>
              <c:pt idx="1831">
                <c:v>0.18707392608480794</c:v>
              </c:pt>
              <c:pt idx="1832">
                <c:v>0.18719880484399343</c:v>
              </c:pt>
              <c:pt idx="1833">
                <c:v>0.18719880484399343</c:v>
              </c:pt>
              <c:pt idx="1834">
                <c:v>0.1873236836031789</c:v>
              </c:pt>
              <c:pt idx="1835">
                <c:v>0.1873236836031789</c:v>
              </c:pt>
              <c:pt idx="1836">
                <c:v>0.18744856236236437</c:v>
              </c:pt>
              <c:pt idx="1837">
                <c:v>0.18744856236236437</c:v>
              </c:pt>
              <c:pt idx="1838">
                <c:v>0.18757344112154983</c:v>
              </c:pt>
              <c:pt idx="1839">
                <c:v>0.18757344112154983</c:v>
              </c:pt>
              <c:pt idx="1840">
                <c:v>0.18769831988073532</c:v>
              </c:pt>
              <c:pt idx="1841">
                <c:v>0.18769831988073532</c:v>
              </c:pt>
              <c:pt idx="1842">
                <c:v>0.18782319863992078</c:v>
              </c:pt>
              <c:pt idx="1843">
                <c:v>0.18782319863992078</c:v>
              </c:pt>
              <c:pt idx="1844">
                <c:v>0.18794807739910627</c:v>
              </c:pt>
              <c:pt idx="1845">
                <c:v>0.18794807739910627</c:v>
              </c:pt>
              <c:pt idx="1846">
                <c:v>0.18807295615829173</c:v>
              </c:pt>
              <c:pt idx="1847">
                <c:v>0.18807295615829173</c:v>
              </c:pt>
              <c:pt idx="1848">
                <c:v>0.1881978349174772</c:v>
              </c:pt>
              <c:pt idx="1849">
                <c:v>0.1881978349174772</c:v>
              </c:pt>
              <c:pt idx="1850">
                <c:v>0.18832271367666267</c:v>
              </c:pt>
              <c:pt idx="1851">
                <c:v>0.18832271367666267</c:v>
              </c:pt>
              <c:pt idx="1852">
                <c:v>0.18844759243584816</c:v>
              </c:pt>
              <c:pt idx="1853">
                <c:v>0.18844759243584816</c:v>
              </c:pt>
              <c:pt idx="1854">
                <c:v>0.18857247119503362</c:v>
              </c:pt>
              <c:pt idx="1855">
                <c:v>0.18857247119503362</c:v>
              </c:pt>
              <c:pt idx="1856">
                <c:v>0.1886973499542191</c:v>
              </c:pt>
              <c:pt idx="1857">
                <c:v>0.1886973499542191</c:v>
              </c:pt>
              <c:pt idx="1858">
                <c:v>0.18882222871340457</c:v>
              </c:pt>
              <c:pt idx="1859">
                <c:v>0.18882222871340457</c:v>
              </c:pt>
              <c:pt idx="1860">
                <c:v>0.18894710747259005</c:v>
              </c:pt>
              <c:pt idx="1861">
                <c:v>0.18894710747259005</c:v>
              </c:pt>
              <c:pt idx="1862">
                <c:v>0.1890719862317755</c:v>
              </c:pt>
              <c:pt idx="1863">
                <c:v>0.1890719862317755</c:v>
              </c:pt>
              <c:pt idx="1864">
                <c:v>0.189196864990961</c:v>
              </c:pt>
              <c:pt idx="1865">
                <c:v>0.189196864990961</c:v>
              </c:pt>
              <c:pt idx="1866">
                <c:v>0.18932174375014646</c:v>
              </c:pt>
              <c:pt idx="1867">
                <c:v>0.18932174375014646</c:v>
              </c:pt>
              <c:pt idx="1868">
                <c:v>0.18944662250933195</c:v>
              </c:pt>
              <c:pt idx="1869">
                <c:v>0.18944662250933195</c:v>
              </c:pt>
              <c:pt idx="1870">
                <c:v>0.1895715012685174</c:v>
              </c:pt>
              <c:pt idx="1871">
                <c:v>0.1895715012685174</c:v>
              </c:pt>
              <c:pt idx="1872">
                <c:v>0.1896963800277029</c:v>
              </c:pt>
              <c:pt idx="1873">
                <c:v>0.1896963800277029</c:v>
              </c:pt>
              <c:pt idx="1874">
                <c:v>0.18982125878688835</c:v>
              </c:pt>
              <c:pt idx="1875">
                <c:v>0.18982125878688835</c:v>
              </c:pt>
              <c:pt idx="1876">
                <c:v>0.18994613754607384</c:v>
              </c:pt>
              <c:pt idx="1877">
                <c:v>0.18994613754607384</c:v>
              </c:pt>
              <c:pt idx="1878">
                <c:v>0.1900710163052593</c:v>
              </c:pt>
              <c:pt idx="1879">
                <c:v>0.1900710163052593</c:v>
              </c:pt>
              <c:pt idx="1880">
                <c:v>0.1901958950644448</c:v>
              </c:pt>
              <c:pt idx="1881">
                <c:v>0.1901958950644448</c:v>
              </c:pt>
              <c:pt idx="1882">
                <c:v>0.19032077382363025</c:v>
              </c:pt>
              <c:pt idx="1883">
                <c:v>0.19032077382363025</c:v>
              </c:pt>
              <c:pt idx="1884">
                <c:v>0.19044565258281573</c:v>
              </c:pt>
              <c:pt idx="1885">
                <c:v>0.19044565258281573</c:v>
              </c:pt>
              <c:pt idx="1886">
                <c:v>0.1905705313420012</c:v>
              </c:pt>
              <c:pt idx="1887">
                <c:v>0.1905705313420012</c:v>
              </c:pt>
              <c:pt idx="1888">
                <c:v>0.19069541010118668</c:v>
              </c:pt>
              <c:pt idx="1889">
                <c:v>0.19069541010118668</c:v>
              </c:pt>
              <c:pt idx="1890">
                <c:v>0.19082028886037214</c:v>
              </c:pt>
              <c:pt idx="1891">
                <c:v>0.19082028886037214</c:v>
              </c:pt>
              <c:pt idx="1892">
                <c:v>0.19094516761955763</c:v>
              </c:pt>
              <c:pt idx="1893">
                <c:v>0.19094516761955763</c:v>
              </c:pt>
              <c:pt idx="1894">
                <c:v>0.19107004637874309</c:v>
              </c:pt>
              <c:pt idx="1895">
                <c:v>0.19107004637874309</c:v>
              </c:pt>
              <c:pt idx="1896">
                <c:v>0.19119492513792857</c:v>
              </c:pt>
              <c:pt idx="1897">
                <c:v>0.19119492513792857</c:v>
              </c:pt>
              <c:pt idx="1898">
                <c:v>0.19131980389711403</c:v>
              </c:pt>
              <c:pt idx="1899">
                <c:v>0.19131980389711403</c:v>
              </c:pt>
              <c:pt idx="1900">
                <c:v>0.19144468265629952</c:v>
              </c:pt>
              <c:pt idx="1901">
                <c:v>0.19144468265629952</c:v>
              </c:pt>
              <c:pt idx="1902">
                <c:v>0.19156956141548498</c:v>
              </c:pt>
              <c:pt idx="1903">
                <c:v>0.19156956141548498</c:v>
              </c:pt>
              <c:pt idx="1904">
                <c:v>0.19169444017467047</c:v>
              </c:pt>
              <c:pt idx="1905">
                <c:v>0.19169444017467047</c:v>
              </c:pt>
              <c:pt idx="1906">
                <c:v>0.19181931893385593</c:v>
              </c:pt>
              <c:pt idx="1907">
                <c:v>0.19181931893385593</c:v>
              </c:pt>
              <c:pt idx="1908">
                <c:v>0.1919441976930414</c:v>
              </c:pt>
              <c:pt idx="1909">
                <c:v>0.1919441976930414</c:v>
              </c:pt>
              <c:pt idx="1910">
                <c:v>0.19206907645222687</c:v>
              </c:pt>
              <c:pt idx="1911">
                <c:v>0.19206907645222687</c:v>
              </c:pt>
              <c:pt idx="1912">
                <c:v>0.19219395521141236</c:v>
              </c:pt>
              <c:pt idx="1913">
                <c:v>0.19219395521141236</c:v>
              </c:pt>
              <c:pt idx="1914">
                <c:v>0.19231883397059782</c:v>
              </c:pt>
              <c:pt idx="1915">
                <c:v>0.19231883397059782</c:v>
              </c:pt>
              <c:pt idx="1916">
                <c:v>0.19244371272978328</c:v>
              </c:pt>
              <c:pt idx="1917">
                <c:v>0.19244371272978328</c:v>
              </c:pt>
              <c:pt idx="1918">
                <c:v>0.19256859148896877</c:v>
              </c:pt>
              <c:pt idx="1919">
                <c:v>0.19256859148896877</c:v>
              </c:pt>
              <c:pt idx="1920">
                <c:v>0.19262211095719112</c:v>
              </c:pt>
              <c:pt idx="1921">
                <c:v>0.19262211095719112</c:v>
              </c:pt>
              <c:pt idx="1922">
                <c:v>0.19262211095719112</c:v>
              </c:pt>
              <c:pt idx="1923">
                <c:v>0.19262211095719112</c:v>
              </c:pt>
              <c:pt idx="1924">
                <c:v>0.19262211095719112</c:v>
              </c:pt>
              <c:pt idx="1925">
                <c:v>0.19262211095719112</c:v>
              </c:pt>
              <c:pt idx="1926">
                <c:v>0.19274698971637658</c:v>
              </c:pt>
              <c:pt idx="1927">
                <c:v>0.19274698971637658</c:v>
              </c:pt>
              <c:pt idx="1928">
                <c:v>0.19287186847556206</c:v>
              </c:pt>
              <c:pt idx="1929">
                <c:v>0.19287186847556206</c:v>
              </c:pt>
              <c:pt idx="1930">
                <c:v>0.19299674723474752</c:v>
              </c:pt>
              <c:pt idx="1931">
                <c:v>0.19299674723474752</c:v>
              </c:pt>
              <c:pt idx="1932">
                <c:v>0.193121625993933</c:v>
              </c:pt>
              <c:pt idx="1933">
                <c:v>0.193121625993933</c:v>
              </c:pt>
              <c:pt idx="1934">
                <c:v>0.19324650475311847</c:v>
              </c:pt>
              <c:pt idx="1935">
                <c:v>0.19324650475311847</c:v>
              </c:pt>
              <c:pt idx="1936">
                <c:v>0.19337138351230396</c:v>
              </c:pt>
              <c:pt idx="1937">
                <c:v>0.19337138351230396</c:v>
              </c:pt>
              <c:pt idx="1938">
                <c:v>0.19349626227148942</c:v>
              </c:pt>
              <c:pt idx="1939">
                <c:v>0.19349626227148942</c:v>
              </c:pt>
              <c:pt idx="1940">
                <c:v>0.1936211410306749</c:v>
              </c:pt>
              <c:pt idx="1941">
                <c:v>0.1936211410306749</c:v>
              </c:pt>
              <c:pt idx="1942">
                <c:v>0.19374601978986036</c:v>
              </c:pt>
              <c:pt idx="1943">
                <c:v>0.19374601978986036</c:v>
              </c:pt>
              <c:pt idx="1944">
                <c:v>0.19387089854904585</c:v>
              </c:pt>
              <c:pt idx="1945">
                <c:v>0.19387089854904585</c:v>
              </c:pt>
              <c:pt idx="1946">
                <c:v>0.1939957773082313</c:v>
              </c:pt>
              <c:pt idx="1947">
                <c:v>0.1939957773082313</c:v>
              </c:pt>
              <c:pt idx="1948">
                <c:v>0.1941206560674168</c:v>
              </c:pt>
              <c:pt idx="1949">
                <c:v>0.1941206560674168</c:v>
              </c:pt>
              <c:pt idx="1950">
                <c:v>0.19424553482660226</c:v>
              </c:pt>
              <c:pt idx="1951">
                <c:v>0.19424553482660226</c:v>
              </c:pt>
              <c:pt idx="1952">
                <c:v>0.19437041358578774</c:v>
              </c:pt>
              <c:pt idx="1953">
                <c:v>0.19437041358578774</c:v>
              </c:pt>
              <c:pt idx="1954">
                <c:v>0.1944952923449732</c:v>
              </c:pt>
              <c:pt idx="1955">
                <c:v>0.1944952923449732</c:v>
              </c:pt>
              <c:pt idx="1956">
                <c:v>0.1946201711041587</c:v>
              </c:pt>
              <c:pt idx="1957">
                <c:v>0.1946201711041587</c:v>
              </c:pt>
              <c:pt idx="1958">
                <c:v>0.19474504986334415</c:v>
              </c:pt>
              <c:pt idx="1959">
                <c:v>0.19474504986334415</c:v>
              </c:pt>
              <c:pt idx="1960">
                <c:v>0.19486992862252964</c:v>
              </c:pt>
              <c:pt idx="1961">
                <c:v>0.19486992862252964</c:v>
              </c:pt>
              <c:pt idx="1962">
                <c:v>0.1949948073817151</c:v>
              </c:pt>
              <c:pt idx="1963">
                <c:v>0.1949948073817151</c:v>
              </c:pt>
              <c:pt idx="1964">
                <c:v>0.19511968614090058</c:v>
              </c:pt>
              <c:pt idx="1965">
                <c:v>0.19511968614090058</c:v>
              </c:pt>
              <c:pt idx="1966">
                <c:v>0.19524456490008604</c:v>
              </c:pt>
              <c:pt idx="1967">
                <c:v>0.19524456490008604</c:v>
              </c:pt>
              <c:pt idx="1968">
                <c:v>0.19536944365927153</c:v>
              </c:pt>
              <c:pt idx="1969">
                <c:v>0.19536944365927153</c:v>
              </c:pt>
              <c:pt idx="1970">
                <c:v>0.195494322418457</c:v>
              </c:pt>
              <c:pt idx="1971">
                <c:v>0.195494322418457</c:v>
              </c:pt>
              <c:pt idx="1972">
                <c:v>0.19561920117764248</c:v>
              </c:pt>
              <c:pt idx="1973">
                <c:v>0.19561920117764248</c:v>
              </c:pt>
              <c:pt idx="1974">
                <c:v>0.19574407993682794</c:v>
              </c:pt>
              <c:pt idx="1975">
                <c:v>0.19574407993682794</c:v>
              </c:pt>
              <c:pt idx="1976">
                <c:v>0.19586895869601342</c:v>
              </c:pt>
              <c:pt idx="1977">
                <c:v>0.19586895869601342</c:v>
              </c:pt>
              <c:pt idx="1978">
                <c:v>0.19599383745519888</c:v>
              </c:pt>
              <c:pt idx="1979">
                <c:v>0.19599383745519888</c:v>
              </c:pt>
              <c:pt idx="1980">
                <c:v>0.19611871621438437</c:v>
              </c:pt>
              <c:pt idx="1981">
                <c:v>0.19611871621438437</c:v>
              </c:pt>
              <c:pt idx="1982">
                <c:v>0.19624359497356983</c:v>
              </c:pt>
              <c:pt idx="1983">
                <c:v>0.19624359497356983</c:v>
              </c:pt>
              <c:pt idx="1984">
                <c:v>0.19636847373275532</c:v>
              </c:pt>
              <c:pt idx="1985">
                <c:v>0.19636847373275532</c:v>
              </c:pt>
              <c:pt idx="1986">
                <c:v>0.19649335249194078</c:v>
              </c:pt>
              <c:pt idx="1987">
                <c:v>0.19649335249194078</c:v>
              </c:pt>
              <c:pt idx="1988">
                <c:v>0.19661823125112626</c:v>
              </c:pt>
              <c:pt idx="1989">
                <c:v>0.19661823125112626</c:v>
              </c:pt>
              <c:pt idx="1990">
                <c:v>0.19674311001031172</c:v>
              </c:pt>
              <c:pt idx="1991">
                <c:v>0.19674311001031172</c:v>
              </c:pt>
              <c:pt idx="1992">
                <c:v>0.1968679887694972</c:v>
              </c:pt>
              <c:pt idx="1993">
                <c:v>0.1968679887694972</c:v>
              </c:pt>
              <c:pt idx="1994">
                <c:v>0.19699286752868267</c:v>
              </c:pt>
              <c:pt idx="1995">
                <c:v>0.19699286752868267</c:v>
              </c:pt>
              <c:pt idx="1996">
                <c:v>0.19711774628786816</c:v>
              </c:pt>
              <c:pt idx="1997">
                <c:v>0.19711774628786816</c:v>
              </c:pt>
              <c:pt idx="1998">
                <c:v>0.19724262504705362</c:v>
              </c:pt>
              <c:pt idx="1999">
                <c:v>0.19724262504705362</c:v>
              </c:pt>
              <c:pt idx="2000">
                <c:v>0.1973675038062391</c:v>
              </c:pt>
              <c:pt idx="2001">
                <c:v>0.1973675038062391</c:v>
              </c:pt>
              <c:pt idx="2002">
                <c:v>0.19749238256542456</c:v>
              </c:pt>
              <c:pt idx="2003">
                <c:v>0.19749238256542456</c:v>
              </c:pt>
              <c:pt idx="2004">
                <c:v>0.19761726132461005</c:v>
              </c:pt>
              <c:pt idx="2005">
                <c:v>0.19761726132461005</c:v>
              </c:pt>
              <c:pt idx="2006">
                <c:v>0.1977421400837955</c:v>
              </c:pt>
              <c:pt idx="2007">
                <c:v>0.1977421400837955</c:v>
              </c:pt>
              <c:pt idx="2008">
                <c:v>0.197867018842981</c:v>
              </c:pt>
              <c:pt idx="2009">
                <c:v>0.197867018842981</c:v>
              </c:pt>
              <c:pt idx="2010">
                <c:v>0.19799189760216646</c:v>
              </c:pt>
              <c:pt idx="2011">
                <c:v>0.19799189760216646</c:v>
              </c:pt>
              <c:pt idx="2012">
                <c:v>0.19811677636135194</c:v>
              </c:pt>
              <c:pt idx="2013">
                <c:v>0.19811677636135194</c:v>
              </c:pt>
              <c:pt idx="2014">
                <c:v>0.1982416551205374</c:v>
              </c:pt>
              <c:pt idx="2015">
                <c:v>0.1982416551205374</c:v>
              </c:pt>
              <c:pt idx="2016">
                <c:v>0.1983665338797229</c:v>
              </c:pt>
              <c:pt idx="2017">
                <c:v>0.1983665338797229</c:v>
              </c:pt>
              <c:pt idx="2018">
                <c:v>0.19849141263890835</c:v>
              </c:pt>
              <c:pt idx="2019">
                <c:v>0.19849141263890835</c:v>
              </c:pt>
              <c:pt idx="2020">
                <c:v>0.19861629139809384</c:v>
              </c:pt>
              <c:pt idx="2021">
                <c:v>0.19861629139809384</c:v>
              </c:pt>
              <c:pt idx="2022">
                <c:v>0.1987411701572793</c:v>
              </c:pt>
              <c:pt idx="2023">
                <c:v>0.1987411701572793</c:v>
              </c:pt>
              <c:pt idx="2024">
                <c:v>0.19886604891646478</c:v>
              </c:pt>
              <c:pt idx="2025">
                <c:v>0.19886604891646478</c:v>
              </c:pt>
              <c:pt idx="2026">
                <c:v>0.19899092767565024</c:v>
              </c:pt>
              <c:pt idx="2027">
                <c:v>0.19899092767565024</c:v>
              </c:pt>
              <c:pt idx="2028">
                <c:v>0.19911580643483573</c:v>
              </c:pt>
              <c:pt idx="2029">
                <c:v>0.19911580643483573</c:v>
              </c:pt>
              <c:pt idx="2030">
                <c:v>0.1992406851940212</c:v>
              </c:pt>
              <c:pt idx="2031">
                <c:v>0.1992406851940212</c:v>
              </c:pt>
              <c:pt idx="2032">
                <c:v>0.19936556395320668</c:v>
              </c:pt>
              <c:pt idx="2033">
                <c:v>0.19936556395320668</c:v>
              </c:pt>
              <c:pt idx="2034">
                <c:v>0.19949044271239214</c:v>
              </c:pt>
              <c:pt idx="2035">
                <c:v>0.19949044271239214</c:v>
              </c:pt>
              <c:pt idx="2036">
                <c:v>0.19961532147157762</c:v>
              </c:pt>
              <c:pt idx="2037">
                <c:v>0.19961532147157762</c:v>
              </c:pt>
              <c:pt idx="2038">
                <c:v>0.19974020023076308</c:v>
              </c:pt>
              <c:pt idx="2039">
                <c:v>0.19974020023076308</c:v>
              </c:pt>
              <c:pt idx="2040">
                <c:v>0.19986507898994857</c:v>
              </c:pt>
              <c:pt idx="2041">
                <c:v>0.19986507898994857</c:v>
              </c:pt>
              <c:pt idx="2042">
                <c:v>0.19998995774913403</c:v>
              </c:pt>
              <c:pt idx="2043">
                <c:v>0.19998995774913403</c:v>
              </c:pt>
              <c:pt idx="2044">
                <c:v>0.20011483650831952</c:v>
              </c:pt>
              <c:pt idx="2045">
                <c:v>0.20011483650831952</c:v>
              </c:pt>
              <c:pt idx="2046">
                <c:v>0.20023971526750498</c:v>
              </c:pt>
              <c:pt idx="2047">
                <c:v>0.20023971526750498</c:v>
              </c:pt>
              <c:pt idx="2048">
                <c:v>0.20036459402669046</c:v>
              </c:pt>
              <c:pt idx="2049">
                <c:v>0.20036459402669046</c:v>
              </c:pt>
              <c:pt idx="2050">
                <c:v>0.20048947278587592</c:v>
              </c:pt>
              <c:pt idx="2051">
                <c:v>0.20048947278587592</c:v>
              </c:pt>
              <c:pt idx="2052">
                <c:v>0.2006143515450614</c:v>
              </c:pt>
              <c:pt idx="2053">
                <c:v>0.2006143515450614</c:v>
              </c:pt>
              <c:pt idx="2054">
                <c:v>0.20073923030424687</c:v>
              </c:pt>
              <c:pt idx="2055">
                <c:v>0.20073923030424687</c:v>
              </c:pt>
              <c:pt idx="2056">
                <c:v>0.20086410906343236</c:v>
              </c:pt>
              <c:pt idx="2057">
                <c:v>0.20086410906343236</c:v>
              </c:pt>
              <c:pt idx="2058">
                <c:v>0.20098898782261782</c:v>
              </c:pt>
              <c:pt idx="2059">
                <c:v>0.20098898782261782</c:v>
              </c:pt>
              <c:pt idx="2060">
                <c:v>0.2011138665818033</c:v>
              </c:pt>
              <c:pt idx="2061">
                <c:v>0.2011138665818033</c:v>
              </c:pt>
              <c:pt idx="2062">
                <c:v>0.20123874534098876</c:v>
              </c:pt>
              <c:pt idx="2063">
                <c:v>0.20123874534098876</c:v>
              </c:pt>
              <c:pt idx="2064">
                <c:v>0.20136362410017422</c:v>
              </c:pt>
              <c:pt idx="2065">
                <c:v>0.20136362410017422</c:v>
              </c:pt>
              <c:pt idx="2066">
                <c:v>0.2014885028593597</c:v>
              </c:pt>
              <c:pt idx="2067">
                <c:v>0.2014885028593597</c:v>
              </c:pt>
              <c:pt idx="2068">
                <c:v>0.20154202232758203</c:v>
              </c:pt>
              <c:pt idx="2069">
                <c:v>0.20154202232758203</c:v>
              </c:pt>
              <c:pt idx="2070">
                <c:v>0.20154202232758203</c:v>
              </c:pt>
              <c:pt idx="2071">
                <c:v>0.20154202232758203</c:v>
              </c:pt>
              <c:pt idx="2072">
                <c:v>0.20154202232758203</c:v>
              </c:pt>
              <c:pt idx="2073">
                <c:v>0.20154202232758203</c:v>
              </c:pt>
              <c:pt idx="2074">
                <c:v>0.2016669010867675</c:v>
              </c:pt>
              <c:pt idx="2075">
                <c:v>0.2016669010867675</c:v>
              </c:pt>
              <c:pt idx="2076">
                <c:v>0.20179177984595298</c:v>
              </c:pt>
              <c:pt idx="2077">
                <c:v>0.20179177984595298</c:v>
              </c:pt>
              <c:pt idx="2078">
                <c:v>0.20191665860513844</c:v>
              </c:pt>
              <c:pt idx="2079">
                <c:v>0.20191665860513844</c:v>
              </c:pt>
              <c:pt idx="2080">
                <c:v>0.20204153736432393</c:v>
              </c:pt>
              <c:pt idx="2081">
                <c:v>0.20204153736432393</c:v>
              </c:pt>
              <c:pt idx="2082">
                <c:v>0.20216641612350938</c:v>
              </c:pt>
              <c:pt idx="2083">
                <c:v>0.20216641612350938</c:v>
              </c:pt>
              <c:pt idx="2084">
                <c:v>0.20229129488269487</c:v>
              </c:pt>
              <c:pt idx="2085">
                <c:v>0.20229129488269487</c:v>
              </c:pt>
              <c:pt idx="2086">
                <c:v>0.20241617364188033</c:v>
              </c:pt>
              <c:pt idx="2087">
                <c:v>0.20241617364188033</c:v>
              </c:pt>
              <c:pt idx="2088">
                <c:v>0.20254105240106582</c:v>
              </c:pt>
              <c:pt idx="2089">
                <c:v>0.20254105240106582</c:v>
              </c:pt>
              <c:pt idx="2090">
                <c:v>0.20266593116025128</c:v>
              </c:pt>
              <c:pt idx="2091">
                <c:v>0.20266593116025128</c:v>
              </c:pt>
              <c:pt idx="2092">
                <c:v>0.20279080991943677</c:v>
              </c:pt>
              <c:pt idx="2093">
                <c:v>0.20279080991943677</c:v>
              </c:pt>
              <c:pt idx="2094">
                <c:v>0.20291568867862222</c:v>
              </c:pt>
              <c:pt idx="2095">
                <c:v>0.20291568867862222</c:v>
              </c:pt>
              <c:pt idx="2096">
                <c:v>0.2030405674378077</c:v>
              </c:pt>
              <c:pt idx="2097">
                <c:v>0.2030405674378077</c:v>
              </c:pt>
              <c:pt idx="2098">
                <c:v>0.20316544619699317</c:v>
              </c:pt>
              <c:pt idx="2099">
                <c:v>0.20316544619699317</c:v>
              </c:pt>
              <c:pt idx="2100">
                <c:v>0.20329032495617866</c:v>
              </c:pt>
              <c:pt idx="2101">
                <c:v>0.20329032495617866</c:v>
              </c:pt>
              <c:pt idx="2102">
                <c:v>0.20341520371536412</c:v>
              </c:pt>
              <c:pt idx="2103">
                <c:v>0.20341520371536412</c:v>
              </c:pt>
              <c:pt idx="2104">
                <c:v>0.2035400824745496</c:v>
              </c:pt>
              <c:pt idx="2105">
                <c:v>0.2035400824745496</c:v>
              </c:pt>
              <c:pt idx="2106">
                <c:v>0.20366496123373506</c:v>
              </c:pt>
              <c:pt idx="2107">
                <c:v>0.20366496123373506</c:v>
              </c:pt>
              <c:pt idx="2108">
                <c:v>0.20378983999292055</c:v>
              </c:pt>
              <c:pt idx="2109">
                <c:v>0.20378983999292055</c:v>
              </c:pt>
              <c:pt idx="2110">
                <c:v>0.203914718752106</c:v>
              </c:pt>
              <c:pt idx="2111">
                <c:v>0.203914718752106</c:v>
              </c:pt>
              <c:pt idx="2112">
                <c:v>0.2040395975112915</c:v>
              </c:pt>
              <c:pt idx="2113">
                <c:v>0.2040395975112915</c:v>
              </c:pt>
              <c:pt idx="2114">
                <c:v>0.20416447627047696</c:v>
              </c:pt>
              <c:pt idx="2115">
                <c:v>0.20416447627047696</c:v>
              </c:pt>
              <c:pt idx="2116">
                <c:v>0.20428935502966244</c:v>
              </c:pt>
              <c:pt idx="2117">
                <c:v>0.20428935502966244</c:v>
              </c:pt>
              <c:pt idx="2118">
                <c:v>0.2044142337888479</c:v>
              </c:pt>
              <c:pt idx="2119">
                <c:v>0.2044142337888479</c:v>
              </c:pt>
              <c:pt idx="2120">
                <c:v>0.2045391125480334</c:v>
              </c:pt>
              <c:pt idx="2121">
                <c:v>0.2045391125480334</c:v>
              </c:pt>
              <c:pt idx="2122">
                <c:v>0.20466399130721885</c:v>
              </c:pt>
              <c:pt idx="2123">
                <c:v>0.20466399130721885</c:v>
              </c:pt>
              <c:pt idx="2124">
                <c:v>0.20478887006640434</c:v>
              </c:pt>
              <c:pt idx="2125">
                <c:v>0.20478887006640434</c:v>
              </c:pt>
              <c:pt idx="2126">
                <c:v>0.2049137488255898</c:v>
              </c:pt>
              <c:pt idx="2127">
                <c:v>0.2049137488255898</c:v>
              </c:pt>
              <c:pt idx="2128">
                <c:v>0.20503862758477528</c:v>
              </c:pt>
              <c:pt idx="2129">
                <c:v>0.20503862758477528</c:v>
              </c:pt>
              <c:pt idx="2130">
                <c:v>0.20516350634396074</c:v>
              </c:pt>
              <c:pt idx="2131">
                <c:v>0.20516350634396074</c:v>
              </c:pt>
              <c:pt idx="2132">
                <c:v>0.20528838510314623</c:v>
              </c:pt>
              <c:pt idx="2133">
                <c:v>0.20528838510314623</c:v>
              </c:pt>
              <c:pt idx="2134">
                <c:v>0.2054132638623317</c:v>
              </c:pt>
              <c:pt idx="2135">
                <c:v>0.2054132638623317</c:v>
              </c:pt>
              <c:pt idx="2136">
                <c:v>0.20553814262151718</c:v>
              </c:pt>
              <c:pt idx="2137">
                <c:v>0.20553814262151718</c:v>
              </c:pt>
              <c:pt idx="2138">
                <c:v>0.20566302138070264</c:v>
              </c:pt>
              <c:pt idx="2139">
                <c:v>0.20566302138070264</c:v>
              </c:pt>
              <c:pt idx="2140">
                <c:v>0.20578790013988812</c:v>
              </c:pt>
              <c:pt idx="2141">
                <c:v>0.20578790013988812</c:v>
              </c:pt>
              <c:pt idx="2142">
                <c:v>0.20591277889907358</c:v>
              </c:pt>
              <c:pt idx="2143">
                <c:v>0.20591277889907358</c:v>
              </c:pt>
              <c:pt idx="2144">
                <c:v>0.20603765765825907</c:v>
              </c:pt>
              <c:pt idx="2145">
                <c:v>0.20603765765825907</c:v>
              </c:pt>
              <c:pt idx="2146">
                <c:v>0.20616253641744453</c:v>
              </c:pt>
              <c:pt idx="2147">
                <c:v>0.20616253641744453</c:v>
              </c:pt>
              <c:pt idx="2148">
                <c:v>0.20628741517663002</c:v>
              </c:pt>
              <c:pt idx="2149">
                <c:v>0.20628741517663002</c:v>
              </c:pt>
              <c:pt idx="2150">
                <c:v>0.20641229393581548</c:v>
              </c:pt>
              <c:pt idx="2151">
                <c:v>0.20641229393581548</c:v>
              </c:pt>
              <c:pt idx="2152">
                <c:v>0.20653717269500096</c:v>
              </c:pt>
              <c:pt idx="2153">
                <c:v>0.20653717269500096</c:v>
              </c:pt>
              <c:pt idx="2154">
                <c:v>0.20666205145418642</c:v>
              </c:pt>
              <c:pt idx="2155">
                <c:v>0.20666205145418642</c:v>
              </c:pt>
              <c:pt idx="2156">
                <c:v>0.2067869302133719</c:v>
              </c:pt>
              <c:pt idx="2157">
                <c:v>0.2067869302133719</c:v>
              </c:pt>
              <c:pt idx="2158">
                <c:v>0.20691180897255737</c:v>
              </c:pt>
              <c:pt idx="2159">
                <c:v>0.20691180897255737</c:v>
              </c:pt>
              <c:pt idx="2160">
                <c:v>0.20703668773174286</c:v>
              </c:pt>
              <c:pt idx="2161">
                <c:v>0.20703668773174286</c:v>
              </c:pt>
              <c:pt idx="2162">
                <c:v>0.20716156649092832</c:v>
              </c:pt>
              <c:pt idx="2163">
                <c:v>0.20716156649092832</c:v>
              </c:pt>
              <c:pt idx="2164">
                <c:v>0.2072864452501138</c:v>
              </c:pt>
              <c:pt idx="2165">
                <c:v>0.2072864452501138</c:v>
              </c:pt>
              <c:pt idx="2166">
                <c:v>0.20741132400929926</c:v>
              </c:pt>
              <c:pt idx="2167">
                <c:v>0.20741132400929926</c:v>
              </c:pt>
              <c:pt idx="2168">
                <c:v>0.20753620276848475</c:v>
              </c:pt>
              <c:pt idx="2169">
                <c:v>0.20753620276848475</c:v>
              </c:pt>
              <c:pt idx="2170">
                <c:v>0.2076610815276702</c:v>
              </c:pt>
              <c:pt idx="2171">
                <c:v>0.2076610815276702</c:v>
              </c:pt>
              <c:pt idx="2172">
                <c:v>0.2077859602868557</c:v>
              </c:pt>
              <c:pt idx="2173">
                <c:v>0.2077859602868557</c:v>
              </c:pt>
              <c:pt idx="2174">
                <c:v>0.20791083904604116</c:v>
              </c:pt>
              <c:pt idx="2175">
                <c:v>0.20791083904604116</c:v>
              </c:pt>
              <c:pt idx="2176">
                <c:v>0.20803571780522664</c:v>
              </c:pt>
              <c:pt idx="2177">
                <c:v>0.20803571780522664</c:v>
              </c:pt>
              <c:pt idx="2178">
                <c:v>0.2081605965644121</c:v>
              </c:pt>
              <c:pt idx="2179">
                <c:v>0.2081605965644121</c:v>
              </c:pt>
              <c:pt idx="2180">
                <c:v>0.2082854753235976</c:v>
              </c:pt>
              <c:pt idx="2181">
                <c:v>0.2082854753235976</c:v>
              </c:pt>
              <c:pt idx="2182">
                <c:v>0.20841035408278305</c:v>
              </c:pt>
              <c:pt idx="2183">
                <c:v>0.20841035408278305</c:v>
              </c:pt>
              <c:pt idx="2184">
                <c:v>0.20853523284196854</c:v>
              </c:pt>
              <c:pt idx="2185">
                <c:v>0.20853523284196854</c:v>
              </c:pt>
              <c:pt idx="2186">
                <c:v>0.208660111601154</c:v>
              </c:pt>
              <c:pt idx="2187">
                <c:v>0.208660111601154</c:v>
              </c:pt>
              <c:pt idx="2188">
                <c:v>0.20878499036033948</c:v>
              </c:pt>
              <c:pt idx="2189">
                <c:v>0.20878499036033948</c:v>
              </c:pt>
              <c:pt idx="2190">
                <c:v>0.20890986911952494</c:v>
              </c:pt>
              <c:pt idx="2191">
                <c:v>0.20890986911952494</c:v>
              </c:pt>
              <c:pt idx="2192">
                <c:v>0.20903474787871043</c:v>
              </c:pt>
              <c:pt idx="2193">
                <c:v>0.20903474787871043</c:v>
              </c:pt>
              <c:pt idx="2194">
                <c:v>0.2091596266378959</c:v>
              </c:pt>
              <c:pt idx="2195">
                <c:v>0.2091596266378959</c:v>
              </c:pt>
              <c:pt idx="2196">
                <c:v>0.20928450539708138</c:v>
              </c:pt>
              <c:pt idx="2197">
                <c:v>0.20928450539708138</c:v>
              </c:pt>
              <c:pt idx="2198">
                <c:v>0.20940938415626684</c:v>
              </c:pt>
              <c:pt idx="2199">
                <c:v>0.20940938415626684</c:v>
              </c:pt>
              <c:pt idx="2200">
                <c:v>0.20953426291545232</c:v>
              </c:pt>
              <c:pt idx="2201">
                <c:v>0.20953426291545232</c:v>
              </c:pt>
              <c:pt idx="2202">
                <c:v>0.20965914167463778</c:v>
              </c:pt>
              <c:pt idx="2203">
                <c:v>0.20965914167463778</c:v>
              </c:pt>
              <c:pt idx="2204">
                <c:v>0.20978402043382327</c:v>
              </c:pt>
              <c:pt idx="2205">
                <c:v>0.20978402043382327</c:v>
              </c:pt>
              <c:pt idx="2206">
                <c:v>0.20990889919300873</c:v>
              </c:pt>
              <c:pt idx="2207">
                <c:v>0.20990889919300873</c:v>
              </c:pt>
              <c:pt idx="2208">
                <c:v>0.21003377795219422</c:v>
              </c:pt>
              <c:pt idx="2209">
                <c:v>0.21003377795219422</c:v>
              </c:pt>
              <c:pt idx="2210">
                <c:v>0.21015865671137968</c:v>
              </c:pt>
              <c:pt idx="2211">
                <c:v>0.21015865671137968</c:v>
              </c:pt>
              <c:pt idx="2212">
                <c:v>0.21028353547056516</c:v>
              </c:pt>
              <c:pt idx="2213">
                <c:v>0.21028353547056516</c:v>
              </c:pt>
              <c:pt idx="2214">
                <c:v>0.21040841422975062</c:v>
              </c:pt>
              <c:pt idx="2215">
                <c:v>0.21040841422975062</c:v>
              </c:pt>
              <c:pt idx="2216">
                <c:v>0.21046193369797297</c:v>
              </c:pt>
              <c:pt idx="2217">
                <c:v>0.21046193369797297</c:v>
              </c:pt>
              <c:pt idx="2218">
                <c:v>0.21046193369797297</c:v>
              </c:pt>
              <c:pt idx="2219">
                <c:v>0.21046193369797297</c:v>
              </c:pt>
              <c:pt idx="2220">
                <c:v>0.21046193369797297</c:v>
              </c:pt>
              <c:pt idx="2221">
                <c:v>0.21046193369797297</c:v>
              </c:pt>
              <c:pt idx="2222">
                <c:v>0.21058681245715843</c:v>
              </c:pt>
              <c:pt idx="2223">
                <c:v>0.21058681245715843</c:v>
              </c:pt>
              <c:pt idx="2224">
                <c:v>0.21071169121634392</c:v>
              </c:pt>
              <c:pt idx="2225">
                <c:v>0.21071169121634392</c:v>
              </c:pt>
              <c:pt idx="2226">
                <c:v>0.21083656997552938</c:v>
              </c:pt>
              <c:pt idx="2227">
                <c:v>0.21083656997552938</c:v>
              </c:pt>
              <c:pt idx="2228">
                <c:v>0.21096144873471487</c:v>
              </c:pt>
              <c:pt idx="2229">
                <c:v>0.21096144873471487</c:v>
              </c:pt>
              <c:pt idx="2230">
                <c:v>0.21108632749390033</c:v>
              </c:pt>
              <c:pt idx="2231">
                <c:v>0.21108632749390033</c:v>
              </c:pt>
              <c:pt idx="2232">
                <c:v>0.21121120625308581</c:v>
              </c:pt>
              <c:pt idx="2233">
                <c:v>0.21121120625308581</c:v>
              </c:pt>
              <c:pt idx="2234">
                <c:v>0.21133608501227127</c:v>
              </c:pt>
              <c:pt idx="2235">
                <c:v>0.21133608501227127</c:v>
              </c:pt>
              <c:pt idx="2236">
                <c:v>0.21146096377145676</c:v>
              </c:pt>
              <c:pt idx="2237">
                <c:v>0.21146096377145676</c:v>
              </c:pt>
              <c:pt idx="2238">
                <c:v>0.21158584253064222</c:v>
              </c:pt>
              <c:pt idx="2239">
                <c:v>0.21158584253064222</c:v>
              </c:pt>
              <c:pt idx="2240">
                <c:v>0.2117107212898277</c:v>
              </c:pt>
              <c:pt idx="2241">
                <c:v>0.2117107212898277</c:v>
              </c:pt>
              <c:pt idx="2242">
                <c:v>0.21183560004901317</c:v>
              </c:pt>
              <c:pt idx="2243">
                <c:v>0.21183560004901317</c:v>
              </c:pt>
              <c:pt idx="2244">
                <c:v>0.21196047880819865</c:v>
              </c:pt>
              <c:pt idx="2245">
                <c:v>0.21196047880819865</c:v>
              </c:pt>
              <c:pt idx="2246">
                <c:v>0.21208535756738411</c:v>
              </c:pt>
              <c:pt idx="2247">
                <c:v>0.21208535756738411</c:v>
              </c:pt>
              <c:pt idx="2248">
                <c:v>0.2122102363265696</c:v>
              </c:pt>
              <c:pt idx="2249">
                <c:v>0.2122102363265696</c:v>
              </c:pt>
              <c:pt idx="2250">
                <c:v>0.21233511508575506</c:v>
              </c:pt>
              <c:pt idx="2251">
                <c:v>0.21233511508575506</c:v>
              </c:pt>
              <c:pt idx="2252">
                <c:v>0.21245999384494055</c:v>
              </c:pt>
              <c:pt idx="2253">
                <c:v>0.21245999384494055</c:v>
              </c:pt>
              <c:pt idx="2254">
                <c:v>0.212584872604126</c:v>
              </c:pt>
              <c:pt idx="2255">
                <c:v>0.212584872604126</c:v>
              </c:pt>
              <c:pt idx="2256">
                <c:v>0.2127097513633115</c:v>
              </c:pt>
              <c:pt idx="2257">
                <c:v>0.2127097513633115</c:v>
              </c:pt>
              <c:pt idx="2258">
                <c:v>0.21283463012249695</c:v>
              </c:pt>
              <c:pt idx="2259">
                <c:v>0.21283463012249695</c:v>
              </c:pt>
              <c:pt idx="2260">
                <c:v>0.21295950888168244</c:v>
              </c:pt>
              <c:pt idx="2261">
                <c:v>0.21295950888168244</c:v>
              </c:pt>
              <c:pt idx="2262">
                <c:v>0.2130843876408679</c:v>
              </c:pt>
              <c:pt idx="2263">
                <c:v>0.2130843876408679</c:v>
              </c:pt>
              <c:pt idx="2264">
                <c:v>0.2132092664000534</c:v>
              </c:pt>
              <c:pt idx="2265">
                <c:v>0.2132092664000534</c:v>
              </c:pt>
              <c:pt idx="2266">
                <c:v>0.21333414515923885</c:v>
              </c:pt>
              <c:pt idx="2267">
                <c:v>0.21333414515923885</c:v>
              </c:pt>
              <c:pt idx="2268">
                <c:v>0.21345902391842433</c:v>
              </c:pt>
              <c:pt idx="2269">
                <c:v>0.21345902391842433</c:v>
              </c:pt>
              <c:pt idx="2270">
                <c:v>0.2135839026776098</c:v>
              </c:pt>
              <c:pt idx="2271">
                <c:v>0.2135839026776098</c:v>
              </c:pt>
              <c:pt idx="2272">
                <c:v>0.21370878143679528</c:v>
              </c:pt>
              <c:pt idx="2273">
                <c:v>0.21370878143679528</c:v>
              </c:pt>
              <c:pt idx="2274">
                <c:v>0.21383366019598074</c:v>
              </c:pt>
              <c:pt idx="2275">
                <c:v>0.21383366019598074</c:v>
              </c:pt>
              <c:pt idx="2276">
                <c:v>0.21395853895516623</c:v>
              </c:pt>
              <c:pt idx="2277">
                <c:v>0.21395853895516623</c:v>
              </c:pt>
              <c:pt idx="2278">
                <c:v>0.2140834177143517</c:v>
              </c:pt>
              <c:pt idx="2279">
                <c:v>0.2140834177143517</c:v>
              </c:pt>
              <c:pt idx="2280">
                <c:v>0.21420829647353717</c:v>
              </c:pt>
              <c:pt idx="2281">
                <c:v>0.21420829647353717</c:v>
              </c:pt>
              <c:pt idx="2282">
                <c:v>0.21433317523272263</c:v>
              </c:pt>
              <c:pt idx="2283">
                <c:v>0.21433317523272263</c:v>
              </c:pt>
              <c:pt idx="2284">
                <c:v>0.21445805399190812</c:v>
              </c:pt>
              <c:pt idx="2285">
                <c:v>0.21445805399190812</c:v>
              </c:pt>
              <c:pt idx="2286">
                <c:v>0.21458293275109358</c:v>
              </c:pt>
              <c:pt idx="2287">
                <c:v>0.21458293275109358</c:v>
              </c:pt>
              <c:pt idx="2288">
                <c:v>0.21470781151027907</c:v>
              </c:pt>
              <c:pt idx="2289">
                <c:v>0.21470781151027907</c:v>
              </c:pt>
              <c:pt idx="2290">
                <c:v>0.21483269026946453</c:v>
              </c:pt>
              <c:pt idx="2291">
                <c:v>0.21483269026946453</c:v>
              </c:pt>
              <c:pt idx="2292">
                <c:v>0.21495756902865001</c:v>
              </c:pt>
              <c:pt idx="2293">
                <c:v>0.21495756902865001</c:v>
              </c:pt>
              <c:pt idx="2294">
                <c:v>0.21508244778783547</c:v>
              </c:pt>
              <c:pt idx="2295">
                <c:v>0.21508244778783547</c:v>
              </c:pt>
              <c:pt idx="2296">
                <c:v>0.21520732654702096</c:v>
              </c:pt>
              <c:pt idx="2297">
                <c:v>0.21520732654702096</c:v>
              </c:pt>
              <c:pt idx="2298">
                <c:v>0.21533220530620642</c:v>
              </c:pt>
              <c:pt idx="2299">
                <c:v>0.21533220530620642</c:v>
              </c:pt>
              <c:pt idx="2300">
                <c:v>0.2154570840653919</c:v>
              </c:pt>
              <c:pt idx="2301">
                <c:v>0.2154570840653919</c:v>
              </c:pt>
              <c:pt idx="2302">
                <c:v>0.21558196282457737</c:v>
              </c:pt>
              <c:pt idx="2303">
                <c:v>0.21558196282457737</c:v>
              </c:pt>
              <c:pt idx="2304">
                <c:v>0.21570684158376285</c:v>
              </c:pt>
              <c:pt idx="2305">
                <c:v>0.21570684158376285</c:v>
              </c:pt>
              <c:pt idx="2306">
                <c:v>0.2158317203429483</c:v>
              </c:pt>
              <c:pt idx="2307">
                <c:v>0.2158317203429483</c:v>
              </c:pt>
              <c:pt idx="2308">
                <c:v>0.2159565991021338</c:v>
              </c:pt>
              <c:pt idx="2309">
                <c:v>0.2159565991021338</c:v>
              </c:pt>
              <c:pt idx="2310">
                <c:v>0.21608147786131926</c:v>
              </c:pt>
              <c:pt idx="2311">
                <c:v>0.21608147786131926</c:v>
              </c:pt>
              <c:pt idx="2312">
                <c:v>0.21620635662050475</c:v>
              </c:pt>
              <c:pt idx="2313">
                <c:v>0.21620635662050475</c:v>
              </c:pt>
              <c:pt idx="2314">
                <c:v>0.2163312353796902</c:v>
              </c:pt>
              <c:pt idx="2315">
                <c:v>0.2163312353796902</c:v>
              </c:pt>
              <c:pt idx="2316">
                <c:v>0.2164561141388757</c:v>
              </c:pt>
              <c:pt idx="2317">
                <c:v>0.2164561141388757</c:v>
              </c:pt>
              <c:pt idx="2318">
                <c:v>0.21658099289806115</c:v>
              </c:pt>
              <c:pt idx="2319">
                <c:v>0.21658099289806115</c:v>
              </c:pt>
              <c:pt idx="2320">
                <c:v>0.21670587165724664</c:v>
              </c:pt>
              <c:pt idx="2321">
                <c:v>0.21670587165724664</c:v>
              </c:pt>
              <c:pt idx="2322">
                <c:v>0.2168307504164321</c:v>
              </c:pt>
              <c:pt idx="2323">
                <c:v>0.2168307504164321</c:v>
              </c:pt>
              <c:pt idx="2324">
                <c:v>0.2169556291756176</c:v>
              </c:pt>
              <c:pt idx="2325">
                <c:v>0.2169556291756176</c:v>
              </c:pt>
              <c:pt idx="2326">
                <c:v>0.21708050793480305</c:v>
              </c:pt>
              <c:pt idx="2327">
                <c:v>0.21708050793480305</c:v>
              </c:pt>
              <c:pt idx="2328">
                <c:v>0.21720538669398853</c:v>
              </c:pt>
              <c:pt idx="2329">
                <c:v>0.21720538669398853</c:v>
              </c:pt>
              <c:pt idx="2330">
                <c:v>0.217330265453174</c:v>
              </c:pt>
              <c:pt idx="2331">
                <c:v>0.217330265453174</c:v>
              </c:pt>
              <c:pt idx="2332">
                <c:v>0.21745514421235948</c:v>
              </c:pt>
              <c:pt idx="2333">
                <c:v>0.21745514421235948</c:v>
              </c:pt>
              <c:pt idx="2334">
                <c:v>0.21758002297154494</c:v>
              </c:pt>
              <c:pt idx="2335">
                <c:v>0.21758002297154494</c:v>
              </c:pt>
              <c:pt idx="2336">
                <c:v>0.21770490173073043</c:v>
              </c:pt>
              <c:pt idx="2337">
                <c:v>0.21770490173073043</c:v>
              </c:pt>
              <c:pt idx="2338">
                <c:v>0.2178297804899159</c:v>
              </c:pt>
              <c:pt idx="2339">
                <c:v>0.2178297804899159</c:v>
              </c:pt>
              <c:pt idx="2340">
                <c:v>0.21795465924910137</c:v>
              </c:pt>
              <c:pt idx="2341">
                <c:v>0.21795465924910137</c:v>
              </c:pt>
              <c:pt idx="2342">
                <c:v>0.21807953800828683</c:v>
              </c:pt>
              <c:pt idx="2343">
                <c:v>0.21807953800828683</c:v>
              </c:pt>
              <c:pt idx="2344">
                <c:v>0.21820441676747232</c:v>
              </c:pt>
              <c:pt idx="2345">
                <c:v>0.21820441676747232</c:v>
              </c:pt>
              <c:pt idx="2346">
                <c:v>0.21832929552665778</c:v>
              </c:pt>
              <c:pt idx="2347">
                <c:v>0.21832929552665778</c:v>
              </c:pt>
              <c:pt idx="2348">
                <c:v>0.21845417428584327</c:v>
              </c:pt>
              <c:pt idx="2349">
                <c:v>0.21845417428584327</c:v>
              </c:pt>
              <c:pt idx="2350">
                <c:v>0.21857905304502873</c:v>
              </c:pt>
              <c:pt idx="2351">
                <c:v>0.21857905304502873</c:v>
              </c:pt>
              <c:pt idx="2352">
                <c:v>0.2187039318042142</c:v>
              </c:pt>
              <c:pt idx="2353">
                <c:v>0.2187039318042142</c:v>
              </c:pt>
              <c:pt idx="2354">
                <c:v>0.21882881056339967</c:v>
              </c:pt>
              <c:pt idx="2355">
                <c:v>0.21882881056339967</c:v>
              </c:pt>
              <c:pt idx="2356">
                <c:v>0.21895368932258516</c:v>
              </c:pt>
              <c:pt idx="2357">
                <c:v>0.21895368932258516</c:v>
              </c:pt>
              <c:pt idx="2358">
                <c:v>0.21907856808177062</c:v>
              </c:pt>
              <c:pt idx="2359">
                <c:v>0.21907856808177062</c:v>
              </c:pt>
              <c:pt idx="2360">
                <c:v>0.2192034468409561</c:v>
              </c:pt>
              <c:pt idx="2361">
                <c:v>0.2192034468409561</c:v>
              </c:pt>
              <c:pt idx="2362">
                <c:v>0.21932832560014157</c:v>
              </c:pt>
              <c:pt idx="2363">
                <c:v>0.21932832560014157</c:v>
              </c:pt>
              <c:pt idx="2364">
                <c:v>0.21938184506836392</c:v>
              </c:pt>
              <c:pt idx="2365">
                <c:v>0.21938184506836392</c:v>
              </c:pt>
              <c:pt idx="2366">
                <c:v>0.21938184506836392</c:v>
              </c:pt>
              <c:pt idx="2367">
                <c:v>0.21938184506836392</c:v>
              </c:pt>
              <c:pt idx="2368">
                <c:v>0.21938184506836392</c:v>
              </c:pt>
              <c:pt idx="2369">
                <c:v>0.21938184506836392</c:v>
              </c:pt>
              <c:pt idx="2370">
                <c:v>0.21950672382754938</c:v>
              </c:pt>
              <c:pt idx="2371">
                <c:v>0.21950672382754938</c:v>
              </c:pt>
              <c:pt idx="2372">
                <c:v>0.21963160258673486</c:v>
              </c:pt>
              <c:pt idx="2373">
                <c:v>0.21963160258673486</c:v>
              </c:pt>
              <c:pt idx="2374">
                <c:v>0.21975648134592032</c:v>
              </c:pt>
              <c:pt idx="2375">
                <c:v>0.21975648134592032</c:v>
              </c:pt>
              <c:pt idx="2376">
                <c:v>0.2198813601051058</c:v>
              </c:pt>
              <c:pt idx="2377">
                <c:v>0.2198813601051058</c:v>
              </c:pt>
              <c:pt idx="2378">
                <c:v>0.22000623886429127</c:v>
              </c:pt>
              <c:pt idx="2379">
                <c:v>0.22000623886429127</c:v>
              </c:pt>
              <c:pt idx="2380">
                <c:v>0.22013111762347676</c:v>
              </c:pt>
              <c:pt idx="2381">
                <c:v>0.22013111762347676</c:v>
              </c:pt>
              <c:pt idx="2382">
                <c:v>0.22025599638266222</c:v>
              </c:pt>
              <c:pt idx="2383">
                <c:v>0.22025599638266222</c:v>
              </c:pt>
              <c:pt idx="2384">
                <c:v>0.2203808751418477</c:v>
              </c:pt>
              <c:pt idx="2385">
                <c:v>0.2203808751418477</c:v>
              </c:pt>
              <c:pt idx="2386">
                <c:v>0.22050575390103316</c:v>
              </c:pt>
              <c:pt idx="2387">
                <c:v>0.22050575390103316</c:v>
              </c:pt>
              <c:pt idx="2388">
                <c:v>0.22063063266021865</c:v>
              </c:pt>
              <c:pt idx="2389">
                <c:v>0.22063063266021865</c:v>
              </c:pt>
              <c:pt idx="2390">
                <c:v>0.2207555114194041</c:v>
              </c:pt>
              <c:pt idx="2391">
                <c:v>0.2207555114194041</c:v>
              </c:pt>
              <c:pt idx="2392">
                <c:v>0.2208803901785896</c:v>
              </c:pt>
              <c:pt idx="2393">
                <c:v>0.2208803901785896</c:v>
              </c:pt>
              <c:pt idx="2394">
                <c:v>0.22100526893777506</c:v>
              </c:pt>
              <c:pt idx="2395">
                <c:v>0.22100526893777506</c:v>
              </c:pt>
              <c:pt idx="2396">
                <c:v>0.22113014769696054</c:v>
              </c:pt>
              <c:pt idx="2397">
                <c:v>0.22113014769696054</c:v>
              </c:pt>
              <c:pt idx="2398">
                <c:v>0.221255026456146</c:v>
              </c:pt>
              <c:pt idx="2399">
                <c:v>0.221255026456146</c:v>
              </c:pt>
              <c:pt idx="2400">
                <c:v>0.2213799052153315</c:v>
              </c:pt>
              <c:pt idx="2401">
                <c:v>0.2213799052153315</c:v>
              </c:pt>
              <c:pt idx="2402">
                <c:v>0.22150478397451695</c:v>
              </c:pt>
              <c:pt idx="2403">
                <c:v>0.22150478397451695</c:v>
              </c:pt>
              <c:pt idx="2404">
                <c:v>0.22162966273370244</c:v>
              </c:pt>
              <c:pt idx="2405">
                <c:v>0.22162966273370244</c:v>
              </c:pt>
              <c:pt idx="2406">
                <c:v>0.2217545414928879</c:v>
              </c:pt>
              <c:pt idx="2407">
                <c:v>0.2217545414928879</c:v>
              </c:pt>
              <c:pt idx="2408">
                <c:v>0.22187942025207338</c:v>
              </c:pt>
              <c:pt idx="2409">
                <c:v>0.22187942025207338</c:v>
              </c:pt>
              <c:pt idx="2410">
                <c:v>0.22200429901125884</c:v>
              </c:pt>
              <c:pt idx="2411">
                <c:v>0.22200429901125884</c:v>
              </c:pt>
              <c:pt idx="2412">
                <c:v>0.22212917777044433</c:v>
              </c:pt>
              <c:pt idx="2413">
                <c:v>0.22212917777044433</c:v>
              </c:pt>
              <c:pt idx="2414">
                <c:v>0.2222540565296298</c:v>
              </c:pt>
              <c:pt idx="2415">
                <c:v>0.2222540565296298</c:v>
              </c:pt>
              <c:pt idx="2416">
                <c:v>0.22237893528881528</c:v>
              </c:pt>
              <c:pt idx="2417">
                <c:v>0.22237893528881528</c:v>
              </c:pt>
              <c:pt idx="2418">
                <c:v>0.22250381404800074</c:v>
              </c:pt>
              <c:pt idx="2419">
                <c:v>0.22250381404800074</c:v>
              </c:pt>
              <c:pt idx="2420">
                <c:v>0.22262869280718622</c:v>
              </c:pt>
              <c:pt idx="2421">
                <c:v>0.22262869280718622</c:v>
              </c:pt>
              <c:pt idx="2422">
                <c:v>0.22275357156637168</c:v>
              </c:pt>
              <c:pt idx="2423">
                <c:v>0.22275357156637168</c:v>
              </c:pt>
              <c:pt idx="2424">
                <c:v>0.22287845032555717</c:v>
              </c:pt>
              <c:pt idx="2425">
                <c:v>0.22287845032555717</c:v>
              </c:pt>
              <c:pt idx="2426">
                <c:v>0.22300332908474263</c:v>
              </c:pt>
              <c:pt idx="2427">
                <c:v>0.22300332908474263</c:v>
              </c:pt>
              <c:pt idx="2428">
                <c:v>0.22312820784392812</c:v>
              </c:pt>
              <c:pt idx="2429">
                <c:v>0.22312820784392812</c:v>
              </c:pt>
              <c:pt idx="2430">
                <c:v>0.22325308660311358</c:v>
              </c:pt>
              <c:pt idx="2431">
                <c:v>0.22325308660311358</c:v>
              </c:pt>
              <c:pt idx="2432">
                <c:v>0.22337796536229906</c:v>
              </c:pt>
              <c:pt idx="2433">
                <c:v>0.22337796536229906</c:v>
              </c:pt>
              <c:pt idx="2434">
                <c:v>0.22350284412148452</c:v>
              </c:pt>
              <c:pt idx="2435">
                <c:v>0.22350284412148452</c:v>
              </c:pt>
              <c:pt idx="2436">
                <c:v>0.22362772288067</c:v>
              </c:pt>
              <c:pt idx="2437">
                <c:v>0.22362772288067</c:v>
              </c:pt>
              <c:pt idx="2438">
                <c:v>0.22375260163985547</c:v>
              </c:pt>
              <c:pt idx="2439">
                <c:v>0.22375260163985547</c:v>
              </c:pt>
              <c:pt idx="2440">
                <c:v>0.22387748039904096</c:v>
              </c:pt>
              <c:pt idx="2441">
                <c:v>0.22387748039904096</c:v>
              </c:pt>
              <c:pt idx="2442">
                <c:v>0.22400235915822642</c:v>
              </c:pt>
              <c:pt idx="2443">
                <c:v>0.22400235915822642</c:v>
              </c:pt>
              <c:pt idx="2444">
                <c:v>0.2241272379174119</c:v>
              </c:pt>
              <c:pt idx="2445">
                <c:v>0.2241272379174119</c:v>
              </c:pt>
              <c:pt idx="2446">
                <c:v>0.22425211667659736</c:v>
              </c:pt>
              <c:pt idx="2447">
                <c:v>0.22425211667659736</c:v>
              </c:pt>
              <c:pt idx="2448">
                <c:v>0.22437699543578285</c:v>
              </c:pt>
              <c:pt idx="2449">
                <c:v>0.22437699543578285</c:v>
              </c:pt>
              <c:pt idx="2450">
                <c:v>0.2245018741949683</c:v>
              </c:pt>
              <c:pt idx="2451">
                <c:v>0.2245018741949683</c:v>
              </c:pt>
              <c:pt idx="2452">
                <c:v>0.2246267529541538</c:v>
              </c:pt>
              <c:pt idx="2453">
                <c:v>0.2246267529541538</c:v>
              </c:pt>
              <c:pt idx="2454">
                <c:v>0.22475163171333926</c:v>
              </c:pt>
              <c:pt idx="2455">
                <c:v>0.22475163171333926</c:v>
              </c:pt>
              <c:pt idx="2456">
                <c:v>0.22487651047252474</c:v>
              </c:pt>
              <c:pt idx="2457">
                <c:v>0.22487651047252474</c:v>
              </c:pt>
              <c:pt idx="2458">
                <c:v>0.2250013892317102</c:v>
              </c:pt>
              <c:pt idx="2459">
                <c:v>0.2250013892317102</c:v>
              </c:pt>
              <c:pt idx="2460">
                <c:v>0.2251262679908957</c:v>
              </c:pt>
              <c:pt idx="2461">
                <c:v>0.2251262679908957</c:v>
              </c:pt>
              <c:pt idx="2462">
                <c:v>0.22525114675008115</c:v>
              </c:pt>
              <c:pt idx="2463">
                <c:v>0.22525114675008115</c:v>
              </c:pt>
              <c:pt idx="2464">
                <c:v>0.22537602550926664</c:v>
              </c:pt>
              <c:pt idx="2465">
                <c:v>0.22537602550926664</c:v>
              </c:pt>
              <c:pt idx="2466">
                <c:v>0.2255009042684521</c:v>
              </c:pt>
              <c:pt idx="2467">
                <c:v>0.2255009042684521</c:v>
              </c:pt>
              <c:pt idx="2468">
                <c:v>0.22562578302763758</c:v>
              </c:pt>
              <c:pt idx="2469">
                <c:v>0.22562578302763758</c:v>
              </c:pt>
              <c:pt idx="2470">
                <c:v>0.22575066178682304</c:v>
              </c:pt>
              <c:pt idx="2471">
                <c:v>0.22575066178682304</c:v>
              </c:pt>
              <c:pt idx="2472">
                <c:v>0.22587554054600853</c:v>
              </c:pt>
              <c:pt idx="2473">
                <c:v>0.22587554054600853</c:v>
              </c:pt>
              <c:pt idx="2474">
                <c:v>0.226000419305194</c:v>
              </c:pt>
              <c:pt idx="2475">
                <c:v>0.226000419305194</c:v>
              </c:pt>
              <c:pt idx="2476">
                <c:v>0.22612529806437948</c:v>
              </c:pt>
              <c:pt idx="2477">
                <c:v>0.22612529806437948</c:v>
              </c:pt>
              <c:pt idx="2478">
                <c:v>0.22625017682356494</c:v>
              </c:pt>
              <c:pt idx="2479">
                <c:v>0.22625017682356494</c:v>
              </c:pt>
              <c:pt idx="2480">
                <c:v>0.22637505558275042</c:v>
              </c:pt>
              <c:pt idx="2481">
                <c:v>0.22637505558275042</c:v>
              </c:pt>
              <c:pt idx="2482">
                <c:v>0.22649993434193588</c:v>
              </c:pt>
              <c:pt idx="2483">
                <c:v>0.22649993434193588</c:v>
              </c:pt>
              <c:pt idx="2484">
                <c:v>0.22662481310112137</c:v>
              </c:pt>
              <c:pt idx="2485">
                <c:v>0.22662481310112137</c:v>
              </c:pt>
              <c:pt idx="2486">
                <c:v>0.22674969186030683</c:v>
              </c:pt>
              <c:pt idx="2487">
                <c:v>0.22674969186030683</c:v>
              </c:pt>
              <c:pt idx="2488">
                <c:v>0.22687457061949232</c:v>
              </c:pt>
              <c:pt idx="2489">
                <c:v>0.22687457061949232</c:v>
              </c:pt>
              <c:pt idx="2490">
                <c:v>0.22699944937867778</c:v>
              </c:pt>
              <c:pt idx="2491">
                <c:v>0.22699944937867778</c:v>
              </c:pt>
              <c:pt idx="2492">
                <c:v>0.22712432813786326</c:v>
              </c:pt>
              <c:pt idx="2493">
                <c:v>0.22712432813786326</c:v>
              </c:pt>
              <c:pt idx="2494">
                <c:v>0.22724920689704872</c:v>
              </c:pt>
              <c:pt idx="2495">
                <c:v>0.22724920689704872</c:v>
              </c:pt>
              <c:pt idx="2496">
                <c:v>0.2273740856562342</c:v>
              </c:pt>
              <c:pt idx="2497">
                <c:v>0.2273740856562342</c:v>
              </c:pt>
              <c:pt idx="2498">
                <c:v>0.22749896441541967</c:v>
              </c:pt>
              <c:pt idx="2499">
                <c:v>0.22749896441541967</c:v>
              </c:pt>
              <c:pt idx="2500">
                <c:v>0.22762384317460516</c:v>
              </c:pt>
              <c:pt idx="2501">
                <c:v>0.22762384317460516</c:v>
              </c:pt>
              <c:pt idx="2502">
                <c:v>0.22774872193379062</c:v>
              </c:pt>
              <c:pt idx="2503">
                <c:v>0.22774872193379062</c:v>
              </c:pt>
              <c:pt idx="2504">
                <c:v>0.2278736006929761</c:v>
              </c:pt>
              <c:pt idx="2505">
                <c:v>0.2278736006929761</c:v>
              </c:pt>
              <c:pt idx="2506">
                <c:v>0.22799847945216156</c:v>
              </c:pt>
              <c:pt idx="2507">
                <c:v>0.22799847945216156</c:v>
              </c:pt>
              <c:pt idx="2508">
                <c:v>0.22812335821134705</c:v>
              </c:pt>
              <c:pt idx="2509">
                <c:v>0.22812335821134705</c:v>
              </c:pt>
              <c:pt idx="2510">
                <c:v>0.2282482369705325</c:v>
              </c:pt>
              <c:pt idx="2511">
                <c:v>0.2282482369705325</c:v>
              </c:pt>
              <c:pt idx="2512">
                <c:v>0.22830175643875486</c:v>
              </c:pt>
              <c:pt idx="2513">
                <c:v>0.22830175643875486</c:v>
              </c:pt>
              <c:pt idx="2514">
                <c:v>0.22830175643875486</c:v>
              </c:pt>
              <c:pt idx="2515">
                <c:v>0.22830175643875486</c:v>
              </c:pt>
              <c:pt idx="2516">
                <c:v>0.22830175643875486</c:v>
              </c:pt>
              <c:pt idx="2517">
                <c:v>0.22830175643875486</c:v>
              </c:pt>
              <c:pt idx="2518">
                <c:v>0.22842663519794032</c:v>
              </c:pt>
              <c:pt idx="2519">
                <c:v>0.22842663519794032</c:v>
              </c:pt>
              <c:pt idx="2520">
                <c:v>0.2285515139571258</c:v>
              </c:pt>
              <c:pt idx="2521">
                <c:v>0.2285515139571258</c:v>
              </c:pt>
              <c:pt idx="2522">
                <c:v>0.22867639271631127</c:v>
              </c:pt>
              <c:pt idx="2523">
                <c:v>0.22867639271631127</c:v>
              </c:pt>
              <c:pt idx="2524">
                <c:v>0.22880127147549675</c:v>
              </c:pt>
              <c:pt idx="2525">
                <c:v>0.22880127147549675</c:v>
              </c:pt>
              <c:pt idx="2526">
                <c:v>0.2289261502346822</c:v>
              </c:pt>
              <c:pt idx="2527">
                <c:v>0.2289261502346822</c:v>
              </c:pt>
              <c:pt idx="2528">
                <c:v>0.2290510289938677</c:v>
              </c:pt>
              <c:pt idx="2529">
                <c:v>0.2290510289938677</c:v>
              </c:pt>
              <c:pt idx="2530">
                <c:v>0.22917590775305316</c:v>
              </c:pt>
              <c:pt idx="2531">
                <c:v>0.22917590775305316</c:v>
              </c:pt>
              <c:pt idx="2532">
                <c:v>0.22930078651223865</c:v>
              </c:pt>
              <c:pt idx="2533">
                <c:v>0.22930078651223865</c:v>
              </c:pt>
              <c:pt idx="2534">
                <c:v>0.2294256652714241</c:v>
              </c:pt>
              <c:pt idx="2535">
                <c:v>0.2294256652714241</c:v>
              </c:pt>
              <c:pt idx="2536">
                <c:v>0.2295505440306096</c:v>
              </c:pt>
              <c:pt idx="2537">
                <c:v>0.2295505440306096</c:v>
              </c:pt>
              <c:pt idx="2538">
                <c:v>0.22967542278979505</c:v>
              </c:pt>
              <c:pt idx="2539">
                <c:v>0.22967542278979505</c:v>
              </c:pt>
              <c:pt idx="2540">
                <c:v>0.22980030154898054</c:v>
              </c:pt>
              <c:pt idx="2541">
                <c:v>0.22980030154898054</c:v>
              </c:pt>
              <c:pt idx="2542">
                <c:v>0.229925180308166</c:v>
              </c:pt>
              <c:pt idx="2543">
                <c:v>0.229925180308166</c:v>
              </c:pt>
              <c:pt idx="2544">
                <c:v>0.2300500590673515</c:v>
              </c:pt>
              <c:pt idx="2545">
                <c:v>0.2300500590673515</c:v>
              </c:pt>
              <c:pt idx="2546">
                <c:v>0.23017493782653695</c:v>
              </c:pt>
              <c:pt idx="2547">
                <c:v>0.23017493782653695</c:v>
              </c:pt>
              <c:pt idx="2548">
                <c:v>0.23029981658572243</c:v>
              </c:pt>
              <c:pt idx="2549">
                <c:v>0.23029981658572243</c:v>
              </c:pt>
              <c:pt idx="2550">
                <c:v>0.2304246953449079</c:v>
              </c:pt>
              <c:pt idx="2551">
                <c:v>0.2304246953449079</c:v>
              </c:pt>
              <c:pt idx="2552">
                <c:v>0.23054957410409338</c:v>
              </c:pt>
              <c:pt idx="2553">
                <c:v>0.23054957410409338</c:v>
              </c:pt>
              <c:pt idx="2554">
                <c:v>0.23067445286327884</c:v>
              </c:pt>
              <c:pt idx="2555">
                <c:v>0.23067445286327884</c:v>
              </c:pt>
              <c:pt idx="2556">
                <c:v>0.23079933162246433</c:v>
              </c:pt>
              <c:pt idx="2557">
                <c:v>0.23079933162246433</c:v>
              </c:pt>
              <c:pt idx="2558">
                <c:v>0.23092421038164979</c:v>
              </c:pt>
              <c:pt idx="2559">
                <c:v>0.23092421038164979</c:v>
              </c:pt>
              <c:pt idx="2560">
                <c:v>0.23104908914083527</c:v>
              </c:pt>
              <c:pt idx="2561">
                <c:v>0.23104908914083527</c:v>
              </c:pt>
              <c:pt idx="2562">
                <c:v>0.23117396790002073</c:v>
              </c:pt>
              <c:pt idx="2563">
                <c:v>0.23117396790002073</c:v>
              </c:pt>
              <c:pt idx="2564">
                <c:v>0.23129884665920622</c:v>
              </c:pt>
              <c:pt idx="2565">
                <c:v>0.23129884665920622</c:v>
              </c:pt>
              <c:pt idx="2566">
                <c:v>0.23142372541839168</c:v>
              </c:pt>
              <c:pt idx="2567">
                <c:v>0.23142372541839168</c:v>
              </c:pt>
              <c:pt idx="2568">
                <c:v>0.23154860417757717</c:v>
              </c:pt>
              <c:pt idx="2569">
                <c:v>0.23154860417757717</c:v>
              </c:pt>
              <c:pt idx="2570">
                <c:v>0.23167348293676263</c:v>
              </c:pt>
              <c:pt idx="2571">
                <c:v>0.23167348293676263</c:v>
              </c:pt>
              <c:pt idx="2572">
                <c:v>0.2317983616959481</c:v>
              </c:pt>
              <c:pt idx="2573">
                <c:v>0.2317983616959481</c:v>
              </c:pt>
              <c:pt idx="2574">
                <c:v>0.23192324045513357</c:v>
              </c:pt>
              <c:pt idx="2575">
                <c:v>0.23192324045513357</c:v>
              </c:pt>
              <c:pt idx="2576">
                <c:v>0.23204811921431906</c:v>
              </c:pt>
              <c:pt idx="2577">
                <c:v>0.23204811921431906</c:v>
              </c:pt>
              <c:pt idx="2578">
                <c:v>0.23217299797350452</c:v>
              </c:pt>
              <c:pt idx="2579">
                <c:v>0.23217299797350452</c:v>
              </c:pt>
              <c:pt idx="2580">
                <c:v>0.23229787673269</c:v>
              </c:pt>
              <c:pt idx="2581">
                <c:v>0.23229787673269</c:v>
              </c:pt>
              <c:pt idx="2582">
                <c:v>0.23242275549187547</c:v>
              </c:pt>
              <c:pt idx="2583">
                <c:v>0.23242275549187547</c:v>
              </c:pt>
              <c:pt idx="2584">
                <c:v>0.23254763425106095</c:v>
              </c:pt>
              <c:pt idx="2585">
                <c:v>0.23254763425106095</c:v>
              </c:pt>
              <c:pt idx="2586">
                <c:v>0.2326725130102464</c:v>
              </c:pt>
              <c:pt idx="2587">
                <c:v>0.2326725130102464</c:v>
              </c:pt>
              <c:pt idx="2588">
                <c:v>0.2327973917694319</c:v>
              </c:pt>
              <c:pt idx="2589">
                <c:v>0.2327973917694319</c:v>
              </c:pt>
              <c:pt idx="2590">
                <c:v>0.23292227052861736</c:v>
              </c:pt>
              <c:pt idx="2591">
                <c:v>0.23292227052861736</c:v>
              </c:pt>
              <c:pt idx="2592">
                <c:v>0.23304714928780285</c:v>
              </c:pt>
              <c:pt idx="2593">
                <c:v>0.23304714928780285</c:v>
              </c:pt>
              <c:pt idx="2594">
                <c:v>0.2331720280469883</c:v>
              </c:pt>
              <c:pt idx="2595">
                <c:v>0.2331720280469883</c:v>
              </c:pt>
              <c:pt idx="2596">
                <c:v>0.2332969068061738</c:v>
              </c:pt>
              <c:pt idx="2597">
                <c:v>0.2332969068061738</c:v>
              </c:pt>
              <c:pt idx="2598">
                <c:v>0.23342178556535925</c:v>
              </c:pt>
              <c:pt idx="2599">
                <c:v>0.23342178556535925</c:v>
              </c:pt>
              <c:pt idx="2600">
                <c:v>0.23354666432454474</c:v>
              </c:pt>
              <c:pt idx="2601">
                <c:v>0.23354666432454474</c:v>
              </c:pt>
              <c:pt idx="2602">
                <c:v>0.2336715430837302</c:v>
              </c:pt>
              <c:pt idx="2603">
                <c:v>0.2336715430837302</c:v>
              </c:pt>
              <c:pt idx="2604">
                <c:v>0.23379642184291569</c:v>
              </c:pt>
              <c:pt idx="2605">
                <c:v>0.23379642184291569</c:v>
              </c:pt>
              <c:pt idx="2606">
                <c:v>0.23392130060210115</c:v>
              </c:pt>
              <c:pt idx="2607">
                <c:v>0.23392130060210115</c:v>
              </c:pt>
              <c:pt idx="2608">
                <c:v>0.23404617936128663</c:v>
              </c:pt>
              <c:pt idx="2609">
                <c:v>0.23404617936128663</c:v>
              </c:pt>
              <c:pt idx="2610">
                <c:v>0.2341710581204721</c:v>
              </c:pt>
              <c:pt idx="2611">
                <c:v>0.2341710581204721</c:v>
              </c:pt>
              <c:pt idx="2612">
                <c:v>0.23429593687965758</c:v>
              </c:pt>
              <c:pt idx="2613">
                <c:v>0.23429593687965758</c:v>
              </c:pt>
              <c:pt idx="2614">
                <c:v>0.23442081563884304</c:v>
              </c:pt>
              <c:pt idx="2615">
                <c:v>0.23442081563884304</c:v>
              </c:pt>
              <c:pt idx="2616">
                <c:v>0.23454569439802853</c:v>
              </c:pt>
              <c:pt idx="2617">
                <c:v>0.23454569439802853</c:v>
              </c:pt>
              <c:pt idx="2618">
                <c:v>0.23467057315721399</c:v>
              </c:pt>
              <c:pt idx="2619">
                <c:v>0.23467057315721399</c:v>
              </c:pt>
              <c:pt idx="2620">
                <c:v>0.23479545191639947</c:v>
              </c:pt>
              <c:pt idx="2621">
                <c:v>0.23479545191639947</c:v>
              </c:pt>
              <c:pt idx="2622">
                <c:v>0.23492033067558493</c:v>
              </c:pt>
              <c:pt idx="2623">
                <c:v>0.23492033067558493</c:v>
              </c:pt>
              <c:pt idx="2624">
                <c:v>0.23504520943477042</c:v>
              </c:pt>
              <c:pt idx="2625">
                <c:v>0.23504520943477042</c:v>
              </c:pt>
              <c:pt idx="2626">
                <c:v>0.23517008819395588</c:v>
              </c:pt>
              <c:pt idx="2627">
                <c:v>0.23517008819395588</c:v>
              </c:pt>
              <c:pt idx="2628">
                <c:v>0.23529496695314137</c:v>
              </c:pt>
              <c:pt idx="2629">
                <c:v>0.23529496695314137</c:v>
              </c:pt>
              <c:pt idx="2630">
                <c:v>0.23541984571232683</c:v>
              </c:pt>
              <c:pt idx="2631">
                <c:v>0.23541984571232683</c:v>
              </c:pt>
              <c:pt idx="2632">
                <c:v>0.2355447244715123</c:v>
              </c:pt>
              <c:pt idx="2633">
                <c:v>0.2355447244715123</c:v>
              </c:pt>
              <c:pt idx="2634">
                <c:v>0.23566960323069777</c:v>
              </c:pt>
              <c:pt idx="2635">
                <c:v>0.23566960323069777</c:v>
              </c:pt>
              <c:pt idx="2636">
                <c:v>0.23579448198988326</c:v>
              </c:pt>
              <c:pt idx="2637">
                <c:v>0.23579448198988326</c:v>
              </c:pt>
              <c:pt idx="2638">
                <c:v>0.23591936074906872</c:v>
              </c:pt>
              <c:pt idx="2639">
                <c:v>0.23591936074906872</c:v>
              </c:pt>
              <c:pt idx="2640">
                <c:v>0.2360442395082542</c:v>
              </c:pt>
              <c:pt idx="2641">
                <c:v>0.2360442395082542</c:v>
              </c:pt>
              <c:pt idx="2642">
                <c:v>0.23616911826743966</c:v>
              </c:pt>
              <c:pt idx="2643">
                <c:v>0.23616911826743966</c:v>
              </c:pt>
              <c:pt idx="2644">
                <c:v>0.23629399702662515</c:v>
              </c:pt>
              <c:pt idx="2645">
                <c:v>0.23629399702662515</c:v>
              </c:pt>
              <c:pt idx="2646">
                <c:v>0.2364188757858106</c:v>
              </c:pt>
              <c:pt idx="2647">
                <c:v>0.2364188757858106</c:v>
              </c:pt>
              <c:pt idx="2648">
                <c:v>0.2365437545449961</c:v>
              </c:pt>
              <c:pt idx="2649">
                <c:v>0.2365437545449961</c:v>
              </c:pt>
              <c:pt idx="2650">
                <c:v>0.23666863330418156</c:v>
              </c:pt>
              <c:pt idx="2651">
                <c:v>0.23666863330418156</c:v>
              </c:pt>
              <c:pt idx="2652">
                <c:v>0.23679351206336705</c:v>
              </c:pt>
              <c:pt idx="2653">
                <c:v>0.23679351206336705</c:v>
              </c:pt>
              <c:pt idx="2654">
                <c:v>0.2369183908225525</c:v>
              </c:pt>
              <c:pt idx="2655">
                <c:v>0.2369183908225525</c:v>
              </c:pt>
              <c:pt idx="2656">
                <c:v>0.237043269581738</c:v>
              </c:pt>
              <c:pt idx="2657">
                <c:v>0.237043269581738</c:v>
              </c:pt>
              <c:pt idx="2658">
                <c:v>0.23716814834092345</c:v>
              </c:pt>
              <c:pt idx="2659">
                <c:v>0.23716814834092345</c:v>
              </c:pt>
              <c:pt idx="2660">
                <c:v>0.2372216678091458</c:v>
              </c:pt>
              <c:pt idx="2661">
                <c:v>0.2372216678091458</c:v>
              </c:pt>
              <c:pt idx="2662">
                <c:v>0.2372216678091458</c:v>
              </c:pt>
              <c:pt idx="2663">
                <c:v>0.2372216678091458</c:v>
              </c:pt>
              <c:pt idx="2664">
                <c:v>0.2372216678091458</c:v>
              </c:pt>
              <c:pt idx="2665">
                <c:v>0.2372216678091458</c:v>
              </c:pt>
              <c:pt idx="2666">
                <c:v>0.23734654656833126</c:v>
              </c:pt>
              <c:pt idx="2667">
                <c:v>0.23734654656833126</c:v>
              </c:pt>
              <c:pt idx="2668">
                <c:v>0.23747142532751675</c:v>
              </c:pt>
              <c:pt idx="2669">
                <c:v>0.23747142532751675</c:v>
              </c:pt>
              <c:pt idx="2670">
                <c:v>0.2375963040867022</c:v>
              </c:pt>
              <c:pt idx="2671">
                <c:v>0.2375963040867022</c:v>
              </c:pt>
              <c:pt idx="2672">
                <c:v>0.2377211828458877</c:v>
              </c:pt>
              <c:pt idx="2673">
                <c:v>0.2377211828458877</c:v>
              </c:pt>
              <c:pt idx="2674">
                <c:v>0.23784606160507316</c:v>
              </c:pt>
              <c:pt idx="2675">
                <c:v>0.23784606160507316</c:v>
              </c:pt>
              <c:pt idx="2676">
                <c:v>0.23797094036425864</c:v>
              </c:pt>
              <c:pt idx="2677">
                <c:v>0.23797094036425864</c:v>
              </c:pt>
              <c:pt idx="2678">
                <c:v>0.2380958191234441</c:v>
              </c:pt>
              <c:pt idx="2679">
                <c:v>0.2380958191234441</c:v>
              </c:pt>
              <c:pt idx="2680">
                <c:v>0.2382206978826296</c:v>
              </c:pt>
              <c:pt idx="2681">
                <c:v>0.2382206978826296</c:v>
              </c:pt>
              <c:pt idx="2682">
                <c:v>0.23834557664181505</c:v>
              </c:pt>
              <c:pt idx="2683">
                <c:v>0.23834557664181505</c:v>
              </c:pt>
              <c:pt idx="2684">
                <c:v>0.23847045540100054</c:v>
              </c:pt>
              <c:pt idx="2685">
                <c:v>0.23847045540100054</c:v>
              </c:pt>
              <c:pt idx="2686">
                <c:v>0.238595334160186</c:v>
              </c:pt>
              <c:pt idx="2687">
                <c:v>0.238595334160186</c:v>
              </c:pt>
              <c:pt idx="2688">
                <c:v>0.23872021291937148</c:v>
              </c:pt>
              <c:pt idx="2689">
                <c:v>0.23872021291937148</c:v>
              </c:pt>
              <c:pt idx="2690">
                <c:v>0.23884509167855694</c:v>
              </c:pt>
              <c:pt idx="2691">
                <c:v>0.23884509167855694</c:v>
              </c:pt>
              <c:pt idx="2692">
                <c:v>0.23896997043774243</c:v>
              </c:pt>
              <c:pt idx="2693">
                <c:v>0.23896997043774243</c:v>
              </c:pt>
              <c:pt idx="2694">
                <c:v>0.2390948491969279</c:v>
              </c:pt>
              <c:pt idx="2695">
                <c:v>0.2390948491969279</c:v>
              </c:pt>
              <c:pt idx="2696">
                <c:v>0.23921972795611338</c:v>
              </c:pt>
              <c:pt idx="2697">
                <c:v>0.23921972795611338</c:v>
              </c:pt>
              <c:pt idx="2698">
                <c:v>0.23934460671529884</c:v>
              </c:pt>
              <c:pt idx="2699">
                <c:v>0.23934460671529884</c:v>
              </c:pt>
              <c:pt idx="2700">
                <c:v>0.23946948547448432</c:v>
              </c:pt>
              <c:pt idx="2701">
                <c:v>0.23946948547448432</c:v>
              </c:pt>
              <c:pt idx="2702">
                <c:v>0.23959436423366978</c:v>
              </c:pt>
              <c:pt idx="2703">
                <c:v>0.23959436423366978</c:v>
              </c:pt>
              <c:pt idx="2704">
                <c:v>0.23971924299285527</c:v>
              </c:pt>
              <c:pt idx="2705">
                <c:v>0.23971924299285527</c:v>
              </c:pt>
              <c:pt idx="2706">
                <c:v>0.23984412175204073</c:v>
              </c:pt>
              <c:pt idx="2707">
                <c:v>0.23984412175204073</c:v>
              </c:pt>
              <c:pt idx="2708">
                <c:v>0.23996900051122622</c:v>
              </c:pt>
              <c:pt idx="2709">
                <c:v>0.23996900051122622</c:v>
              </c:pt>
              <c:pt idx="2710">
                <c:v>0.24009387927041168</c:v>
              </c:pt>
              <c:pt idx="2711">
                <c:v>0.24009387927041168</c:v>
              </c:pt>
              <c:pt idx="2712">
                <c:v>0.24021875802959716</c:v>
              </c:pt>
              <c:pt idx="2713">
                <c:v>0.24021875802959716</c:v>
              </c:pt>
              <c:pt idx="2714">
                <c:v>0.24034363678878262</c:v>
              </c:pt>
              <c:pt idx="2715">
                <c:v>0.24034363678878262</c:v>
              </c:pt>
              <c:pt idx="2716">
                <c:v>0.2404685155479681</c:v>
              </c:pt>
              <c:pt idx="2717">
                <c:v>0.2404685155479681</c:v>
              </c:pt>
              <c:pt idx="2718">
                <c:v>0.24059339430715357</c:v>
              </c:pt>
              <c:pt idx="2719">
                <c:v>0.24059339430715357</c:v>
              </c:pt>
              <c:pt idx="2720">
                <c:v>0.24071827306633906</c:v>
              </c:pt>
              <c:pt idx="2721">
                <c:v>0.24071827306633906</c:v>
              </c:pt>
              <c:pt idx="2722">
                <c:v>0.24084315182552452</c:v>
              </c:pt>
              <c:pt idx="2723">
                <c:v>0.24084315182552452</c:v>
              </c:pt>
              <c:pt idx="2724">
                <c:v>0.24096803058471</c:v>
              </c:pt>
              <c:pt idx="2725">
                <c:v>0.24096803058471</c:v>
              </c:pt>
              <c:pt idx="2726">
                <c:v>0.24109290934389546</c:v>
              </c:pt>
              <c:pt idx="2727">
                <c:v>0.24109290934389546</c:v>
              </c:pt>
              <c:pt idx="2728">
                <c:v>0.24121778810308095</c:v>
              </c:pt>
              <c:pt idx="2729">
                <c:v>0.24121778810308095</c:v>
              </c:pt>
              <c:pt idx="2730">
                <c:v>0.2413426668622664</c:v>
              </c:pt>
              <c:pt idx="2731">
                <c:v>0.2413426668622664</c:v>
              </c:pt>
              <c:pt idx="2732">
                <c:v>0.2414675456214519</c:v>
              </c:pt>
              <c:pt idx="2733">
                <c:v>0.2414675456214519</c:v>
              </c:pt>
              <c:pt idx="2734">
                <c:v>0.24159242438063736</c:v>
              </c:pt>
              <c:pt idx="2735">
                <c:v>0.24159242438063736</c:v>
              </c:pt>
              <c:pt idx="2736">
                <c:v>0.24171730313982284</c:v>
              </c:pt>
              <c:pt idx="2737">
                <c:v>0.24171730313982284</c:v>
              </c:pt>
              <c:pt idx="2738">
                <c:v>0.2418421818990083</c:v>
              </c:pt>
              <c:pt idx="2739">
                <c:v>0.2418421818990083</c:v>
              </c:pt>
              <c:pt idx="2740">
                <c:v>0.2419670606581938</c:v>
              </c:pt>
              <c:pt idx="2741">
                <c:v>0.2419670606581938</c:v>
              </c:pt>
              <c:pt idx="2742">
                <c:v>0.24209193941737925</c:v>
              </c:pt>
              <c:pt idx="2743">
                <c:v>0.24209193941737925</c:v>
              </c:pt>
              <c:pt idx="2744">
                <c:v>0.24221681817656474</c:v>
              </c:pt>
              <c:pt idx="2745">
                <c:v>0.24221681817656474</c:v>
              </c:pt>
              <c:pt idx="2746">
                <c:v>0.2423416969357502</c:v>
              </c:pt>
              <c:pt idx="2747">
                <c:v>0.2423416969357502</c:v>
              </c:pt>
              <c:pt idx="2748">
                <c:v>0.24246657569493568</c:v>
              </c:pt>
              <c:pt idx="2749">
                <c:v>0.24246657569493568</c:v>
              </c:pt>
              <c:pt idx="2750">
                <c:v>0.24259145445412114</c:v>
              </c:pt>
              <c:pt idx="2751">
                <c:v>0.24259145445412114</c:v>
              </c:pt>
              <c:pt idx="2752">
                <c:v>0.24271633321330663</c:v>
              </c:pt>
              <c:pt idx="2753">
                <c:v>0.24271633321330663</c:v>
              </c:pt>
              <c:pt idx="2754">
                <c:v>0.2428412119724921</c:v>
              </c:pt>
              <c:pt idx="2755">
                <c:v>0.2428412119724921</c:v>
              </c:pt>
              <c:pt idx="2756">
                <c:v>0.24296609073167758</c:v>
              </c:pt>
              <c:pt idx="2757">
                <c:v>0.24296609073167758</c:v>
              </c:pt>
              <c:pt idx="2758">
                <c:v>0.24309096949086303</c:v>
              </c:pt>
              <c:pt idx="2759">
                <c:v>0.24309096949086303</c:v>
              </c:pt>
              <c:pt idx="2760">
                <c:v>0.24321584825004852</c:v>
              </c:pt>
              <c:pt idx="2761">
                <c:v>0.24321584825004852</c:v>
              </c:pt>
              <c:pt idx="2762">
                <c:v>0.24334072700923398</c:v>
              </c:pt>
              <c:pt idx="2763">
                <c:v>0.24334072700923398</c:v>
              </c:pt>
              <c:pt idx="2764">
                <c:v>0.24346560576841947</c:v>
              </c:pt>
              <c:pt idx="2765">
                <c:v>0.24346560576841947</c:v>
              </c:pt>
              <c:pt idx="2766">
                <c:v>0.24359048452760493</c:v>
              </c:pt>
              <c:pt idx="2767">
                <c:v>0.24359048452760493</c:v>
              </c:pt>
              <c:pt idx="2768">
                <c:v>0.24371536328679042</c:v>
              </c:pt>
              <c:pt idx="2769">
                <c:v>0.24371536328679042</c:v>
              </c:pt>
              <c:pt idx="2770">
                <c:v>0.24384024204597587</c:v>
              </c:pt>
              <c:pt idx="2771">
                <c:v>0.24384024204597587</c:v>
              </c:pt>
              <c:pt idx="2772">
                <c:v>0.24396512080516136</c:v>
              </c:pt>
              <c:pt idx="2773">
                <c:v>0.24396512080516136</c:v>
              </c:pt>
              <c:pt idx="2774">
                <c:v>0.24408999956434682</c:v>
              </c:pt>
              <c:pt idx="2775">
                <c:v>0.24408999956434682</c:v>
              </c:pt>
              <c:pt idx="2776">
                <c:v>0.2442148783235323</c:v>
              </c:pt>
              <c:pt idx="2777">
                <c:v>0.2442148783235323</c:v>
              </c:pt>
              <c:pt idx="2778">
                <c:v>0.24433975708271777</c:v>
              </c:pt>
              <c:pt idx="2779">
                <c:v>0.24433975708271777</c:v>
              </c:pt>
              <c:pt idx="2780">
                <c:v>0.24446463584190326</c:v>
              </c:pt>
              <c:pt idx="2781">
                <c:v>0.24446463584190326</c:v>
              </c:pt>
              <c:pt idx="2782">
                <c:v>0.24458951460108871</c:v>
              </c:pt>
              <c:pt idx="2783">
                <c:v>0.24458951460108871</c:v>
              </c:pt>
              <c:pt idx="2784">
                <c:v>0.2447143933602742</c:v>
              </c:pt>
              <c:pt idx="2785">
                <c:v>0.2447143933602742</c:v>
              </c:pt>
              <c:pt idx="2786">
                <c:v>0.24483927211945966</c:v>
              </c:pt>
              <c:pt idx="2787">
                <c:v>0.24483927211945966</c:v>
              </c:pt>
              <c:pt idx="2788">
                <c:v>0.24496415087864515</c:v>
              </c:pt>
              <c:pt idx="2789">
                <c:v>0.24496415087864515</c:v>
              </c:pt>
              <c:pt idx="2790">
                <c:v>0.2450890296378306</c:v>
              </c:pt>
              <c:pt idx="2791">
                <c:v>0.2450890296378306</c:v>
              </c:pt>
              <c:pt idx="2792">
                <c:v>0.2452139083970161</c:v>
              </c:pt>
              <c:pt idx="2793">
                <c:v>0.2452139083970161</c:v>
              </c:pt>
              <c:pt idx="2794">
                <c:v>0.24533878715620155</c:v>
              </c:pt>
              <c:pt idx="2795">
                <c:v>0.24533878715620155</c:v>
              </c:pt>
              <c:pt idx="2796">
                <c:v>0.24546366591538704</c:v>
              </c:pt>
              <c:pt idx="2797">
                <c:v>0.24546366591538704</c:v>
              </c:pt>
              <c:pt idx="2798">
                <c:v>0.2455885446745725</c:v>
              </c:pt>
              <c:pt idx="2799">
                <c:v>0.2455885446745725</c:v>
              </c:pt>
              <c:pt idx="2800">
                <c:v>0.245713423433758</c:v>
              </c:pt>
              <c:pt idx="2801">
                <c:v>0.245713423433758</c:v>
              </c:pt>
              <c:pt idx="2802">
                <c:v>0.24583830219294345</c:v>
              </c:pt>
              <c:pt idx="2803">
                <c:v>0.24583830219294345</c:v>
              </c:pt>
              <c:pt idx="2804">
                <c:v>0.24596318095212893</c:v>
              </c:pt>
              <c:pt idx="2805">
                <c:v>0.24596318095212893</c:v>
              </c:pt>
              <c:pt idx="2806">
                <c:v>0.2460880597113144</c:v>
              </c:pt>
              <c:pt idx="2807">
                <c:v>0.2460880597113144</c:v>
              </c:pt>
              <c:pt idx="2808">
                <c:v>0.24614157917953672</c:v>
              </c:pt>
              <c:pt idx="2809">
                <c:v>0.24614157917953672</c:v>
              </c:pt>
              <c:pt idx="2810">
                <c:v>0.24614157917953672</c:v>
              </c:pt>
              <c:pt idx="2811">
                <c:v>0.24614157917953672</c:v>
              </c:pt>
              <c:pt idx="2812">
                <c:v>0.24614157917953672</c:v>
              </c:pt>
              <c:pt idx="2813">
                <c:v>0.24614157917953672</c:v>
              </c:pt>
              <c:pt idx="2814">
                <c:v>0.24626645793872218</c:v>
              </c:pt>
              <c:pt idx="2815">
                <c:v>0.24626645793872218</c:v>
              </c:pt>
              <c:pt idx="2816">
                <c:v>0.24639133669790766</c:v>
              </c:pt>
              <c:pt idx="2817">
                <c:v>0.24639133669790766</c:v>
              </c:pt>
              <c:pt idx="2818">
                <c:v>0.24651621545709312</c:v>
              </c:pt>
              <c:pt idx="2819">
                <c:v>0.24651621545709312</c:v>
              </c:pt>
              <c:pt idx="2820">
                <c:v>0.2466410942162786</c:v>
              </c:pt>
              <c:pt idx="2821">
                <c:v>0.2466410942162786</c:v>
              </c:pt>
              <c:pt idx="2822">
                <c:v>0.24676597297546407</c:v>
              </c:pt>
              <c:pt idx="2823">
                <c:v>0.24676597297546407</c:v>
              </c:pt>
              <c:pt idx="2824">
                <c:v>0.24689085173464956</c:v>
              </c:pt>
              <c:pt idx="2825">
                <c:v>0.24689085173464956</c:v>
              </c:pt>
              <c:pt idx="2826">
                <c:v>0.24701573049383502</c:v>
              </c:pt>
              <c:pt idx="2827">
                <c:v>0.24701573049383502</c:v>
              </c:pt>
              <c:pt idx="2828">
                <c:v>0.2471406092530205</c:v>
              </c:pt>
              <c:pt idx="2829">
                <c:v>0.2471406092530205</c:v>
              </c:pt>
              <c:pt idx="2830">
                <c:v>0.24726548801220596</c:v>
              </c:pt>
              <c:pt idx="2831">
                <c:v>0.24726548801220596</c:v>
              </c:pt>
              <c:pt idx="2832">
                <c:v>0.24739036677139145</c:v>
              </c:pt>
              <c:pt idx="2833">
                <c:v>0.24739036677139145</c:v>
              </c:pt>
              <c:pt idx="2834">
                <c:v>0.2475152455305769</c:v>
              </c:pt>
              <c:pt idx="2835">
                <c:v>0.2475152455305769</c:v>
              </c:pt>
              <c:pt idx="2836">
                <c:v>0.2476401242897624</c:v>
              </c:pt>
              <c:pt idx="2837">
                <c:v>0.2476401242897624</c:v>
              </c:pt>
              <c:pt idx="2838">
                <c:v>0.24776500304894786</c:v>
              </c:pt>
              <c:pt idx="2839">
                <c:v>0.24776500304894786</c:v>
              </c:pt>
              <c:pt idx="2840">
                <c:v>0.24788988180813334</c:v>
              </c:pt>
              <c:pt idx="2841">
                <c:v>0.24788988180813334</c:v>
              </c:pt>
              <c:pt idx="2842">
                <c:v>0.2480147605673188</c:v>
              </c:pt>
              <c:pt idx="2843">
                <c:v>0.2480147605673188</c:v>
              </c:pt>
              <c:pt idx="2844">
                <c:v>0.2481396393265043</c:v>
              </c:pt>
              <c:pt idx="2845">
                <c:v>0.2481396393265043</c:v>
              </c:pt>
              <c:pt idx="2846">
                <c:v>0.24826451808568975</c:v>
              </c:pt>
              <c:pt idx="2847">
                <c:v>0.24826451808568975</c:v>
              </c:pt>
              <c:pt idx="2848">
                <c:v>0.24838939684487524</c:v>
              </c:pt>
              <c:pt idx="2849">
                <c:v>0.24838939684487524</c:v>
              </c:pt>
              <c:pt idx="2850">
                <c:v>0.2485142756040607</c:v>
              </c:pt>
              <c:pt idx="2851">
                <c:v>0.2485142756040607</c:v>
              </c:pt>
              <c:pt idx="2852">
                <c:v>0.24863915436324618</c:v>
              </c:pt>
              <c:pt idx="2853">
                <c:v>0.24863915436324618</c:v>
              </c:pt>
              <c:pt idx="2854">
                <c:v>0.24876403312243164</c:v>
              </c:pt>
              <c:pt idx="2855">
                <c:v>0.24876403312243164</c:v>
              </c:pt>
              <c:pt idx="2856">
                <c:v>0.24888891188161713</c:v>
              </c:pt>
              <c:pt idx="2857">
                <c:v>0.24888891188161713</c:v>
              </c:pt>
              <c:pt idx="2858">
                <c:v>0.2490137906408026</c:v>
              </c:pt>
              <c:pt idx="2859">
                <c:v>0.2490137906408026</c:v>
              </c:pt>
              <c:pt idx="2860">
                <c:v>0.24913866939998808</c:v>
              </c:pt>
              <c:pt idx="2861">
                <c:v>0.24913866939998808</c:v>
              </c:pt>
              <c:pt idx="2862">
                <c:v>0.24926354815917354</c:v>
              </c:pt>
              <c:pt idx="2863">
                <c:v>0.24926354815917354</c:v>
              </c:pt>
              <c:pt idx="2864">
                <c:v>0.24938842691835902</c:v>
              </c:pt>
              <c:pt idx="2865">
                <c:v>0.24938842691835902</c:v>
              </c:pt>
              <c:pt idx="2866">
                <c:v>0.24951330567754448</c:v>
              </c:pt>
              <c:pt idx="2867">
                <c:v>0.24951330567754448</c:v>
              </c:pt>
              <c:pt idx="2868">
                <c:v>0.24963818443672997</c:v>
              </c:pt>
              <c:pt idx="2869">
                <c:v>0.24963818443672997</c:v>
              </c:pt>
              <c:pt idx="2870">
                <c:v>0.24976306319591543</c:v>
              </c:pt>
              <c:pt idx="2871">
                <c:v>0.24976306319591543</c:v>
              </c:pt>
              <c:pt idx="2872">
                <c:v>0.24988794195510092</c:v>
              </c:pt>
              <c:pt idx="2873">
                <c:v>0.24988794195510092</c:v>
              </c:pt>
              <c:pt idx="2874">
                <c:v>0.2500128207142864</c:v>
              </c:pt>
              <c:pt idx="2875">
                <c:v>0.2500128207142864</c:v>
              </c:pt>
              <c:pt idx="2876">
                <c:v>0.25013769947347186</c:v>
              </c:pt>
              <c:pt idx="2877">
                <c:v>0.25013769947347186</c:v>
              </c:pt>
              <c:pt idx="2878">
                <c:v>0.25026257823265735</c:v>
              </c:pt>
              <c:pt idx="2879">
                <c:v>0.25026257823265735</c:v>
              </c:pt>
              <c:pt idx="2880">
                <c:v>0.2503874569918428</c:v>
              </c:pt>
              <c:pt idx="2881">
                <c:v>0.2503874569918428</c:v>
              </c:pt>
              <c:pt idx="2882">
                <c:v>0.25051233575102827</c:v>
              </c:pt>
              <c:pt idx="2883">
                <c:v>0.25051233575102827</c:v>
              </c:pt>
              <c:pt idx="2884">
                <c:v>0.25063721451021376</c:v>
              </c:pt>
              <c:pt idx="2885">
                <c:v>0.25063721451021376</c:v>
              </c:pt>
              <c:pt idx="2886">
                <c:v>0.25076209326939924</c:v>
              </c:pt>
              <c:pt idx="2887">
                <c:v>0.25076209326939924</c:v>
              </c:pt>
              <c:pt idx="2888">
                <c:v>0.2508869720285847</c:v>
              </c:pt>
              <c:pt idx="2889">
                <c:v>0.2508869720285847</c:v>
              </c:pt>
              <c:pt idx="2890">
                <c:v>0.25101185078777016</c:v>
              </c:pt>
              <c:pt idx="2891">
                <c:v>0.25101185078777016</c:v>
              </c:pt>
              <c:pt idx="2892">
                <c:v>0.25113672954695565</c:v>
              </c:pt>
              <c:pt idx="2893">
                <c:v>0.25113672954695565</c:v>
              </c:pt>
              <c:pt idx="2894">
                <c:v>0.25126160830614114</c:v>
              </c:pt>
              <c:pt idx="2895">
                <c:v>0.25126160830614114</c:v>
              </c:pt>
              <c:pt idx="2896">
                <c:v>0.25138648706532657</c:v>
              </c:pt>
              <c:pt idx="2897">
                <c:v>0.25138648706532657</c:v>
              </c:pt>
              <c:pt idx="2898">
                <c:v>0.25151136582451206</c:v>
              </c:pt>
              <c:pt idx="2899">
                <c:v>0.25151136582451206</c:v>
              </c:pt>
              <c:pt idx="2900">
                <c:v>0.25163624458369754</c:v>
              </c:pt>
              <c:pt idx="2901">
                <c:v>0.25163624458369754</c:v>
              </c:pt>
              <c:pt idx="2902">
                <c:v>0.25176112334288303</c:v>
              </c:pt>
              <c:pt idx="2903">
                <c:v>0.25176112334288303</c:v>
              </c:pt>
              <c:pt idx="2904">
                <c:v>0.25188600210206846</c:v>
              </c:pt>
              <c:pt idx="2905">
                <c:v>0.25188600210206846</c:v>
              </c:pt>
              <c:pt idx="2906">
                <c:v>0.25201088086125395</c:v>
              </c:pt>
              <c:pt idx="2907">
                <c:v>0.25201088086125395</c:v>
              </c:pt>
              <c:pt idx="2908">
                <c:v>0.25213575962043944</c:v>
              </c:pt>
              <c:pt idx="2909">
                <c:v>0.25213575962043944</c:v>
              </c:pt>
              <c:pt idx="2910">
                <c:v>0.2522606383796249</c:v>
              </c:pt>
              <c:pt idx="2911">
                <c:v>0.2522606383796249</c:v>
              </c:pt>
              <c:pt idx="2912">
                <c:v>0.25238551713881036</c:v>
              </c:pt>
              <c:pt idx="2913">
                <c:v>0.25238551713881036</c:v>
              </c:pt>
              <c:pt idx="2914">
                <c:v>0.25251039589799584</c:v>
              </c:pt>
              <c:pt idx="2915">
                <c:v>0.25251039589799584</c:v>
              </c:pt>
              <c:pt idx="2916">
                <c:v>0.25263527465718133</c:v>
              </c:pt>
              <c:pt idx="2917">
                <c:v>0.25263527465718133</c:v>
              </c:pt>
              <c:pt idx="2918">
                <c:v>0.2527601534163668</c:v>
              </c:pt>
              <c:pt idx="2919">
                <c:v>0.2527601534163668</c:v>
              </c:pt>
              <c:pt idx="2920">
                <c:v>0.25288503217555225</c:v>
              </c:pt>
              <c:pt idx="2921">
                <c:v>0.25288503217555225</c:v>
              </c:pt>
              <c:pt idx="2922">
                <c:v>0.25300991093473774</c:v>
              </c:pt>
              <c:pt idx="2923">
                <c:v>0.25300991093473774</c:v>
              </c:pt>
              <c:pt idx="2924">
                <c:v>0.2531347896939232</c:v>
              </c:pt>
              <c:pt idx="2925">
                <c:v>0.2531347896939232</c:v>
              </c:pt>
              <c:pt idx="2926">
                <c:v>0.2532596684531087</c:v>
              </c:pt>
              <c:pt idx="2927">
                <c:v>0.2532596684531087</c:v>
              </c:pt>
              <c:pt idx="2928">
                <c:v>0.25338454721229414</c:v>
              </c:pt>
              <c:pt idx="2929">
                <c:v>0.25338454721229414</c:v>
              </c:pt>
              <c:pt idx="2930">
                <c:v>0.25350942597147963</c:v>
              </c:pt>
              <c:pt idx="2931">
                <c:v>0.25350942597147963</c:v>
              </c:pt>
              <c:pt idx="2932">
                <c:v>0.2536343047306651</c:v>
              </c:pt>
              <c:pt idx="2933">
                <c:v>0.2536343047306651</c:v>
              </c:pt>
              <c:pt idx="2934">
                <c:v>0.2537591834898506</c:v>
              </c:pt>
              <c:pt idx="2935">
                <c:v>0.2537591834898506</c:v>
              </c:pt>
              <c:pt idx="2936">
                <c:v>0.25388406224903604</c:v>
              </c:pt>
              <c:pt idx="2937">
                <c:v>0.25388406224903604</c:v>
              </c:pt>
              <c:pt idx="2938">
                <c:v>0.2540089410082215</c:v>
              </c:pt>
              <c:pt idx="2939">
                <c:v>0.2540089410082215</c:v>
              </c:pt>
              <c:pt idx="2940">
                <c:v>0.254133819767407</c:v>
              </c:pt>
              <c:pt idx="2941">
                <c:v>0.254133819767407</c:v>
              </c:pt>
              <c:pt idx="2942">
                <c:v>0.2542586985265925</c:v>
              </c:pt>
              <c:pt idx="2943">
                <c:v>0.2542586985265925</c:v>
              </c:pt>
              <c:pt idx="2944">
                <c:v>0.25438357728577793</c:v>
              </c:pt>
              <c:pt idx="2945">
                <c:v>0.25438357728577793</c:v>
              </c:pt>
              <c:pt idx="2946">
                <c:v>0.2545084560449634</c:v>
              </c:pt>
              <c:pt idx="2947">
                <c:v>0.2545084560449634</c:v>
              </c:pt>
              <c:pt idx="2948">
                <c:v>0.2546333348041489</c:v>
              </c:pt>
              <c:pt idx="2949">
                <c:v>0.2546333348041489</c:v>
              </c:pt>
              <c:pt idx="2950">
                <c:v>0.2547582135633344</c:v>
              </c:pt>
              <c:pt idx="2951">
                <c:v>0.2547582135633344</c:v>
              </c:pt>
              <c:pt idx="2952">
                <c:v>0.2548830923225198</c:v>
              </c:pt>
              <c:pt idx="2953">
                <c:v>0.2548830923225198</c:v>
              </c:pt>
              <c:pt idx="2954">
                <c:v>0.2550079710817053</c:v>
              </c:pt>
              <c:pt idx="2955">
                <c:v>0.2550079710817053</c:v>
              </c:pt>
              <c:pt idx="2956">
                <c:v>0.25506149054992766</c:v>
              </c:pt>
              <c:pt idx="2957">
                <c:v>0.25506149054992766</c:v>
              </c:pt>
              <c:pt idx="2958">
                <c:v>0.25506149054992766</c:v>
              </c:pt>
              <c:pt idx="2959">
                <c:v>0.25506149054992766</c:v>
              </c:pt>
              <c:pt idx="2960">
                <c:v>0.25506149054992766</c:v>
              </c:pt>
              <c:pt idx="2961">
                <c:v>0.25506149054992766</c:v>
              </c:pt>
              <c:pt idx="2962">
                <c:v>0.25518636930911315</c:v>
              </c:pt>
              <c:pt idx="2963">
                <c:v>0.25518636930911315</c:v>
              </c:pt>
              <c:pt idx="2964">
                <c:v>0.2553112480682986</c:v>
              </c:pt>
              <c:pt idx="2965">
                <c:v>0.2553112480682986</c:v>
              </c:pt>
              <c:pt idx="2966">
                <c:v>0.25543612682748407</c:v>
              </c:pt>
              <c:pt idx="2967">
                <c:v>0.25543612682748407</c:v>
              </c:pt>
              <c:pt idx="2968">
                <c:v>0.25556100558666955</c:v>
              </c:pt>
              <c:pt idx="2969">
                <c:v>0.25556100558666955</c:v>
              </c:pt>
              <c:pt idx="2970">
                <c:v>0.25568588434585504</c:v>
              </c:pt>
              <c:pt idx="2971">
                <c:v>0.25568588434585504</c:v>
              </c:pt>
              <c:pt idx="2972">
                <c:v>0.2558107631050405</c:v>
              </c:pt>
              <c:pt idx="2973">
                <c:v>0.2558107631050405</c:v>
              </c:pt>
              <c:pt idx="2974">
                <c:v>0.25593564186422596</c:v>
              </c:pt>
              <c:pt idx="2975">
                <c:v>0.25593564186422596</c:v>
              </c:pt>
              <c:pt idx="2976">
                <c:v>0.25606052062341145</c:v>
              </c:pt>
              <c:pt idx="2977">
                <c:v>0.25606052062341145</c:v>
              </c:pt>
              <c:pt idx="2978">
                <c:v>0.25618539938259693</c:v>
              </c:pt>
              <c:pt idx="2979">
                <c:v>0.25618539938259693</c:v>
              </c:pt>
              <c:pt idx="2980">
                <c:v>0.25631027814178237</c:v>
              </c:pt>
              <c:pt idx="2981">
                <c:v>0.25631027814178237</c:v>
              </c:pt>
              <c:pt idx="2982">
                <c:v>0.25643515690096785</c:v>
              </c:pt>
              <c:pt idx="2983">
                <c:v>0.25643515690096785</c:v>
              </c:pt>
              <c:pt idx="2984">
                <c:v>0.25656003566015334</c:v>
              </c:pt>
              <c:pt idx="2985">
                <c:v>0.25656003566015334</c:v>
              </c:pt>
              <c:pt idx="2986">
                <c:v>0.2566849144193388</c:v>
              </c:pt>
              <c:pt idx="2987">
                <c:v>0.2566849144193388</c:v>
              </c:pt>
              <c:pt idx="2988">
                <c:v>0.25680979317852426</c:v>
              </c:pt>
              <c:pt idx="2989">
                <c:v>0.25680979317852426</c:v>
              </c:pt>
              <c:pt idx="2990">
                <c:v>0.25693467193770975</c:v>
              </c:pt>
              <c:pt idx="2991">
                <c:v>0.25693467193770975</c:v>
              </c:pt>
              <c:pt idx="2992">
                <c:v>0.25705955069689523</c:v>
              </c:pt>
              <c:pt idx="2993">
                <c:v>0.25705955069689523</c:v>
              </c:pt>
              <c:pt idx="2994">
                <c:v>0.2571844294560807</c:v>
              </c:pt>
              <c:pt idx="2995">
                <c:v>0.2571844294560807</c:v>
              </c:pt>
              <c:pt idx="2996">
                <c:v>0.25730930821526615</c:v>
              </c:pt>
              <c:pt idx="2997">
                <c:v>0.25730930821526615</c:v>
              </c:pt>
              <c:pt idx="2998">
                <c:v>0.25743418697445164</c:v>
              </c:pt>
              <c:pt idx="2999">
                <c:v>0.25743418697445164</c:v>
              </c:pt>
              <c:pt idx="3000">
                <c:v>0.2575590657336371</c:v>
              </c:pt>
              <c:pt idx="3001">
                <c:v>0.2575590657336371</c:v>
              </c:pt>
              <c:pt idx="3002">
                <c:v>0.2576839444928226</c:v>
              </c:pt>
              <c:pt idx="3003">
                <c:v>0.2576839444928226</c:v>
              </c:pt>
              <c:pt idx="3004">
                <c:v>0.25780882325200805</c:v>
              </c:pt>
              <c:pt idx="3005">
                <c:v>0.25780882325200805</c:v>
              </c:pt>
              <c:pt idx="3006">
                <c:v>0.25793370201119353</c:v>
              </c:pt>
              <c:pt idx="3007">
                <c:v>0.25793370201119353</c:v>
              </c:pt>
              <c:pt idx="3008">
                <c:v>0.258058580770379</c:v>
              </c:pt>
              <c:pt idx="3009">
                <c:v>0.258058580770379</c:v>
              </c:pt>
              <c:pt idx="3010">
                <c:v>0.2581834595295645</c:v>
              </c:pt>
              <c:pt idx="3011">
                <c:v>0.2581834595295645</c:v>
              </c:pt>
              <c:pt idx="3012">
                <c:v>0.25830833828874994</c:v>
              </c:pt>
              <c:pt idx="3013">
                <c:v>0.25830833828874994</c:v>
              </c:pt>
              <c:pt idx="3014">
                <c:v>0.2584332170479354</c:v>
              </c:pt>
              <c:pt idx="3015">
                <c:v>0.2584332170479354</c:v>
              </c:pt>
              <c:pt idx="3016">
                <c:v>0.2585580958071209</c:v>
              </c:pt>
              <c:pt idx="3017">
                <c:v>0.2585580958071209</c:v>
              </c:pt>
              <c:pt idx="3018">
                <c:v>0.2586829745663064</c:v>
              </c:pt>
              <c:pt idx="3019">
                <c:v>0.2586829745663064</c:v>
              </c:pt>
              <c:pt idx="3020">
                <c:v>0.25880785332549183</c:v>
              </c:pt>
              <c:pt idx="3021">
                <c:v>0.25880785332549183</c:v>
              </c:pt>
              <c:pt idx="3022">
                <c:v>0.2589327320846773</c:v>
              </c:pt>
              <c:pt idx="3023">
                <c:v>0.2589327320846773</c:v>
              </c:pt>
              <c:pt idx="3024">
                <c:v>0.2590576108438628</c:v>
              </c:pt>
              <c:pt idx="3025">
                <c:v>0.2590576108438628</c:v>
              </c:pt>
              <c:pt idx="3026">
                <c:v>0.2591824896030483</c:v>
              </c:pt>
              <c:pt idx="3027">
                <c:v>0.2591824896030483</c:v>
              </c:pt>
              <c:pt idx="3028">
                <c:v>0.2593073683622337</c:v>
              </c:pt>
              <c:pt idx="3029">
                <c:v>0.2593073683622337</c:v>
              </c:pt>
              <c:pt idx="3030">
                <c:v>0.2594322471214192</c:v>
              </c:pt>
              <c:pt idx="3031">
                <c:v>0.2594322471214192</c:v>
              </c:pt>
              <c:pt idx="3032">
                <c:v>0.2595571258806047</c:v>
              </c:pt>
              <c:pt idx="3033">
                <c:v>0.2595571258806047</c:v>
              </c:pt>
              <c:pt idx="3034">
                <c:v>0.2596820046397902</c:v>
              </c:pt>
              <c:pt idx="3035">
                <c:v>0.2596820046397902</c:v>
              </c:pt>
              <c:pt idx="3036">
                <c:v>0.2598068833989756</c:v>
              </c:pt>
              <c:pt idx="3037">
                <c:v>0.2598068833989756</c:v>
              </c:pt>
              <c:pt idx="3038">
                <c:v>0.2599317621581611</c:v>
              </c:pt>
              <c:pt idx="3039">
                <c:v>0.2599317621581611</c:v>
              </c:pt>
              <c:pt idx="3040">
                <c:v>0.2600566409173466</c:v>
              </c:pt>
              <c:pt idx="3041">
                <c:v>0.2600566409173466</c:v>
              </c:pt>
              <c:pt idx="3042">
                <c:v>0.2601815196765321</c:v>
              </c:pt>
              <c:pt idx="3043">
                <c:v>0.2601815196765321</c:v>
              </c:pt>
              <c:pt idx="3044">
                <c:v>0.2603063984357175</c:v>
              </c:pt>
              <c:pt idx="3045">
                <c:v>0.2603063984357175</c:v>
              </c:pt>
              <c:pt idx="3046">
                <c:v>0.260431277194903</c:v>
              </c:pt>
              <c:pt idx="3047">
                <c:v>0.260431277194903</c:v>
              </c:pt>
              <c:pt idx="3048">
                <c:v>0.2605561559540885</c:v>
              </c:pt>
              <c:pt idx="3049">
                <c:v>0.2605561559540885</c:v>
              </c:pt>
              <c:pt idx="3050">
                <c:v>0.260681034713274</c:v>
              </c:pt>
              <c:pt idx="3051">
                <c:v>0.260681034713274</c:v>
              </c:pt>
              <c:pt idx="3052">
                <c:v>0.2608059134724594</c:v>
              </c:pt>
              <c:pt idx="3053">
                <c:v>0.2608059134724594</c:v>
              </c:pt>
              <c:pt idx="3054">
                <c:v>0.2609307922316449</c:v>
              </c:pt>
              <c:pt idx="3055">
                <c:v>0.2609307922316449</c:v>
              </c:pt>
              <c:pt idx="3056">
                <c:v>0.2610556709908304</c:v>
              </c:pt>
              <c:pt idx="3057">
                <c:v>0.2610556709908304</c:v>
              </c:pt>
              <c:pt idx="3058">
                <c:v>0.26118054975001587</c:v>
              </c:pt>
              <c:pt idx="3059">
                <c:v>0.26118054975001587</c:v>
              </c:pt>
              <c:pt idx="3060">
                <c:v>0.2613054285092013</c:v>
              </c:pt>
              <c:pt idx="3061">
                <c:v>0.2613054285092013</c:v>
              </c:pt>
              <c:pt idx="3062">
                <c:v>0.2614303072683868</c:v>
              </c:pt>
              <c:pt idx="3063">
                <c:v>0.2614303072683868</c:v>
              </c:pt>
              <c:pt idx="3064">
                <c:v>0.2615551860275723</c:v>
              </c:pt>
              <c:pt idx="3065">
                <c:v>0.2615551860275723</c:v>
              </c:pt>
              <c:pt idx="3066">
                <c:v>0.26168006478675776</c:v>
              </c:pt>
              <c:pt idx="3067">
                <c:v>0.26168006478675776</c:v>
              </c:pt>
              <c:pt idx="3068">
                <c:v>0.2618049435459432</c:v>
              </c:pt>
              <c:pt idx="3069">
                <c:v>0.2618049435459432</c:v>
              </c:pt>
              <c:pt idx="3070">
                <c:v>0.2619298223051287</c:v>
              </c:pt>
              <c:pt idx="3071">
                <c:v>0.2619298223051287</c:v>
              </c:pt>
              <c:pt idx="3072">
                <c:v>0.26205470106431417</c:v>
              </c:pt>
              <c:pt idx="3073">
                <c:v>0.26205470106431417</c:v>
              </c:pt>
              <c:pt idx="3074">
                <c:v>0.26217957982349965</c:v>
              </c:pt>
              <c:pt idx="3075">
                <c:v>0.26217957982349965</c:v>
              </c:pt>
              <c:pt idx="3076">
                <c:v>0.2623044585826851</c:v>
              </c:pt>
              <c:pt idx="3077">
                <c:v>0.2623044585826851</c:v>
              </c:pt>
              <c:pt idx="3078">
                <c:v>0.26242933734187057</c:v>
              </c:pt>
              <c:pt idx="3079">
                <c:v>0.26242933734187057</c:v>
              </c:pt>
              <c:pt idx="3080">
                <c:v>0.26255421610105606</c:v>
              </c:pt>
              <c:pt idx="3081">
                <c:v>0.26255421610105606</c:v>
              </c:pt>
              <c:pt idx="3082">
                <c:v>0.26267909486024155</c:v>
              </c:pt>
              <c:pt idx="3083">
                <c:v>0.26267909486024155</c:v>
              </c:pt>
              <c:pt idx="3084">
                <c:v>0.262803973619427</c:v>
              </c:pt>
              <c:pt idx="3085">
                <c:v>0.262803973619427</c:v>
              </c:pt>
              <c:pt idx="3086">
                <c:v>0.26292885237861247</c:v>
              </c:pt>
              <c:pt idx="3087">
                <c:v>0.26292885237861247</c:v>
              </c:pt>
              <c:pt idx="3088">
                <c:v>0.26305373113779795</c:v>
              </c:pt>
              <c:pt idx="3089">
                <c:v>0.26305373113779795</c:v>
              </c:pt>
              <c:pt idx="3090">
                <c:v>0.26317860989698344</c:v>
              </c:pt>
              <c:pt idx="3091">
                <c:v>0.26317860989698344</c:v>
              </c:pt>
              <c:pt idx="3092">
                <c:v>0.26330348865616887</c:v>
              </c:pt>
              <c:pt idx="3093">
                <c:v>0.26330348865616887</c:v>
              </c:pt>
              <c:pt idx="3094">
                <c:v>0.26342836741535436</c:v>
              </c:pt>
              <c:pt idx="3095">
                <c:v>0.26342836741535436</c:v>
              </c:pt>
              <c:pt idx="3096">
                <c:v>0.26355324617453985</c:v>
              </c:pt>
              <c:pt idx="3097">
                <c:v>0.26355324617453985</c:v>
              </c:pt>
              <c:pt idx="3098">
                <c:v>0.26367812493372533</c:v>
              </c:pt>
              <c:pt idx="3099">
                <c:v>0.26367812493372533</c:v>
              </c:pt>
              <c:pt idx="3100">
                <c:v>0.26380300369291076</c:v>
              </c:pt>
              <c:pt idx="3101">
                <c:v>0.26380300369291076</c:v>
              </c:pt>
              <c:pt idx="3102">
                <c:v>0.26392788245209625</c:v>
              </c:pt>
              <c:pt idx="3103">
                <c:v>0.26392788245209625</c:v>
              </c:pt>
              <c:pt idx="3104">
                <c:v>0.2639814019203186</c:v>
              </c:pt>
              <c:pt idx="3105">
                <c:v>0.2639814019203186</c:v>
              </c:pt>
              <c:pt idx="3106">
                <c:v>0.2639814019203186</c:v>
              </c:pt>
            </c:numLit>
          </c:xVal>
          <c:yVal>
            <c:numLit>
              <c:ptCount val="3107"/>
              <c:pt idx="0">
                <c:v>0</c:v>
              </c:pt>
              <c:pt idx="1">
                <c:v>0.1345304846843346</c:v>
              </c:pt>
              <c:pt idx="2">
                <c:v>0.1345304846843346</c:v>
              </c:pt>
              <c:pt idx="3">
                <c:v>0</c:v>
              </c:pt>
              <c:pt idx="4">
                <c:v>0</c:v>
              </c:pt>
              <c:pt idx="5">
                <c:v>0.1345304846843346</c:v>
              </c:pt>
              <c:pt idx="6">
                <c:v>0.1345304846843346</c:v>
              </c:pt>
              <c:pt idx="7">
                <c:v>0</c:v>
              </c:pt>
              <c:pt idx="8">
                <c:v>0</c:v>
              </c:pt>
              <c:pt idx="9">
                <c:v>0.1345304846843346</c:v>
              </c:pt>
              <c:pt idx="10">
                <c:v>0.1345304846843346</c:v>
              </c:pt>
              <c:pt idx="11">
                <c:v>0</c:v>
              </c:pt>
              <c:pt idx="12">
                <c:v>0</c:v>
              </c:pt>
              <c:pt idx="13">
                <c:v>0.1345304846843346</c:v>
              </c:pt>
              <c:pt idx="14">
                <c:v>0.1345304846843346</c:v>
              </c:pt>
              <c:pt idx="15">
                <c:v>0</c:v>
              </c:pt>
              <c:pt idx="16">
                <c:v>0</c:v>
              </c:pt>
              <c:pt idx="17">
                <c:v>0.1345304846843346</c:v>
              </c:pt>
              <c:pt idx="18">
                <c:v>0.1345304846843346</c:v>
              </c:pt>
              <c:pt idx="19">
                <c:v>0</c:v>
              </c:pt>
              <c:pt idx="20">
                <c:v>0</c:v>
              </c:pt>
              <c:pt idx="21">
                <c:v>0.1345304846843346</c:v>
              </c:pt>
              <c:pt idx="22">
                <c:v>0.1345304846843346</c:v>
              </c:pt>
              <c:pt idx="23">
                <c:v>0</c:v>
              </c:pt>
              <c:pt idx="24">
                <c:v>0</c:v>
              </c:pt>
              <c:pt idx="25">
                <c:v>0.1345304846843346</c:v>
              </c:pt>
              <c:pt idx="26">
                <c:v>0.1345304846843346</c:v>
              </c:pt>
              <c:pt idx="27">
                <c:v>0</c:v>
              </c:pt>
              <c:pt idx="28">
                <c:v>0</c:v>
              </c:pt>
              <c:pt idx="29">
                <c:v>0.1345304846843346</c:v>
              </c:pt>
              <c:pt idx="30">
                <c:v>0.1345304846843346</c:v>
              </c:pt>
              <c:pt idx="31">
                <c:v>0</c:v>
              </c:pt>
              <c:pt idx="32">
                <c:v>0</c:v>
              </c:pt>
              <c:pt idx="33">
                <c:v>0.1345304846843346</c:v>
              </c:pt>
              <c:pt idx="34">
                <c:v>0.1345304846843346</c:v>
              </c:pt>
              <c:pt idx="35">
                <c:v>0</c:v>
              </c:pt>
              <c:pt idx="36">
                <c:v>0</c:v>
              </c:pt>
              <c:pt idx="37">
                <c:v>0.1345304846843346</c:v>
              </c:pt>
              <c:pt idx="38">
                <c:v>0.1345304846843346</c:v>
              </c:pt>
              <c:pt idx="39">
                <c:v>0</c:v>
              </c:pt>
              <c:pt idx="40">
                <c:v>0</c:v>
              </c:pt>
              <c:pt idx="41">
                <c:v>0.1345304846843346</c:v>
              </c:pt>
              <c:pt idx="42">
                <c:v>0.1345304846843346</c:v>
              </c:pt>
              <c:pt idx="43">
                <c:v>0</c:v>
              </c:pt>
              <c:pt idx="44">
                <c:v>0</c:v>
              </c:pt>
              <c:pt idx="45">
                <c:v>0.1345304846843346</c:v>
              </c:pt>
              <c:pt idx="46">
                <c:v>0.1345304846843346</c:v>
              </c:pt>
              <c:pt idx="47">
                <c:v>0</c:v>
              </c:pt>
              <c:pt idx="48">
                <c:v>0</c:v>
              </c:pt>
              <c:pt idx="49">
                <c:v>0.1345304846843346</c:v>
              </c:pt>
              <c:pt idx="50">
                <c:v>0.1345304846843346</c:v>
              </c:pt>
              <c:pt idx="51">
                <c:v>0</c:v>
              </c:pt>
              <c:pt idx="52">
                <c:v>0</c:v>
              </c:pt>
              <c:pt idx="53">
                <c:v>0.1345304846843346</c:v>
              </c:pt>
              <c:pt idx="54">
                <c:v>0.1345304846843346</c:v>
              </c:pt>
              <c:pt idx="55">
                <c:v>0</c:v>
              </c:pt>
              <c:pt idx="56">
                <c:v>0</c:v>
              </c:pt>
              <c:pt idx="57">
                <c:v>0.1345304846843346</c:v>
              </c:pt>
              <c:pt idx="58">
                <c:v>0.1345304846843346</c:v>
              </c:pt>
              <c:pt idx="59">
                <c:v>0</c:v>
              </c:pt>
              <c:pt idx="60">
                <c:v>0</c:v>
              </c:pt>
              <c:pt idx="61">
                <c:v>0.1345304846843346</c:v>
              </c:pt>
              <c:pt idx="62">
                <c:v>0.1345304846843346</c:v>
              </c:pt>
              <c:pt idx="63">
                <c:v>0</c:v>
              </c:pt>
              <c:pt idx="64">
                <c:v>0</c:v>
              </c:pt>
              <c:pt idx="65">
                <c:v>0.1345304846843346</c:v>
              </c:pt>
              <c:pt idx="66">
                <c:v>0.1345304846843346</c:v>
              </c:pt>
              <c:pt idx="67">
                <c:v>0</c:v>
              </c:pt>
              <c:pt idx="68">
                <c:v>0</c:v>
              </c:pt>
              <c:pt idx="69">
                <c:v>0.1345304846843346</c:v>
              </c:pt>
              <c:pt idx="70">
                <c:v>0.1345304846843346</c:v>
              </c:pt>
              <c:pt idx="71">
                <c:v>0</c:v>
              </c:pt>
              <c:pt idx="72">
                <c:v>0</c:v>
              </c:pt>
              <c:pt idx="73">
                <c:v>0.1345304846843346</c:v>
              </c:pt>
              <c:pt idx="74">
                <c:v>0.1345304846843346</c:v>
              </c:pt>
              <c:pt idx="75">
                <c:v>0</c:v>
              </c:pt>
              <c:pt idx="76">
                <c:v>0</c:v>
              </c:pt>
              <c:pt idx="77">
                <c:v>0.1345304846843346</c:v>
              </c:pt>
              <c:pt idx="78">
                <c:v>0.1345304846843346</c:v>
              </c:pt>
              <c:pt idx="79">
                <c:v>0</c:v>
              </c:pt>
              <c:pt idx="80">
                <c:v>0</c:v>
              </c:pt>
              <c:pt idx="81">
                <c:v>0.1345304846843346</c:v>
              </c:pt>
              <c:pt idx="82">
                <c:v>0.1345304846843346</c:v>
              </c:pt>
              <c:pt idx="83">
                <c:v>0</c:v>
              </c:pt>
              <c:pt idx="84">
                <c:v>0</c:v>
              </c:pt>
              <c:pt idx="85">
                <c:v>0.1345304846843346</c:v>
              </c:pt>
              <c:pt idx="86">
                <c:v>0.1345304846843346</c:v>
              </c:pt>
              <c:pt idx="87">
                <c:v>0</c:v>
              </c:pt>
              <c:pt idx="88">
                <c:v>0</c:v>
              </c:pt>
              <c:pt idx="89">
                <c:v>0.1345304846843346</c:v>
              </c:pt>
              <c:pt idx="90">
                <c:v>0.1345304846843346</c:v>
              </c:pt>
              <c:pt idx="91">
                <c:v>0</c:v>
              </c:pt>
              <c:pt idx="92">
                <c:v>0</c:v>
              </c:pt>
              <c:pt idx="93">
                <c:v>0.1345304846843346</c:v>
              </c:pt>
              <c:pt idx="94">
                <c:v>0.1345304846843346</c:v>
              </c:pt>
              <c:pt idx="95">
                <c:v>0</c:v>
              </c:pt>
              <c:pt idx="96">
                <c:v>0</c:v>
              </c:pt>
              <c:pt idx="97">
                <c:v>0.1345304846843346</c:v>
              </c:pt>
              <c:pt idx="98">
                <c:v>0.1345304846843346</c:v>
              </c:pt>
              <c:pt idx="99">
                <c:v>0</c:v>
              </c:pt>
              <c:pt idx="100">
                <c:v>0</c:v>
              </c:pt>
              <c:pt idx="101">
                <c:v>0.1345304846843346</c:v>
              </c:pt>
              <c:pt idx="102">
                <c:v>0.1345304846843346</c:v>
              </c:pt>
              <c:pt idx="103">
                <c:v>0</c:v>
              </c:pt>
              <c:pt idx="104">
                <c:v>0</c:v>
              </c:pt>
              <c:pt idx="105">
                <c:v>0.1345304846843346</c:v>
              </c:pt>
              <c:pt idx="106">
                <c:v>0.1345304846843346</c:v>
              </c:pt>
              <c:pt idx="107">
                <c:v>0</c:v>
              </c:pt>
              <c:pt idx="108">
                <c:v>0</c:v>
              </c:pt>
              <c:pt idx="109">
                <c:v>0.1345304846843346</c:v>
              </c:pt>
              <c:pt idx="110">
                <c:v>0.1345304846843346</c:v>
              </c:pt>
              <c:pt idx="111">
                <c:v>0</c:v>
              </c:pt>
              <c:pt idx="112">
                <c:v>0</c:v>
              </c:pt>
              <c:pt idx="113">
                <c:v>0.1345304846843346</c:v>
              </c:pt>
              <c:pt idx="114">
                <c:v>0.1345304846843346</c:v>
              </c:pt>
              <c:pt idx="115">
                <c:v>0</c:v>
              </c:pt>
              <c:pt idx="116">
                <c:v>0</c:v>
              </c:pt>
              <c:pt idx="117">
                <c:v>0.1345304846843346</c:v>
              </c:pt>
              <c:pt idx="118">
                <c:v>0.1345304846843346</c:v>
              </c:pt>
              <c:pt idx="119">
                <c:v>0</c:v>
              </c:pt>
              <c:pt idx="120">
                <c:v>0</c:v>
              </c:pt>
              <c:pt idx="121">
                <c:v>0.1345304846843346</c:v>
              </c:pt>
              <c:pt idx="122">
                <c:v>0.1345304846843346</c:v>
              </c:pt>
              <c:pt idx="123">
                <c:v>0</c:v>
              </c:pt>
              <c:pt idx="124">
                <c:v>0</c:v>
              </c:pt>
              <c:pt idx="125">
                <c:v>0.1345304846843346</c:v>
              </c:pt>
              <c:pt idx="126">
                <c:v>0.1345304846843346</c:v>
              </c:pt>
              <c:pt idx="127">
                <c:v>0</c:v>
              </c:pt>
              <c:pt idx="128">
                <c:v>0</c:v>
              </c:pt>
              <c:pt idx="129">
                <c:v>0.1345304846843346</c:v>
              </c:pt>
              <c:pt idx="130">
                <c:v>0.1345304846843346</c:v>
              </c:pt>
              <c:pt idx="131">
                <c:v>0</c:v>
              </c:pt>
              <c:pt idx="132">
                <c:v>0</c:v>
              </c:pt>
              <c:pt idx="133">
                <c:v>0.1345304846843346</c:v>
              </c:pt>
              <c:pt idx="134">
                <c:v>0.1345304846843346</c:v>
              </c:pt>
              <c:pt idx="135">
                <c:v>0</c:v>
              </c:pt>
              <c:pt idx="136">
                <c:v>0</c:v>
              </c:pt>
              <c:pt idx="137">
                <c:v>0.1345304846843346</c:v>
              </c:pt>
              <c:pt idx="138">
                <c:v>0.1345304846843346</c:v>
              </c:pt>
              <c:pt idx="139">
                <c:v>0</c:v>
              </c:pt>
              <c:pt idx="140">
                <c:v>0</c:v>
              </c:pt>
              <c:pt idx="141">
                <c:v>0.1345304846843346</c:v>
              </c:pt>
              <c:pt idx="142">
                <c:v>0.1345304846843346</c:v>
              </c:pt>
              <c:pt idx="143">
                <c:v>0</c:v>
              </c:pt>
              <c:pt idx="144">
                <c:v>0.1345304846843346</c:v>
              </c:pt>
              <c:pt idx="145">
                <c:v>0</c:v>
              </c:pt>
              <c:pt idx="148">
                <c:v>0</c:v>
              </c:pt>
              <c:pt idx="149">
                <c:v>0.2466392219212801</c:v>
              </c:pt>
              <c:pt idx="150">
                <c:v>0.2466392219212801</c:v>
              </c:pt>
              <c:pt idx="151">
                <c:v>0</c:v>
              </c:pt>
              <c:pt idx="152">
                <c:v>0</c:v>
              </c:pt>
              <c:pt idx="153">
                <c:v>0.2466392219212801</c:v>
              </c:pt>
              <c:pt idx="154">
                <c:v>0.2466392219212801</c:v>
              </c:pt>
              <c:pt idx="155">
                <c:v>0</c:v>
              </c:pt>
              <c:pt idx="156">
                <c:v>0</c:v>
              </c:pt>
              <c:pt idx="157">
                <c:v>0.2466392219212801</c:v>
              </c:pt>
              <c:pt idx="158">
                <c:v>0.2466392219212801</c:v>
              </c:pt>
              <c:pt idx="159">
                <c:v>0</c:v>
              </c:pt>
              <c:pt idx="160">
                <c:v>0</c:v>
              </c:pt>
              <c:pt idx="161">
                <c:v>0.2466392219212801</c:v>
              </c:pt>
              <c:pt idx="162">
                <c:v>0.2466392219212801</c:v>
              </c:pt>
              <c:pt idx="163">
                <c:v>0</c:v>
              </c:pt>
              <c:pt idx="164">
                <c:v>0</c:v>
              </c:pt>
              <c:pt idx="165">
                <c:v>0.2466392219212801</c:v>
              </c:pt>
              <c:pt idx="166">
                <c:v>0.2466392219212801</c:v>
              </c:pt>
              <c:pt idx="167">
                <c:v>0</c:v>
              </c:pt>
              <c:pt idx="168">
                <c:v>0</c:v>
              </c:pt>
              <c:pt idx="169">
                <c:v>0.2466392219212801</c:v>
              </c:pt>
              <c:pt idx="170">
                <c:v>0.2466392219212801</c:v>
              </c:pt>
              <c:pt idx="171">
                <c:v>0</c:v>
              </c:pt>
              <c:pt idx="172">
                <c:v>0</c:v>
              </c:pt>
              <c:pt idx="173">
                <c:v>0.2466392219212801</c:v>
              </c:pt>
              <c:pt idx="174">
                <c:v>0.2466392219212801</c:v>
              </c:pt>
              <c:pt idx="175">
                <c:v>0</c:v>
              </c:pt>
              <c:pt idx="176">
                <c:v>0</c:v>
              </c:pt>
              <c:pt idx="177">
                <c:v>0.2466392219212801</c:v>
              </c:pt>
              <c:pt idx="178">
                <c:v>0.2466392219212801</c:v>
              </c:pt>
              <c:pt idx="179">
                <c:v>0</c:v>
              </c:pt>
              <c:pt idx="180">
                <c:v>0</c:v>
              </c:pt>
              <c:pt idx="181">
                <c:v>0.2466392219212801</c:v>
              </c:pt>
              <c:pt idx="182">
                <c:v>0.2466392219212801</c:v>
              </c:pt>
              <c:pt idx="183">
                <c:v>0</c:v>
              </c:pt>
              <c:pt idx="184">
                <c:v>0</c:v>
              </c:pt>
              <c:pt idx="185">
                <c:v>0.2466392219212801</c:v>
              </c:pt>
              <c:pt idx="186">
                <c:v>0.2466392219212801</c:v>
              </c:pt>
              <c:pt idx="187">
                <c:v>0</c:v>
              </c:pt>
              <c:pt idx="188">
                <c:v>0</c:v>
              </c:pt>
              <c:pt idx="189">
                <c:v>0.2466392219212801</c:v>
              </c:pt>
              <c:pt idx="190">
                <c:v>0.2466392219212801</c:v>
              </c:pt>
              <c:pt idx="191">
                <c:v>0</c:v>
              </c:pt>
              <c:pt idx="192">
                <c:v>0</c:v>
              </c:pt>
              <c:pt idx="193">
                <c:v>0.2466392219212801</c:v>
              </c:pt>
              <c:pt idx="194">
                <c:v>0.2466392219212801</c:v>
              </c:pt>
              <c:pt idx="195">
                <c:v>0</c:v>
              </c:pt>
              <c:pt idx="196">
                <c:v>0</c:v>
              </c:pt>
              <c:pt idx="197">
                <c:v>0.2466392219212801</c:v>
              </c:pt>
              <c:pt idx="198">
                <c:v>0.2466392219212801</c:v>
              </c:pt>
              <c:pt idx="199">
                <c:v>0</c:v>
              </c:pt>
              <c:pt idx="200">
                <c:v>0</c:v>
              </c:pt>
              <c:pt idx="201">
                <c:v>0.2466392219212801</c:v>
              </c:pt>
              <c:pt idx="202">
                <c:v>0.2466392219212801</c:v>
              </c:pt>
              <c:pt idx="203">
                <c:v>0</c:v>
              </c:pt>
              <c:pt idx="204">
                <c:v>0</c:v>
              </c:pt>
              <c:pt idx="205">
                <c:v>0.2466392219212801</c:v>
              </c:pt>
              <c:pt idx="206">
                <c:v>0.2466392219212801</c:v>
              </c:pt>
              <c:pt idx="207">
                <c:v>0</c:v>
              </c:pt>
              <c:pt idx="208">
                <c:v>0</c:v>
              </c:pt>
              <c:pt idx="209">
                <c:v>0.2466392219212801</c:v>
              </c:pt>
              <c:pt idx="210">
                <c:v>0.2466392219212801</c:v>
              </c:pt>
              <c:pt idx="211">
                <c:v>0</c:v>
              </c:pt>
              <c:pt idx="212">
                <c:v>0</c:v>
              </c:pt>
              <c:pt idx="213">
                <c:v>0.2466392219212801</c:v>
              </c:pt>
              <c:pt idx="214">
                <c:v>0.2466392219212801</c:v>
              </c:pt>
              <c:pt idx="215">
                <c:v>0</c:v>
              </c:pt>
              <c:pt idx="216">
                <c:v>0</c:v>
              </c:pt>
              <c:pt idx="217">
                <c:v>0.2466392219212801</c:v>
              </c:pt>
              <c:pt idx="218">
                <c:v>0.2466392219212801</c:v>
              </c:pt>
              <c:pt idx="219">
                <c:v>0</c:v>
              </c:pt>
              <c:pt idx="220">
                <c:v>0</c:v>
              </c:pt>
              <c:pt idx="221">
                <c:v>0.2466392219212801</c:v>
              </c:pt>
              <c:pt idx="222">
                <c:v>0.2466392219212801</c:v>
              </c:pt>
              <c:pt idx="223">
                <c:v>0</c:v>
              </c:pt>
              <c:pt idx="224">
                <c:v>0</c:v>
              </c:pt>
              <c:pt idx="225">
                <c:v>0.2466392219212801</c:v>
              </c:pt>
              <c:pt idx="226">
                <c:v>0.2466392219212801</c:v>
              </c:pt>
              <c:pt idx="227">
                <c:v>0</c:v>
              </c:pt>
              <c:pt idx="228">
                <c:v>0</c:v>
              </c:pt>
              <c:pt idx="229">
                <c:v>0.2466392219212801</c:v>
              </c:pt>
              <c:pt idx="230">
                <c:v>0.2466392219212801</c:v>
              </c:pt>
              <c:pt idx="231">
                <c:v>0</c:v>
              </c:pt>
              <c:pt idx="232">
                <c:v>0</c:v>
              </c:pt>
              <c:pt idx="233">
                <c:v>0.2466392219212801</c:v>
              </c:pt>
              <c:pt idx="234">
                <c:v>0.2466392219212801</c:v>
              </c:pt>
              <c:pt idx="235">
                <c:v>0</c:v>
              </c:pt>
              <c:pt idx="236">
                <c:v>0</c:v>
              </c:pt>
              <c:pt idx="237">
                <c:v>0.2466392219212801</c:v>
              </c:pt>
              <c:pt idx="238">
                <c:v>0.2466392219212801</c:v>
              </c:pt>
              <c:pt idx="239">
                <c:v>0</c:v>
              </c:pt>
              <c:pt idx="240">
                <c:v>0</c:v>
              </c:pt>
              <c:pt idx="241">
                <c:v>0.2466392219212801</c:v>
              </c:pt>
              <c:pt idx="242">
                <c:v>0.2466392219212801</c:v>
              </c:pt>
              <c:pt idx="243">
                <c:v>0</c:v>
              </c:pt>
              <c:pt idx="244">
                <c:v>0</c:v>
              </c:pt>
              <c:pt idx="245">
                <c:v>0.2466392219212801</c:v>
              </c:pt>
              <c:pt idx="246">
                <c:v>0.2466392219212801</c:v>
              </c:pt>
              <c:pt idx="247">
                <c:v>0</c:v>
              </c:pt>
              <c:pt idx="248">
                <c:v>0</c:v>
              </c:pt>
              <c:pt idx="249">
                <c:v>0.2466392219212801</c:v>
              </c:pt>
              <c:pt idx="250">
                <c:v>0.2466392219212801</c:v>
              </c:pt>
              <c:pt idx="251">
                <c:v>0</c:v>
              </c:pt>
              <c:pt idx="252">
                <c:v>0</c:v>
              </c:pt>
              <c:pt idx="253">
                <c:v>0.2466392219212801</c:v>
              </c:pt>
              <c:pt idx="254">
                <c:v>0.2466392219212801</c:v>
              </c:pt>
              <c:pt idx="255">
                <c:v>0</c:v>
              </c:pt>
              <c:pt idx="256">
                <c:v>0</c:v>
              </c:pt>
              <c:pt idx="257">
                <c:v>0.2466392219212801</c:v>
              </c:pt>
              <c:pt idx="258">
                <c:v>0.2466392219212801</c:v>
              </c:pt>
              <c:pt idx="259">
                <c:v>0</c:v>
              </c:pt>
              <c:pt idx="260">
                <c:v>0</c:v>
              </c:pt>
              <c:pt idx="261">
                <c:v>0.2466392219212801</c:v>
              </c:pt>
              <c:pt idx="262">
                <c:v>0.2466392219212801</c:v>
              </c:pt>
              <c:pt idx="263">
                <c:v>0</c:v>
              </c:pt>
              <c:pt idx="264">
                <c:v>0</c:v>
              </c:pt>
              <c:pt idx="265">
                <c:v>0.2466392219212801</c:v>
              </c:pt>
              <c:pt idx="266">
                <c:v>0.2466392219212801</c:v>
              </c:pt>
              <c:pt idx="267">
                <c:v>0</c:v>
              </c:pt>
              <c:pt idx="268">
                <c:v>0</c:v>
              </c:pt>
              <c:pt idx="269">
                <c:v>0.2466392219212801</c:v>
              </c:pt>
              <c:pt idx="270">
                <c:v>0.2466392219212801</c:v>
              </c:pt>
              <c:pt idx="271">
                <c:v>0</c:v>
              </c:pt>
              <c:pt idx="272">
                <c:v>0</c:v>
              </c:pt>
              <c:pt idx="273">
                <c:v>0.2466392219212801</c:v>
              </c:pt>
              <c:pt idx="274">
                <c:v>0.2466392219212801</c:v>
              </c:pt>
              <c:pt idx="275">
                <c:v>0</c:v>
              </c:pt>
              <c:pt idx="276">
                <c:v>0</c:v>
              </c:pt>
              <c:pt idx="277">
                <c:v>0.2466392219212801</c:v>
              </c:pt>
              <c:pt idx="278">
                <c:v>0.2466392219212801</c:v>
              </c:pt>
              <c:pt idx="279">
                <c:v>0</c:v>
              </c:pt>
              <c:pt idx="280">
                <c:v>0</c:v>
              </c:pt>
              <c:pt idx="281">
                <c:v>0.2466392219212801</c:v>
              </c:pt>
              <c:pt idx="282">
                <c:v>0.2466392219212801</c:v>
              </c:pt>
              <c:pt idx="283">
                <c:v>0</c:v>
              </c:pt>
              <c:pt idx="284">
                <c:v>0</c:v>
              </c:pt>
              <c:pt idx="285">
                <c:v>0.2466392219212801</c:v>
              </c:pt>
              <c:pt idx="286">
                <c:v>0.2466392219212801</c:v>
              </c:pt>
              <c:pt idx="287">
                <c:v>0</c:v>
              </c:pt>
              <c:pt idx="288">
                <c:v>0</c:v>
              </c:pt>
              <c:pt idx="289">
                <c:v>0.2466392219212801</c:v>
              </c:pt>
              <c:pt idx="290">
                <c:v>0.2466392219212801</c:v>
              </c:pt>
              <c:pt idx="291">
                <c:v>0</c:v>
              </c:pt>
              <c:pt idx="292">
                <c:v>0.2466392219212801</c:v>
              </c:pt>
              <c:pt idx="293">
                <c:v>0</c:v>
              </c:pt>
              <c:pt idx="296">
                <c:v>0</c:v>
              </c:pt>
              <c:pt idx="297">
                <c:v>0.1345304846843346</c:v>
              </c:pt>
              <c:pt idx="298">
                <c:v>0.1345304846843346</c:v>
              </c:pt>
              <c:pt idx="299">
                <c:v>0</c:v>
              </c:pt>
              <c:pt idx="300">
                <c:v>0</c:v>
              </c:pt>
              <c:pt idx="301">
                <c:v>0.1345304846843346</c:v>
              </c:pt>
              <c:pt idx="302">
                <c:v>0.1345304846843346</c:v>
              </c:pt>
              <c:pt idx="303">
                <c:v>0</c:v>
              </c:pt>
              <c:pt idx="304">
                <c:v>0</c:v>
              </c:pt>
              <c:pt idx="305">
                <c:v>0.1345304846843346</c:v>
              </c:pt>
              <c:pt idx="306">
                <c:v>0.1345304846843346</c:v>
              </c:pt>
              <c:pt idx="307">
                <c:v>0</c:v>
              </c:pt>
              <c:pt idx="308">
                <c:v>0</c:v>
              </c:pt>
              <c:pt idx="309">
                <c:v>0.1345304846843346</c:v>
              </c:pt>
              <c:pt idx="310">
                <c:v>0.1345304846843346</c:v>
              </c:pt>
              <c:pt idx="311">
                <c:v>0</c:v>
              </c:pt>
              <c:pt idx="312">
                <c:v>0</c:v>
              </c:pt>
              <c:pt idx="313">
                <c:v>0.1345304846843346</c:v>
              </c:pt>
              <c:pt idx="314">
                <c:v>0.1345304846843346</c:v>
              </c:pt>
              <c:pt idx="315">
                <c:v>0</c:v>
              </c:pt>
              <c:pt idx="316">
                <c:v>0</c:v>
              </c:pt>
              <c:pt idx="317">
                <c:v>0.1345304846843346</c:v>
              </c:pt>
              <c:pt idx="318">
                <c:v>0.1345304846843346</c:v>
              </c:pt>
              <c:pt idx="319">
                <c:v>0</c:v>
              </c:pt>
              <c:pt idx="320">
                <c:v>0</c:v>
              </c:pt>
              <c:pt idx="321">
                <c:v>0.1345304846843346</c:v>
              </c:pt>
              <c:pt idx="322">
                <c:v>0.1345304846843346</c:v>
              </c:pt>
              <c:pt idx="323">
                <c:v>0</c:v>
              </c:pt>
              <c:pt idx="324">
                <c:v>0</c:v>
              </c:pt>
              <c:pt idx="325">
                <c:v>0.1345304846843346</c:v>
              </c:pt>
              <c:pt idx="326">
                <c:v>0.1345304846843346</c:v>
              </c:pt>
              <c:pt idx="327">
                <c:v>0</c:v>
              </c:pt>
              <c:pt idx="328">
                <c:v>0</c:v>
              </c:pt>
              <c:pt idx="329">
                <c:v>0.1345304846843346</c:v>
              </c:pt>
              <c:pt idx="330">
                <c:v>0.1345304846843346</c:v>
              </c:pt>
              <c:pt idx="331">
                <c:v>0</c:v>
              </c:pt>
              <c:pt idx="332">
                <c:v>0</c:v>
              </c:pt>
              <c:pt idx="333">
                <c:v>0.1345304846843346</c:v>
              </c:pt>
              <c:pt idx="334">
                <c:v>0.1345304846843346</c:v>
              </c:pt>
              <c:pt idx="335">
                <c:v>0</c:v>
              </c:pt>
              <c:pt idx="336">
                <c:v>0</c:v>
              </c:pt>
              <c:pt idx="337">
                <c:v>0.1345304846843346</c:v>
              </c:pt>
              <c:pt idx="338">
                <c:v>0.1345304846843346</c:v>
              </c:pt>
              <c:pt idx="339">
                <c:v>0</c:v>
              </c:pt>
              <c:pt idx="340">
                <c:v>0</c:v>
              </c:pt>
              <c:pt idx="341">
                <c:v>0.1345304846843346</c:v>
              </c:pt>
              <c:pt idx="342">
                <c:v>0.1345304846843346</c:v>
              </c:pt>
              <c:pt idx="343">
                <c:v>0</c:v>
              </c:pt>
              <c:pt idx="344">
                <c:v>0</c:v>
              </c:pt>
              <c:pt idx="345">
                <c:v>0.1345304846843346</c:v>
              </c:pt>
              <c:pt idx="346">
                <c:v>0.1345304846843346</c:v>
              </c:pt>
              <c:pt idx="347">
                <c:v>0</c:v>
              </c:pt>
              <c:pt idx="348">
                <c:v>0</c:v>
              </c:pt>
              <c:pt idx="349">
                <c:v>0.1345304846843346</c:v>
              </c:pt>
              <c:pt idx="350">
                <c:v>0.1345304846843346</c:v>
              </c:pt>
              <c:pt idx="351">
                <c:v>0</c:v>
              </c:pt>
              <c:pt idx="352">
                <c:v>0</c:v>
              </c:pt>
              <c:pt idx="353">
                <c:v>0.1345304846843346</c:v>
              </c:pt>
              <c:pt idx="354">
                <c:v>0.1345304846843346</c:v>
              </c:pt>
              <c:pt idx="355">
                <c:v>0</c:v>
              </c:pt>
              <c:pt idx="356">
                <c:v>0</c:v>
              </c:pt>
              <c:pt idx="357">
                <c:v>0.1345304846843346</c:v>
              </c:pt>
              <c:pt idx="358">
                <c:v>0.1345304846843346</c:v>
              </c:pt>
              <c:pt idx="359">
                <c:v>0</c:v>
              </c:pt>
              <c:pt idx="360">
                <c:v>0</c:v>
              </c:pt>
              <c:pt idx="361">
                <c:v>0.1345304846843346</c:v>
              </c:pt>
              <c:pt idx="362">
                <c:v>0.1345304846843346</c:v>
              </c:pt>
              <c:pt idx="363">
                <c:v>0</c:v>
              </c:pt>
              <c:pt idx="364">
                <c:v>0</c:v>
              </c:pt>
              <c:pt idx="365">
                <c:v>0.1345304846843346</c:v>
              </c:pt>
              <c:pt idx="366">
                <c:v>0.1345304846843346</c:v>
              </c:pt>
              <c:pt idx="367">
                <c:v>0</c:v>
              </c:pt>
              <c:pt idx="368">
                <c:v>0</c:v>
              </c:pt>
              <c:pt idx="369">
                <c:v>0.1345304846843346</c:v>
              </c:pt>
              <c:pt idx="370">
                <c:v>0.1345304846843346</c:v>
              </c:pt>
              <c:pt idx="371">
                <c:v>0</c:v>
              </c:pt>
              <c:pt idx="372">
                <c:v>0</c:v>
              </c:pt>
              <c:pt idx="373">
                <c:v>0.1345304846843346</c:v>
              </c:pt>
              <c:pt idx="374">
                <c:v>0.1345304846843346</c:v>
              </c:pt>
              <c:pt idx="375">
                <c:v>0</c:v>
              </c:pt>
              <c:pt idx="376">
                <c:v>0</c:v>
              </c:pt>
              <c:pt idx="377">
                <c:v>0.1345304846843346</c:v>
              </c:pt>
              <c:pt idx="378">
                <c:v>0.1345304846843346</c:v>
              </c:pt>
              <c:pt idx="379">
                <c:v>0</c:v>
              </c:pt>
              <c:pt idx="380">
                <c:v>0</c:v>
              </c:pt>
              <c:pt idx="381">
                <c:v>0.1345304846843346</c:v>
              </c:pt>
              <c:pt idx="382">
                <c:v>0.1345304846843346</c:v>
              </c:pt>
              <c:pt idx="383">
                <c:v>0</c:v>
              </c:pt>
              <c:pt idx="384">
                <c:v>0</c:v>
              </c:pt>
              <c:pt idx="385">
                <c:v>0.1345304846843346</c:v>
              </c:pt>
              <c:pt idx="386">
                <c:v>0.1345304846843346</c:v>
              </c:pt>
              <c:pt idx="387">
                <c:v>0</c:v>
              </c:pt>
              <c:pt idx="388">
                <c:v>0</c:v>
              </c:pt>
              <c:pt idx="389">
                <c:v>0.1345304846843346</c:v>
              </c:pt>
              <c:pt idx="390">
                <c:v>0.1345304846843346</c:v>
              </c:pt>
              <c:pt idx="391">
                <c:v>0</c:v>
              </c:pt>
              <c:pt idx="392">
                <c:v>0</c:v>
              </c:pt>
              <c:pt idx="393">
                <c:v>0.1345304846843346</c:v>
              </c:pt>
              <c:pt idx="394">
                <c:v>0.1345304846843346</c:v>
              </c:pt>
              <c:pt idx="395">
                <c:v>0</c:v>
              </c:pt>
              <c:pt idx="396">
                <c:v>0</c:v>
              </c:pt>
              <c:pt idx="397">
                <c:v>0.1345304846843346</c:v>
              </c:pt>
              <c:pt idx="398">
                <c:v>0.1345304846843346</c:v>
              </c:pt>
              <c:pt idx="399">
                <c:v>0</c:v>
              </c:pt>
              <c:pt idx="400">
                <c:v>0</c:v>
              </c:pt>
              <c:pt idx="401">
                <c:v>0.1345304846843346</c:v>
              </c:pt>
              <c:pt idx="402">
                <c:v>0.1345304846843346</c:v>
              </c:pt>
              <c:pt idx="403">
                <c:v>0</c:v>
              </c:pt>
              <c:pt idx="404">
                <c:v>0</c:v>
              </c:pt>
              <c:pt idx="405">
                <c:v>0.1345304846843346</c:v>
              </c:pt>
              <c:pt idx="406">
                <c:v>0.1345304846843346</c:v>
              </c:pt>
              <c:pt idx="407">
                <c:v>0</c:v>
              </c:pt>
              <c:pt idx="408">
                <c:v>0</c:v>
              </c:pt>
              <c:pt idx="409">
                <c:v>0.1345304846843346</c:v>
              </c:pt>
              <c:pt idx="410">
                <c:v>0.1345304846843346</c:v>
              </c:pt>
              <c:pt idx="411">
                <c:v>0</c:v>
              </c:pt>
              <c:pt idx="412">
                <c:v>0</c:v>
              </c:pt>
              <c:pt idx="413">
                <c:v>0.1345304846843346</c:v>
              </c:pt>
              <c:pt idx="414">
                <c:v>0.1345304846843346</c:v>
              </c:pt>
              <c:pt idx="415">
                <c:v>0</c:v>
              </c:pt>
              <c:pt idx="416">
                <c:v>0</c:v>
              </c:pt>
              <c:pt idx="417">
                <c:v>0.1345304846843346</c:v>
              </c:pt>
              <c:pt idx="418">
                <c:v>0.1345304846843346</c:v>
              </c:pt>
              <c:pt idx="419">
                <c:v>0</c:v>
              </c:pt>
              <c:pt idx="420">
                <c:v>0</c:v>
              </c:pt>
              <c:pt idx="421">
                <c:v>0.1345304846843346</c:v>
              </c:pt>
              <c:pt idx="422">
                <c:v>0.1345304846843346</c:v>
              </c:pt>
              <c:pt idx="423">
                <c:v>0</c:v>
              </c:pt>
              <c:pt idx="424">
                <c:v>0</c:v>
              </c:pt>
              <c:pt idx="425">
                <c:v>0.1345304846843346</c:v>
              </c:pt>
              <c:pt idx="426">
                <c:v>0.1345304846843346</c:v>
              </c:pt>
              <c:pt idx="427">
                <c:v>0</c:v>
              </c:pt>
              <c:pt idx="428">
                <c:v>0</c:v>
              </c:pt>
              <c:pt idx="429">
                <c:v>0.1345304846843346</c:v>
              </c:pt>
              <c:pt idx="430">
                <c:v>0.1345304846843346</c:v>
              </c:pt>
              <c:pt idx="431">
                <c:v>0</c:v>
              </c:pt>
              <c:pt idx="432">
                <c:v>0</c:v>
              </c:pt>
              <c:pt idx="433">
                <c:v>0.1345304846843346</c:v>
              </c:pt>
              <c:pt idx="434">
                <c:v>0.1345304846843346</c:v>
              </c:pt>
              <c:pt idx="435">
                <c:v>0</c:v>
              </c:pt>
              <c:pt idx="436">
                <c:v>0</c:v>
              </c:pt>
              <c:pt idx="437">
                <c:v>0.1345304846843346</c:v>
              </c:pt>
              <c:pt idx="438">
                <c:v>0.1345304846843346</c:v>
              </c:pt>
              <c:pt idx="439">
                <c:v>0</c:v>
              </c:pt>
              <c:pt idx="440">
                <c:v>0.1345304846843346</c:v>
              </c:pt>
              <c:pt idx="441">
                <c:v>0</c:v>
              </c:pt>
              <c:pt idx="444">
                <c:v>0</c:v>
              </c:pt>
              <c:pt idx="445">
                <c:v>0.4035914540530038</c:v>
              </c:pt>
              <c:pt idx="446">
                <c:v>0.4035914540530038</c:v>
              </c:pt>
              <c:pt idx="447">
                <c:v>0</c:v>
              </c:pt>
              <c:pt idx="448">
                <c:v>0</c:v>
              </c:pt>
              <c:pt idx="449">
                <c:v>0.4035914540530038</c:v>
              </c:pt>
              <c:pt idx="450">
                <c:v>0.4035914540530038</c:v>
              </c:pt>
              <c:pt idx="451">
                <c:v>0</c:v>
              </c:pt>
              <c:pt idx="452">
                <c:v>0</c:v>
              </c:pt>
              <c:pt idx="453">
                <c:v>0.4035914540530038</c:v>
              </c:pt>
              <c:pt idx="454">
                <c:v>0.4035914540530038</c:v>
              </c:pt>
              <c:pt idx="455">
                <c:v>0</c:v>
              </c:pt>
              <c:pt idx="456">
                <c:v>0</c:v>
              </c:pt>
              <c:pt idx="457">
                <c:v>0.4035914540530038</c:v>
              </c:pt>
              <c:pt idx="458">
                <c:v>0.4035914540530038</c:v>
              </c:pt>
              <c:pt idx="459">
                <c:v>0</c:v>
              </c:pt>
              <c:pt idx="460">
                <c:v>0</c:v>
              </c:pt>
              <c:pt idx="461">
                <c:v>0.4035914540530038</c:v>
              </c:pt>
              <c:pt idx="462">
                <c:v>0.4035914540530038</c:v>
              </c:pt>
              <c:pt idx="463">
                <c:v>0</c:v>
              </c:pt>
              <c:pt idx="464">
                <c:v>0</c:v>
              </c:pt>
              <c:pt idx="465">
                <c:v>0.4035914540530038</c:v>
              </c:pt>
              <c:pt idx="466">
                <c:v>0.4035914540530038</c:v>
              </c:pt>
              <c:pt idx="467">
                <c:v>0</c:v>
              </c:pt>
              <c:pt idx="468">
                <c:v>0</c:v>
              </c:pt>
              <c:pt idx="469">
                <c:v>0.4035914540530038</c:v>
              </c:pt>
              <c:pt idx="470">
                <c:v>0.4035914540530038</c:v>
              </c:pt>
              <c:pt idx="471">
                <c:v>0</c:v>
              </c:pt>
              <c:pt idx="472">
                <c:v>0</c:v>
              </c:pt>
              <c:pt idx="473">
                <c:v>0.4035914540530038</c:v>
              </c:pt>
              <c:pt idx="474">
                <c:v>0.4035914540530038</c:v>
              </c:pt>
              <c:pt idx="475">
                <c:v>0</c:v>
              </c:pt>
              <c:pt idx="476">
                <c:v>0</c:v>
              </c:pt>
              <c:pt idx="477">
                <c:v>0.4035914540530038</c:v>
              </c:pt>
              <c:pt idx="478">
                <c:v>0.4035914540530038</c:v>
              </c:pt>
              <c:pt idx="479">
                <c:v>0</c:v>
              </c:pt>
              <c:pt idx="480">
                <c:v>0</c:v>
              </c:pt>
              <c:pt idx="481">
                <c:v>0.4035914540530038</c:v>
              </c:pt>
              <c:pt idx="482">
                <c:v>0.4035914540530038</c:v>
              </c:pt>
              <c:pt idx="483">
                <c:v>0</c:v>
              </c:pt>
              <c:pt idx="484">
                <c:v>0</c:v>
              </c:pt>
              <c:pt idx="485">
                <c:v>0.4035914540530038</c:v>
              </c:pt>
              <c:pt idx="486">
                <c:v>0.4035914540530038</c:v>
              </c:pt>
              <c:pt idx="487">
                <c:v>0</c:v>
              </c:pt>
              <c:pt idx="488">
                <c:v>0</c:v>
              </c:pt>
              <c:pt idx="489">
                <c:v>0.4035914540530038</c:v>
              </c:pt>
              <c:pt idx="490">
                <c:v>0.4035914540530038</c:v>
              </c:pt>
              <c:pt idx="491">
                <c:v>0</c:v>
              </c:pt>
              <c:pt idx="492">
                <c:v>0</c:v>
              </c:pt>
              <c:pt idx="493">
                <c:v>0.4035914540530038</c:v>
              </c:pt>
              <c:pt idx="494">
                <c:v>0.4035914540530038</c:v>
              </c:pt>
              <c:pt idx="495">
                <c:v>0</c:v>
              </c:pt>
              <c:pt idx="496">
                <c:v>0</c:v>
              </c:pt>
              <c:pt idx="497">
                <c:v>0.4035914540530038</c:v>
              </c:pt>
              <c:pt idx="498">
                <c:v>0.4035914540530038</c:v>
              </c:pt>
              <c:pt idx="499">
                <c:v>0</c:v>
              </c:pt>
              <c:pt idx="500">
                <c:v>0</c:v>
              </c:pt>
              <c:pt idx="501">
                <c:v>0.4035914540530038</c:v>
              </c:pt>
              <c:pt idx="502">
                <c:v>0.4035914540530038</c:v>
              </c:pt>
              <c:pt idx="503">
                <c:v>0</c:v>
              </c:pt>
              <c:pt idx="504">
                <c:v>0</c:v>
              </c:pt>
              <c:pt idx="505">
                <c:v>0.4035914540530038</c:v>
              </c:pt>
              <c:pt idx="506">
                <c:v>0.4035914540530038</c:v>
              </c:pt>
              <c:pt idx="507">
                <c:v>0</c:v>
              </c:pt>
              <c:pt idx="508">
                <c:v>0</c:v>
              </c:pt>
              <c:pt idx="509">
                <c:v>0.4035914540530038</c:v>
              </c:pt>
              <c:pt idx="510">
                <c:v>0.4035914540530038</c:v>
              </c:pt>
              <c:pt idx="511">
                <c:v>0</c:v>
              </c:pt>
              <c:pt idx="512">
                <c:v>0</c:v>
              </c:pt>
              <c:pt idx="513">
                <c:v>0.4035914540530038</c:v>
              </c:pt>
              <c:pt idx="514">
                <c:v>0.4035914540530038</c:v>
              </c:pt>
              <c:pt idx="515">
                <c:v>0</c:v>
              </c:pt>
              <c:pt idx="516">
                <c:v>0</c:v>
              </c:pt>
              <c:pt idx="517">
                <c:v>0.4035914540530038</c:v>
              </c:pt>
              <c:pt idx="518">
                <c:v>0.4035914540530038</c:v>
              </c:pt>
              <c:pt idx="519">
                <c:v>0</c:v>
              </c:pt>
              <c:pt idx="520">
                <c:v>0</c:v>
              </c:pt>
              <c:pt idx="521">
                <c:v>0.4035914540530038</c:v>
              </c:pt>
              <c:pt idx="522">
                <c:v>0.4035914540530038</c:v>
              </c:pt>
              <c:pt idx="523">
                <c:v>0</c:v>
              </c:pt>
              <c:pt idx="524">
                <c:v>0</c:v>
              </c:pt>
              <c:pt idx="525">
                <c:v>0.4035914540530038</c:v>
              </c:pt>
              <c:pt idx="526">
                <c:v>0.4035914540530038</c:v>
              </c:pt>
              <c:pt idx="527">
                <c:v>0</c:v>
              </c:pt>
              <c:pt idx="528">
                <c:v>0</c:v>
              </c:pt>
              <c:pt idx="529">
                <c:v>0.4035914540530038</c:v>
              </c:pt>
              <c:pt idx="530">
                <c:v>0.4035914540530038</c:v>
              </c:pt>
              <c:pt idx="531">
                <c:v>0</c:v>
              </c:pt>
              <c:pt idx="532">
                <c:v>0</c:v>
              </c:pt>
              <c:pt idx="533">
                <c:v>0.4035914540530038</c:v>
              </c:pt>
              <c:pt idx="534">
                <c:v>0.4035914540530038</c:v>
              </c:pt>
              <c:pt idx="535">
                <c:v>0</c:v>
              </c:pt>
              <c:pt idx="536">
                <c:v>0</c:v>
              </c:pt>
              <c:pt idx="537">
                <c:v>0.4035914540530038</c:v>
              </c:pt>
              <c:pt idx="538">
                <c:v>0.4035914540530038</c:v>
              </c:pt>
              <c:pt idx="539">
                <c:v>0</c:v>
              </c:pt>
              <c:pt idx="540">
                <c:v>0</c:v>
              </c:pt>
              <c:pt idx="541">
                <c:v>0.4035914540530038</c:v>
              </c:pt>
              <c:pt idx="542">
                <c:v>0.4035914540530038</c:v>
              </c:pt>
              <c:pt idx="543">
                <c:v>0</c:v>
              </c:pt>
              <c:pt idx="544">
                <c:v>0</c:v>
              </c:pt>
              <c:pt idx="545">
                <c:v>0.4035914540530038</c:v>
              </c:pt>
              <c:pt idx="546">
                <c:v>0.4035914540530038</c:v>
              </c:pt>
              <c:pt idx="547">
                <c:v>0</c:v>
              </c:pt>
              <c:pt idx="548">
                <c:v>0</c:v>
              </c:pt>
              <c:pt idx="549">
                <c:v>0.4035914540530038</c:v>
              </c:pt>
              <c:pt idx="550">
                <c:v>0.4035914540530038</c:v>
              </c:pt>
              <c:pt idx="551">
                <c:v>0</c:v>
              </c:pt>
              <c:pt idx="552">
                <c:v>0</c:v>
              </c:pt>
              <c:pt idx="553">
                <c:v>0.4035914540530038</c:v>
              </c:pt>
              <c:pt idx="554">
                <c:v>0.4035914540530038</c:v>
              </c:pt>
              <c:pt idx="555">
                <c:v>0</c:v>
              </c:pt>
              <c:pt idx="556">
                <c:v>0</c:v>
              </c:pt>
              <c:pt idx="557">
                <c:v>0.4035914540530038</c:v>
              </c:pt>
              <c:pt idx="558">
                <c:v>0.4035914540530038</c:v>
              </c:pt>
              <c:pt idx="559">
                <c:v>0</c:v>
              </c:pt>
              <c:pt idx="560">
                <c:v>0</c:v>
              </c:pt>
              <c:pt idx="561">
                <c:v>0.4035914540530038</c:v>
              </c:pt>
              <c:pt idx="562">
                <c:v>0.4035914540530038</c:v>
              </c:pt>
              <c:pt idx="563">
                <c:v>0</c:v>
              </c:pt>
              <c:pt idx="564">
                <c:v>0</c:v>
              </c:pt>
              <c:pt idx="565">
                <c:v>0.4035914540530038</c:v>
              </c:pt>
              <c:pt idx="566">
                <c:v>0.4035914540530038</c:v>
              </c:pt>
              <c:pt idx="567">
                <c:v>0</c:v>
              </c:pt>
              <c:pt idx="568">
                <c:v>0</c:v>
              </c:pt>
              <c:pt idx="569">
                <c:v>0.4035914540530038</c:v>
              </c:pt>
              <c:pt idx="570">
                <c:v>0.4035914540530038</c:v>
              </c:pt>
              <c:pt idx="571">
                <c:v>0</c:v>
              </c:pt>
              <c:pt idx="572">
                <c:v>0</c:v>
              </c:pt>
              <c:pt idx="573">
                <c:v>0.4035914540530038</c:v>
              </c:pt>
              <c:pt idx="574">
                <c:v>0.4035914540530038</c:v>
              </c:pt>
              <c:pt idx="575">
                <c:v>0</c:v>
              </c:pt>
              <c:pt idx="576">
                <c:v>0</c:v>
              </c:pt>
              <c:pt idx="577">
                <c:v>0.4035914540530038</c:v>
              </c:pt>
              <c:pt idx="578">
                <c:v>0.4035914540530038</c:v>
              </c:pt>
              <c:pt idx="579">
                <c:v>0</c:v>
              </c:pt>
              <c:pt idx="580">
                <c:v>0</c:v>
              </c:pt>
              <c:pt idx="581">
                <c:v>0.4035914540530038</c:v>
              </c:pt>
              <c:pt idx="582">
                <c:v>0.4035914540530038</c:v>
              </c:pt>
              <c:pt idx="583">
                <c:v>0</c:v>
              </c:pt>
              <c:pt idx="584">
                <c:v>0</c:v>
              </c:pt>
              <c:pt idx="585">
                <c:v>0.4035914540530038</c:v>
              </c:pt>
              <c:pt idx="586">
                <c:v>0.4035914540530038</c:v>
              </c:pt>
              <c:pt idx="587">
                <c:v>0</c:v>
              </c:pt>
              <c:pt idx="588">
                <c:v>0.4035914540530038</c:v>
              </c:pt>
              <c:pt idx="589">
                <c:v>0</c:v>
              </c:pt>
              <c:pt idx="592">
                <c:v>0</c:v>
              </c:pt>
              <c:pt idx="593">
                <c:v>1.121087372369455</c:v>
              </c:pt>
              <c:pt idx="594">
                <c:v>1.121087372369455</c:v>
              </c:pt>
              <c:pt idx="595">
                <c:v>0</c:v>
              </c:pt>
              <c:pt idx="596">
                <c:v>0</c:v>
              </c:pt>
              <c:pt idx="597">
                <c:v>1.121087372369455</c:v>
              </c:pt>
              <c:pt idx="598">
                <c:v>1.121087372369455</c:v>
              </c:pt>
              <c:pt idx="599">
                <c:v>0</c:v>
              </c:pt>
              <c:pt idx="600">
                <c:v>0</c:v>
              </c:pt>
              <c:pt idx="601">
                <c:v>1.121087372369455</c:v>
              </c:pt>
              <c:pt idx="602">
                <c:v>1.121087372369455</c:v>
              </c:pt>
              <c:pt idx="603">
                <c:v>0</c:v>
              </c:pt>
              <c:pt idx="604">
                <c:v>0</c:v>
              </c:pt>
              <c:pt idx="605">
                <c:v>1.121087372369455</c:v>
              </c:pt>
              <c:pt idx="606">
                <c:v>1.121087372369455</c:v>
              </c:pt>
              <c:pt idx="607">
                <c:v>0</c:v>
              </c:pt>
              <c:pt idx="608">
                <c:v>0</c:v>
              </c:pt>
              <c:pt idx="609">
                <c:v>1.121087372369455</c:v>
              </c:pt>
              <c:pt idx="610">
                <c:v>1.121087372369455</c:v>
              </c:pt>
              <c:pt idx="611">
                <c:v>0</c:v>
              </c:pt>
              <c:pt idx="612">
                <c:v>0</c:v>
              </c:pt>
              <c:pt idx="613">
                <c:v>1.121087372369455</c:v>
              </c:pt>
              <c:pt idx="614">
                <c:v>1.121087372369455</c:v>
              </c:pt>
              <c:pt idx="615">
                <c:v>0</c:v>
              </c:pt>
              <c:pt idx="616">
                <c:v>0</c:v>
              </c:pt>
              <c:pt idx="617">
                <c:v>1.121087372369455</c:v>
              </c:pt>
              <c:pt idx="618">
                <c:v>1.121087372369455</c:v>
              </c:pt>
              <c:pt idx="619">
                <c:v>0</c:v>
              </c:pt>
              <c:pt idx="620">
                <c:v>0</c:v>
              </c:pt>
              <c:pt idx="621">
                <c:v>1.121087372369455</c:v>
              </c:pt>
              <c:pt idx="622">
                <c:v>1.121087372369455</c:v>
              </c:pt>
              <c:pt idx="623">
                <c:v>0</c:v>
              </c:pt>
              <c:pt idx="624">
                <c:v>0</c:v>
              </c:pt>
              <c:pt idx="625">
                <c:v>1.121087372369455</c:v>
              </c:pt>
              <c:pt idx="626">
                <c:v>1.121087372369455</c:v>
              </c:pt>
              <c:pt idx="627">
                <c:v>0</c:v>
              </c:pt>
              <c:pt idx="628">
                <c:v>0</c:v>
              </c:pt>
              <c:pt idx="629">
                <c:v>1.121087372369455</c:v>
              </c:pt>
              <c:pt idx="630">
                <c:v>1.121087372369455</c:v>
              </c:pt>
              <c:pt idx="631">
                <c:v>0</c:v>
              </c:pt>
              <c:pt idx="632">
                <c:v>0</c:v>
              </c:pt>
              <c:pt idx="633">
                <c:v>1.121087372369455</c:v>
              </c:pt>
              <c:pt idx="634">
                <c:v>1.121087372369455</c:v>
              </c:pt>
              <c:pt idx="635">
                <c:v>0</c:v>
              </c:pt>
              <c:pt idx="636">
                <c:v>0</c:v>
              </c:pt>
              <c:pt idx="637">
                <c:v>1.121087372369455</c:v>
              </c:pt>
              <c:pt idx="638">
                <c:v>1.121087372369455</c:v>
              </c:pt>
              <c:pt idx="639">
                <c:v>0</c:v>
              </c:pt>
              <c:pt idx="640">
                <c:v>0</c:v>
              </c:pt>
              <c:pt idx="641">
                <c:v>1.121087372369455</c:v>
              </c:pt>
              <c:pt idx="642">
                <c:v>1.121087372369455</c:v>
              </c:pt>
              <c:pt idx="643">
                <c:v>0</c:v>
              </c:pt>
              <c:pt idx="644">
                <c:v>0</c:v>
              </c:pt>
              <c:pt idx="645">
                <c:v>1.121087372369455</c:v>
              </c:pt>
              <c:pt idx="646">
                <c:v>1.121087372369455</c:v>
              </c:pt>
              <c:pt idx="647">
                <c:v>0</c:v>
              </c:pt>
              <c:pt idx="648">
                <c:v>0</c:v>
              </c:pt>
              <c:pt idx="649">
                <c:v>1.121087372369455</c:v>
              </c:pt>
              <c:pt idx="650">
                <c:v>1.121087372369455</c:v>
              </c:pt>
              <c:pt idx="651">
                <c:v>0</c:v>
              </c:pt>
              <c:pt idx="652">
                <c:v>0</c:v>
              </c:pt>
              <c:pt idx="653">
                <c:v>1.121087372369455</c:v>
              </c:pt>
              <c:pt idx="654">
                <c:v>1.121087372369455</c:v>
              </c:pt>
              <c:pt idx="655">
                <c:v>0</c:v>
              </c:pt>
              <c:pt idx="656">
                <c:v>0</c:v>
              </c:pt>
              <c:pt idx="657">
                <c:v>1.121087372369455</c:v>
              </c:pt>
              <c:pt idx="658">
                <c:v>1.121087372369455</c:v>
              </c:pt>
              <c:pt idx="659">
                <c:v>0</c:v>
              </c:pt>
              <c:pt idx="660">
                <c:v>0</c:v>
              </c:pt>
              <c:pt idx="661">
                <c:v>1.121087372369455</c:v>
              </c:pt>
              <c:pt idx="662">
                <c:v>1.121087372369455</c:v>
              </c:pt>
              <c:pt idx="663">
                <c:v>0</c:v>
              </c:pt>
              <c:pt idx="664">
                <c:v>0</c:v>
              </c:pt>
              <c:pt idx="665">
                <c:v>1.121087372369455</c:v>
              </c:pt>
              <c:pt idx="666">
                <c:v>1.121087372369455</c:v>
              </c:pt>
              <c:pt idx="667">
                <c:v>0</c:v>
              </c:pt>
              <c:pt idx="668">
                <c:v>0</c:v>
              </c:pt>
              <c:pt idx="669">
                <c:v>1.121087372369455</c:v>
              </c:pt>
              <c:pt idx="670">
                <c:v>1.121087372369455</c:v>
              </c:pt>
              <c:pt idx="671">
                <c:v>0</c:v>
              </c:pt>
              <c:pt idx="672">
                <c:v>0</c:v>
              </c:pt>
              <c:pt idx="673">
                <c:v>1.121087372369455</c:v>
              </c:pt>
              <c:pt idx="674">
                <c:v>1.121087372369455</c:v>
              </c:pt>
              <c:pt idx="675">
                <c:v>0</c:v>
              </c:pt>
              <c:pt idx="676">
                <c:v>0</c:v>
              </c:pt>
              <c:pt idx="677">
                <c:v>1.121087372369455</c:v>
              </c:pt>
              <c:pt idx="678">
                <c:v>1.121087372369455</c:v>
              </c:pt>
              <c:pt idx="679">
                <c:v>0</c:v>
              </c:pt>
              <c:pt idx="680">
                <c:v>0</c:v>
              </c:pt>
              <c:pt idx="681">
                <c:v>1.121087372369455</c:v>
              </c:pt>
              <c:pt idx="682">
                <c:v>1.121087372369455</c:v>
              </c:pt>
              <c:pt idx="683">
                <c:v>0</c:v>
              </c:pt>
              <c:pt idx="684">
                <c:v>0</c:v>
              </c:pt>
              <c:pt idx="685">
                <c:v>1.121087372369455</c:v>
              </c:pt>
              <c:pt idx="686">
                <c:v>1.121087372369455</c:v>
              </c:pt>
              <c:pt idx="687">
                <c:v>0</c:v>
              </c:pt>
              <c:pt idx="688">
                <c:v>0</c:v>
              </c:pt>
              <c:pt idx="689">
                <c:v>1.121087372369455</c:v>
              </c:pt>
              <c:pt idx="690">
                <c:v>1.121087372369455</c:v>
              </c:pt>
              <c:pt idx="691">
                <c:v>0</c:v>
              </c:pt>
              <c:pt idx="692">
                <c:v>0</c:v>
              </c:pt>
              <c:pt idx="693">
                <c:v>1.121087372369455</c:v>
              </c:pt>
              <c:pt idx="694">
                <c:v>1.121087372369455</c:v>
              </c:pt>
              <c:pt idx="695">
                <c:v>0</c:v>
              </c:pt>
              <c:pt idx="696">
                <c:v>0</c:v>
              </c:pt>
              <c:pt idx="697">
                <c:v>1.121087372369455</c:v>
              </c:pt>
              <c:pt idx="698">
                <c:v>1.121087372369455</c:v>
              </c:pt>
              <c:pt idx="699">
                <c:v>0</c:v>
              </c:pt>
              <c:pt idx="700">
                <c:v>0</c:v>
              </c:pt>
              <c:pt idx="701">
                <c:v>1.121087372369455</c:v>
              </c:pt>
              <c:pt idx="702">
                <c:v>1.121087372369455</c:v>
              </c:pt>
              <c:pt idx="703">
                <c:v>0</c:v>
              </c:pt>
              <c:pt idx="704">
                <c:v>0</c:v>
              </c:pt>
              <c:pt idx="705">
                <c:v>1.121087372369455</c:v>
              </c:pt>
              <c:pt idx="706">
                <c:v>1.121087372369455</c:v>
              </c:pt>
              <c:pt idx="707">
                <c:v>0</c:v>
              </c:pt>
              <c:pt idx="708">
                <c:v>0</c:v>
              </c:pt>
              <c:pt idx="709">
                <c:v>1.121087372369455</c:v>
              </c:pt>
              <c:pt idx="710">
                <c:v>1.121087372369455</c:v>
              </c:pt>
              <c:pt idx="711">
                <c:v>0</c:v>
              </c:pt>
              <c:pt idx="712">
                <c:v>0</c:v>
              </c:pt>
              <c:pt idx="713">
                <c:v>1.121087372369455</c:v>
              </c:pt>
              <c:pt idx="714">
                <c:v>1.121087372369455</c:v>
              </c:pt>
              <c:pt idx="715">
                <c:v>0</c:v>
              </c:pt>
              <c:pt idx="716">
                <c:v>0</c:v>
              </c:pt>
              <c:pt idx="717">
                <c:v>1.121087372369455</c:v>
              </c:pt>
              <c:pt idx="718">
                <c:v>1.121087372369455</c:v>
              </c:pt>
              <c:pt idx="719">
                <c:v>0</c:v>
              </c:pt>
              <c:pt idx="720">
                <c:v>0</c:v>
              </c:pt>
              <c:pt idx="721">
                <c:v>1.121087372369455</c:v>
              </c:pt>
              <c:pt idx="722">
                <c:v>1.121087372369455</c:v>
              </c:pt>
              <c:pt idx="723">
                <c:v>0</c:v>
              </c:pt>
              <c:pt idx="724">
                <c:v>0</c:v>
              </c:pt>
              <c:pt idx="725">
                <c:v>1.121087372369455</c:v>
              </c:pt>
              <c:pt idx="726">
                <c:v>1.121087372369455</c:v>
              </c:pt>
              <c:pt idx="727">
                <c:v>0</c:v>
              </c:pt>
              <c:pt idx="728">
                <c:v>0</c:v>
              </c:pt>
              <c:pt idx="729">
                <c:v>1.121087372369455</c:v>
              </c:pt>
              <c:pt idx="730">
                <c:v>1.121087372369455</c:v>
              </c:pt>
              <c:pt idx="731">
                <c:v>0</c:v>
              </c:pt>
              <c:pt idx="732">
                <c:v>0</c:v>
              </c:pt>
              <c:pt idx="733">
                <c:v>1.121087372369455</c:v>
              </c:pt>
              <c:pt idx="734">
                <c:v>1.121087372369455</c:v>
              </c:pt>
              <c:pt idx="735">
                <c:v>0</c:v>
              </c:pt>
              <c:pt idx="736">
                <c:v>1.121087372369455</c:v>
              </c:pt>
              <c:pt idx="737">
                <c:v>0</c:v>
              </c:pt>
              <c:pt idx="740">
                <c:v>0</c:v>
              </c:pt>
              <c:pt idx="741">
                <c:v>1.2107743621590115</c:v>
              </c:pt>
              <c:pt idx="742">
                <c:v>1.2107743621590115</c:v>
              </c:pt>
              <c:pt idx="743">
                <c:v>0</c:v>
              </c:pt>
              <c:pt idx="744">
                <c:v>0</c:v>
              </c:pt>
              <c:pt idx="745">
                <c:v>1.2107743621590115</c:v>
              </c:pt>
              <c:pt idx="746">
                <c:v>1.2107743621590115</c:v>
              </c:pt>
              <c:pt idx="747">
                <c:v>0</c:v>
              </c:pt>
              <c:pt idx="748">
                <c:v>0</c:v>
              </c:pt>
              <c:pt idx="749">
                <c:v>1.2107743621590115</c:v>
              </c:pt>
              <c:pt idx="750">
                <c:v>1.2107743621590115</c:v>
              </c:pt>
              <c:pt idx="751">
                <c:v>0</c:v>
              </c:pt>
              <c:pt idx="752">
                <c:v>0</c:v>
              </c:pt>
              <c:pt idx="753">
                <c:v>1.2107743621590115</c:v>
              </c:pt>
              <c:pt idx="754">
                <c:v>1.2107743621590115</c:v>
              </c:pt>
              <c:pt idx="755">
                <c:v>0</c:v>
              </c:pt>
              <c:pt idx="756">
                <c:v>0</c:v>
              </c:pt>
              <c:pt idx="757">
                <c:v>1.2107743621590115</c:v>
              </c:pt>
              <c:pt idx="758">
                <c:v>1.2107743621590115</c:v>
              </c:pt>
              <c:pt idx="759">
                <c:v>0</c:v>
              </c:pt>
              <c:pt idx="760">
                <c:v>0</c:v>
              </c:pt>
              <c:pt idx="761">
                <c:v>1.2107743621590115</c:v>
              </c:pt>
              <c:pt idx="762">
                <c:v>1.2107743621590115</c:v>
              </c:pt>
              <c:pt idx="763">
                <c:v>0</c:v>
              </c:pt>
              <c:pt idx="764">
                <c:v>0</c:v>
              </c:pt>
              <c:pt idx="765">
                <c:v>1.2107743621590115</c:v>
              </c:pt>
              <c:pt idx="766">
                <c:v>1.2107743621590115</c:v>
              </c:pt>
              <c:pt idx="767">
                <c:v>0</c:v>
              </c:pt>
              <c:pt idx="768">
                <c:v>0</c:v>
              </c:pt>
              <c:pt idx="769">
                <c:v>1.2107743621590115</c:v>
              </c:pt>
              <c:pt idx="770">
                <c:v>1.2107743621590115</c:v>
              </c:pt>
              <c:pt idx="771">
                <c:v>0</c:v>
              </c:pt>
              <c:pt idx="772">
                <c:v>0</c:v>
              </c:pt>
              <c:pt idx="773">
                <c:v>1.2107743621590115</c:v>
              </c:pt>
              <c:pt idx="774">
                <c:v>1.2107743621590115</c:v>
              </c:pt>
              <c:pt idx="775">
                <c:v>0</c:v>
              </c:pt>
              <c:pt idx="776">
                <c:v>0</c:v>
              </c:pt>
              <c:pt idx="777">
                <c:v>1.2107743621590115</c:v>
              </c:pt>
              <c:pt idx="778">
                <c:v>1.2107743621590115</c:v>
              </c:pt>
              <c:pt idx="779">
                <c:v>0</c:v>
              </c:pt>
              <c:pt idx="780">
                <c:v>0</c:v>
              </c:pt>
              <c:pt idx="781">
                <c:v>1.2107743621590115</c:v>
              </c:pt>
              <c:pt idx="782">
                <c:v>1.2107743621590115</c:v>
              </c:pt>
              <c:pt idx="783">
                <c:v>0</c:v>
              </c:pt>
              <c:pt idx="784">
                <c:v>0</c:v>
              </c:pt>
              <c:pt idx="785">
                <c:v>1.2107743621590115</c:v>
              </c:pt>
              <c:pt idx="786">
                <c:v>1.2107743621590115</c:v>
              </c:pt>
              <c:pt idx="787">
                <c:v>0</c:v>
              </c:pt>
              <c:pt idx="788">
                <c:v>0</c:v>
              </c:pt>
              <c:pt idx="789">
                <c:v>1.2107743621590115</c:v>
              </c:pt>
              <c:pt idx="790">
                <c:v>1.2107743621590115</c:v>
              </c:pt>
              <c:pt idx="791">
                <c:v>0</c:v>
              </c:pt>
              <c:pt idx="792">
                <c:v>0</c:v>
              </c:pt>
              <c:pt idx="793">
                <c:v>1.2107743621590115</c:v>
              </c:pt>
              <c:pt idx="794">
                <c:v>1.2107743621590115</c:v>
              </c:pt>
              <c:pt idx="795">
                <c:v>0</c:v>
              </c:pt>
              <c:pt idx="796">
                <c:v>0</c:v>
              </c:pt>
              <c:pt idx="797">
                <c:v>1.2107743621590115</c:v>
              </c:pt>
              <c:pt idx="798">
                <c:v>1.2107743621590115</c:v>
              </c:pt>
              <c:pt idx="799">
                <c:v>0</c:v>
              </c:pt>
              <c:pt idx="800">
                <c:v>0</c:v>
              </c:pt>
              <c:pt idx="801">
                <c:v>1.2107743621590115</c:v>
              </c:pt>
              <c:pt idx="802">
                <c:v>1.2107743621590115</c:v>
              </c:pt>
              <c:pt idx="803">
                <c:v>0</c:v>
              </c:pt>
              <c:pt idx="804">
                <c:v>0</c:v>
              </c:pt>
              <c:pt idx="805">
                <c:v>1.2107743621590115</c:v>
              </c:pt>
              <c:pt idx="806">
                <c:v>1.2107743621590115</c:v>
              </c:pt>
              <c:pt idx="807">
                <c:v>0</c:v>
              </c:pt>
              <c:pt idx="808">
                <c:v>0</c:v>
              </c:pt>
              <c:pt idx="809">
                <c:v>1.2107743621590115</c:v>
              </c:pt>
              <c:pt idx="810">
                <c:v>1.2107743621590115</c:v>
              </c:pt>
              <c:pt idx="811">
                <c:v>0</c:v>
              </c:pt>
              <c:pt idx="812">
                <c:v>0</c:v>
              </c:pt>
              <c:pt idx="813">
                <c:v>1.2107743621590115</c:v>
              </c:pt>
              <c:pt idx="814">
                <c:v>1.2107743621590115</c:v>
              </c:pt>
              <c:pt idx="815">
                <c:v>0</c:v>
              </c:pt>
              <c:pt idx="816">
                <c:v>0</c:v>
              </c:pt>
              <c:pt idx="817">
                <c:v>1.2107743621590115</c:v>
              </c:pt>
              <c:pt idx="818">
                <c:v>1.2107743621590115</c:v>
              </c:pt>
              <c:pt idx="819">
                <c:v>0</c:v>
              </c:pt>
              <c:pt idx="820">
                <c:v>0</c:v>
              </c:pt>
              <c:pt idx="821">
                <c:v>1.2107743621590115</c:v>
              </c:pt>
              <c:pt idx="822">
                <c:v>1.2107743621590115</c:v>
              </c:pt>
              <c:pt idx="823">
                <c:v>0</c:v>
              </c:pt>
              <c:pt idx="824">
                <c:v>0</c:v>
              </c:pt>
              <c:pt idx="825">
                <c:v>1.2107743621590115</c:v>
              </c:pt>
              <c:pt idx="826">
                <c:v>1.2107743621590115</c:v>
              </c:pt>
              <c:pt idx="827">
                <c:v>0</c:v>
              </c:pt>
              <c:pt idx="828">
                <c:v>0</c:v>
              </c:pt>
              <c:pt idx="829">
                <c:v>1.2107743621590115</c:v>
              </c:pt>
              <c:pt idx="830">
                <c:v>1.2107743621590115</c:v>
              </c:pt>
              <c:pt idx="831">
                <c:v>0</c:v>
              </c:pt>
              <c:pt idx="832">
                <c:v>0</c:v>
              </c:pt>
              <c:pt idx="833">
                <c:v>1.2107743621590115</c:v>
              </c:pt>
              <c:pt idx="834">
                <c:v>1.2107743621590115</c:v>
              </c:pt>
              <c:pt idx="835">
                <c:v>0</c:v>
              </c:pt>
              <c:pt idx="836">
                <c:v>0</c:v>
              </c:pt>
              <c:pt idx="837">
                <c:v>1.2107743621590115</c:v>
              </c:pt>
              <c:pt idx="838">
                <c:v>1.2107743621590115</c:v>
              </c:pt>
              <c:pt idx="839">
                <c:v>0</c:v>
              </c:pt>
              <c:pt idx="840">
                <c:v>0</c:v>
              </c:pt>
              <c:pt idx="841">
                <c:v>1.2107743621590115</c:v>
              </c:pt>
              <c:pt idx="842">
                <c:v>1.2107743621590115</c:v>
              </c:pt>
              <c:pt idx="843">
                <c:v>0</c:v>
              </c:pt>
              <c:pt idx="844">
                <c:v>0</c:v>
              </c:pt>
              <c:pt idx="845">
                <c:v>1.2107743621590115</c:v>
              </c:pt>
              <c:pt idx="846">
                <c:v>1.2107743621590115</c:v>
              </c:pt>
              <c:pt idx="847">
                <c:v>0</c:v>
              </c:pt>
              <c:pt idx="848">
                <c:v>0</c:v>
              </c:pt>
              <c:pt idx="849">
                <c:v>1.2107743621590115</c:v>
              </c:pt>
              <c:pt idx="850">
                <c:v>1.2107743621590115</c:v>
              </c:pt>
              <c:pt idx="851">
                <c:v>0</c:v>
              </c:pt>
              <c:pt idx="852">
                <c:v>0</c:v>
              </c:pt>
              <c:pt idx="853">
                <c:v>1.2107743621590115</c:v>
              </c:pt>
              <c:pt idx="854">
                <c:v>1.2107743621590115</c:v>
              </c:pt>
              <c:pt idx="855">
                <c:v>0</c:v>
              </c:pt>
              <c:pt idx="856">
                <c:v>0</c:v>
              </c:pt>
              <c:pt idx="857">
                <c:v>1.2107743621590115</c:v>
              </c:pt>
              <c:pt idx="858">
                <c:v>1.2107743621590115</c:v>
              </c:pt>
              <c:pt idx="859">
                <c:v>0</c:v>
              </c:pt>
              <c:pt idx="860">
                <c:v>0</c:v>
              </c:pt>
              <c:pt idx="861">
                <c:v>1.2107743621590115</c:v>
              </c:pt>
              <c:pt idx="862">
                <c:v>1.2107743621590115</c:v>
              </c:pt>
              <c:pt idx="863">
                <c:v>0</c:v>
              </c:pt>
              <c:pt idx="864">
                <c:v>0</c:v>
              </c:pt>
              <c:pt idx="865">
                <c:v>1.2107743621590115</c:v>
              </c:pt>
              <c:pt idx="866">
                <c:v>1.2107743621590115</c:v>
              </c:pt>
              <c:pt idx="867">
                <c:v>0</c:v>
              </c:pt>
              <c:pt idx="868">
                <c:v>0</c:v>
              </c:pt>
              <c:pt idx="869">
                <c:v>1.2107743621590115</c:v>
              </c:pt>
              <c:pt idx="870">
                <c:v>1.2107743621590115</c:v>
              </c:pt>
              <c:pt idx="871">
                <c:v>0</c:v>
              </c:pt>
              <c:pt idx="872">
                <c:v>0</c:v>
              </c:pt>
              <c:pt idx="873">
                <c:v>1.2107743621590115</c:v>
              </c:pt>
              <c:pt idx="874">
                <c:v>1.2107743621590115</c:v>
              </c:pt>
              <c:pt idx="875">
                <c:v>0</c:v>
              </c:pt>
              <c:pt idx="876">
                <c:v>0</c:v>
              </c:pt>
              <c:pt idx="877">
                <c:v>1.2107743621590115</c:v>
              </c:pt>
              <c:pt idx="878">
                <c:v>1.2107743621590115</c:v>
              </c:pt>
              <c:pt idx="879">
                <c:v>0</c:v>
              </c:pt>
              <c:pt idx="880">
                <c:v>0</c:v>
              </c:pt>
              <c:pt idx="881">
                <c:v>1.2107743621590115</c:v>
              </c:pt>
              <c:pt idx="882">
                <c:v>1.2107743621590115</c:v>
              </c:pt>
              <c:pt idx="883">
                <c:v>0</c:v>
              </c:pt>
              <c:pt idx="884">
                <c:v>1.2107743621590115</c:v>
              </c:pt>
              <c:pt idx="885">
                <c:v>0</c:v>
              </c:pt>
              <c:pt idx="888">
                <c:v>0</c:v>
              </c:pt>
              <c:pt idx="889">
                <c:v>2.3991269768706336</c:v>
              </c:pt>
              <c:pt idx="890">
                <c:v>2.3991269768706336</c:v>
              </c:pt>
              <c:pt idx="891">
                <c:v>0</c:v>
              </c:pt>
              <c:pt idx="892">
                <c:v>0</c:v>
              </c:pt>
              <c:pt idx="893">
                <c:v>2.3991269768706336</c:v>
              </c:pt>
              <c:pt idx="894">
                <c:v>2.3991269768706336</c:v>
              </c:pt>
              <c:pt idx="895">
                <c:v>0</c:v>
              </c:pt>
              <c:pt idx="896">
                <c:v>0</c:v>
              </c:pt>
              <c:pt idx="897">
                <c:v>2.3991269768706336</c:v>
              </c:pt>
              <c:pt idx="898">
                <c:v>2.3991269768706336</c:v>
              </c:pt>
              <c:pt idx="899">
                <c:v>0</c:v>
              </c:pt>
              <c:pt idx="900">
                <c:v>0</c:v>
              </c:pt>
              <c:pt idx="901">
                <c:v>2.3991269768706336</c:v>
              </c:pt>
              <c:pt idx="902">
                <c:v>2.3991269768706336</c:v>
              </c:pt>
              <c:pt idx="903">
                <c:v>0</c:v>
              </c:pt>
              <c:pt idx="904">
                <c:v>0</c:v>
              </c:pt>
              <c:pt idx="905">
                <c:v>2.3991269768706336</c:v>
              </c:pt>
              <c:pt idx="906">
                <c:v>2.3991269768706336</c:v>
              </c:pt>
              <c:pt idx="907">
                <c:v>0</c:v>
              </c:pt>
              <c:pt idx="908">
                <c:v>0</c:v>
              </c:pt>
              <c:pt idx="909">
                <c:v>2.3991269768706336</c:v>
              </c:pt>
              <c:pt idx="910">
                <c:v>2.3991269768706336</c:v>
              </c:pt>
              <c:pt idx="911">
                <c:v>0</c:v>
              </c:pt>
              <c:pt idx="912">
                <c:v>0</c:v>
              </c:pt>
              <c:pt idx="913">
                <c:v>2.3991269768706336</c:v>
              </c:pt>
              <c:pt idx="914">
                <c:v>2.3991269768706336</c:v>
              </c:pt>
              <c:pt idx="915">
                <c:v>0</c:v>
              </c:pt>
              <c:pt idx="916">
                <c:v>0</c:v>
              </c:pt>
              <c:pt idx="917">
                <c:v>2.3991269768706336</c:v>
              </c:pt>
              <c:pt idx="918">
                <c:v>2.3991269768706336</c:v>
              </c:pt>
              <c:pt idx="919">
                <c:v>0</c:v>
              </c:pt>
              <c:pt idx="920">
                <c:v>0</c:v>
              </c:pt>
              <c:pt idx="921">
                <c:v>2.3991269768706336</c:v>
              </c:pt>
              <c:pt idx="922">
                <c:v>2.3991269768706336</c:v>
              </c:pt>
              <c:pt idx="923">
                <c:v>0</c:v>
              </c:pt>
              <c:pt idx="924">
                <c:v>0</c:v>
              </c:pt>
              <c:pt idx="925">
                <c:v>2.3991269768706336</c:v>
              </c:pt>
              <c:pt idx="926">
                <c:v>2.3991269768706336</c:v>
              </c:pt>
              <c:pt idx="927">
                <c:v>0</c:v>
              </c:pt>
              <c:pt idx="928">
                <c:v>0</c:v>
              </c:pt>
              <c:pt idx="929">
                <c:v>2.3991269768706336</c:v>
              </c:pt>
              <c:pt idx="930">
                <c:v>2.3991269768706336</c:v>
              </c:pt>
              <c:pt idx="931">
                <c:v>0</c:v>
              </c:pt>
              <c:pt idx="932">
                <c:v>0</c:v>
              </c:pt>
              <c:pt idx="933">
                <c:v>2.3991269768706336</c:v>
              </c:pt>
              <c:pt idx="934">
                <c:v>2.3991269768706336</c:v>
              </c:pt>
              <c:pt idx="935">
                <c:v>0</c:v>
              </c:pt>
              <c:pt idx="936">
                <c:v>0</c:v>
              </c:pt>
              <c:pt idx="937">
                <c:v>2.3991269768706336</c:v>
              </c:pt>
              <c:pt idx="938">
                <c:v>2.3991269768706336</c:v>
              </c:pt>
              <c:pt idx="939">
                <c:v>0</c:v>
              </c:pt>
              <c:pt idx="940">
                <c:v>0</c:v>
              </c:pt>
              <c:pt idx="941">
                <c:v>2.3991269768706336</c:v>
              </c:pt>
              <c:pt idx="942">
                <c:v>2.3991269768706336</c:v>
              </c:pt>
              <c:pt idx="943">
                <c:v>0</c:v>
              </c:pt>
              <c:pt idx="944">
                <c:v>0</c:v>
              </c:pt>
              <c:pt idx="945">
                <c:v>2.3991269768706336</c:v>
              </c:pt>
              <c:pt idx="946">
                <c:v>2.3991269768706336</c:v>
              </c:pt>
              <c:pt idx="947">
                <c:v>0</c:v>
              </c:pt>
              <c:pt idx="948">
                <c:v>0</c:v>
              </c:pt>
              <c:pt idx="949">
                <c:v>2.3991269768706336</c:v>
              </c:pt>
              <c:pt idx="950">
                <c:v>2.3991269768706336</c:v>
              </c:pt>
              <c:pt idx="951">
                <c:v>0</c:v>
              </c:pt>
              <c:pt idx="952">
                <c:v>0</c:v>
              </c:pt>
              <c:pt idx="953">
                <c:v>2.3991269768706336</c:v>
              </c:pt>
              <c:pt idx="954">
                <c:v>2.3991269768706336</c:v>
              </c:pt>
              <c:pt idx="955">
                <c:v>0</c:v>
              </c:pt>
              <c:pt idx="956">
                <c:v>0</c:v>
              </c:pt>
              <c:pt idx="957">
                <c:v>2.3991269768706336</c:v>
              </c:pt>
              <c:pt idx="958">
                <c:v>2.3991269768706336</c:v>
              </c:pt>
              <c:pt idx="959">
                <c:v>0</c:v>
              </c:pt>
              <c:pt idx="960">
                <c:v>0</c:v>
              </c:pt>
              <c:pt idx="961">
                <c:v>2.3991269768706336</c:v>
              </c:pt>
              <c:pt idx="962">
                <c:v>2.3991269768706336</c:v>
              </c:pt>
              <c:pt idx="963">
                <c:v>0</c:v>
              </c:pt>
              <c:pt idx="964">
                <c:v>0</c:v>
              </c:pt>
              <c:pt idx="965">
                <c:v>2.3991269768706336</c:v>
              </c:pt>
              <c:pt idx="966">
                <c:v>2.3991269768706336</c:v>
              </c:pt>
              <c:pt idx="967">
                <c:v>0</c:v>
              </c:pt>
              <c:pt idx="968">
                <c:v>0</c:v>
              </c:pt>
              <c:pt idx="969">
                <c:v>2.3991269768706336</c:v>
              </c:pt>
              <c:pt idx="970">
                <c:v>2.3991269768706336</c:v>
              </c:pt>
              <c:pt idx="971">
                <c:v>0</c:v>
              </c:pt>
              <c:pt idx="972">
                <c:v>0</c:v>
              </c:pt>
              <c:pt idx="973">
                <c:v>2.3991269768706336</c:v>
              </c:pt>
              <c:pt idx="974">
                <c:v>2.3991269768706336</c:v>
              </c:pt>
              <c:pt idx="975">
                <c:v>0</c:v>
              </c:pt>
              <c:pt idx="976">
                <c:v>0</c:v>
              </c:pt>
              <c:pt idx="977">
                <c:v>2.3991269768706336</c:v>
              </c:pt>
              <c:pt idx="978">
                <c:v>2.3991269768706336</c:v>
              </c:pt>
              <c:pt idx="979">
                <c:v>0</c:v>
              </c:pt>
              <c:pt idx="980">
                <c:v>0</c:v>
              </c:pt>
              <c:pt idx="981">
                <c:v>2.3991269768706336</c:v>
              </c:pt>
              <c:pt idx="982">
                <c:v>2.3991269768706336</c:v>
              </c:pt>
              <c:pt idx="983">
                <c:v>0</c:v>
              </c:pt>
              <c:pt idx="984">
                <c:v>0</c:v>
              </c:pt>
              <c:pt idx="985">
                <c:v>2.3991269768706336</c:v>
              </c:pt>
              <c:pt idx="986">
                <c:v>2.3991269768706336</c:v>
              </c:pt>
              <c:pt idx="987">
                <c:v>0</c:v>
              </c:pt>
              <c:pt idx="988">
                <c:v>0</c:v>
              </c:pt>
              <c:pt idx="989">
                <c:v>2.3991269768706336</c:v>
              </c:pt>
              <c:pt idx="990">
                <c:v>2.3991269768706336</c:v>
              </c:pt>
              <c:pt idx="991">
                <c:v>0</c:v>
              </c:pt>
              <c:pt idx="992">
                <c:v>0</c:v>
              </c:pt>
              <c:pt idx="993">
                <c:v>2.3991269768706336</c:v>
              </c:pt>
              <c:pt idx="994">
                <c:v>2.3991269768706336</c:v>
              </c:pt>
              <c:pt idx="995">
                <c:v>0</c:v>
              </c:pt>
              <c:pt idx="996">
                <c:v>0</c:v>
              </c:pt>
              <c:pt idx="997">
                <c:v>2.3991269768706336</c:v>
              </c:pt>
              <c:pt idx="998">
                <c:v>2.3991269768706336</c:v>
              </c:pt>
              <c:pt idx="999">
                <c:v>0</c:v>
              </c:pt>
              <c:pt idx="1000">
                <c:v>0</c:v>
              </c:pt>
              <c:pt idx="1001">
                <c:v>2.3991269768706336</c:v>
              </c:pt>
              <c:pt idx="1002">
                <c:v>2.3991269768706336</c:v>
              </c:pt>
              <c:pt idx="1003">
                <c:v>0</c:v>
              </c:pt>
              <c:pt idx="1004">
                <c:v>0</c:v>
              </c:pt>
              <c:pt idx="1005">
                <c:v>2.3991269768706336</c:v>
              </c:pt>
              <c:pt idx="1006">
                <c:v>2.3991269768706336</c:v>
              </c:pt>
              <c:pt idx="1007">
                <c:v>0</c:v>
              </c:pt>
              <c:pt idx="1008">
                <c:v>0</c:v>
              </c:pt>
              <c:pt idx="1009">
                <c:v>2.3991269768706336</c:v>
              </c:pt>
              <c:pt idx="1010">
                <c:v>2.3991269768706336</c:v>
              </c:pt>
              <c:pt idx="1011">
                <c:v>0</c:v>
              </c:pt>
              <c:pt idx="1012">
                <c:v>0</c:v>
              </c:pt>
              <c:pt idx="1013">
                <c:v>2.3991269768706336</c:v>
              </c:pt>
              <c:pt idx="1014">
                <c:v>2.3991269768706336</c:v>
              </c:pt>
              <c:pt idx="1015">
                <c:v>0</c:v>
              </c:pt>
              <c:pt idx="1016">
                <c:v>0</c:v>
              </c:pt>
              <c:pt idx="1017">
                <c:v>2.3991269768706336</c:v>
              </c:pt>
              <c:pt idx="1018">
                <c:v>2.3991269768706336</c:v>
              </c:pt>
              <c:pt idx="1019">
                <c:v>0</c:v>
              </c:pt>
              <c:pt idx="1020">
                <c:v>0</c:v>
              </c:pt>
              <c:pt idx="1021">
                <c:v>2.3991269768706336</c:v>
              </c:pt>
              <c:pt idx="1022">
                <c:v>2.3991269768706336</c:v>
              </c:pt>
              <c:pt idx="1023">
                <c:v>0</c:v>
              </c:pt>
              <c:pt idx="1024">
                <c:v>0</c:v>
              </c:pt>
              <c:pt idx="1025">
                <c:v>2.3991269768706336</c:v>
              </c:pt>
              <c:pt idx="1026">
                <c:v>2.3991269768706336</c:v>
              </c:pt>
              <c:pt idx="1027">
                <c:v>0</c:v>
              </c:pt>
              <c:pt idx="1028">
                <c:v>0</c:v>
              </c:pt>
              <c:pt idx="1029">
                <c:v>2.3991269768706336</c:v>
              </c:pt>
              <c:pt idx="1030">
                <c:v>2.3991269768706336</c:v>
              </c:pt>
              <c:pt idx="1031">
                <c:v>0</c:v>
              </c:pt>
              <c:pt idx="1032">
                <c:v>2.3991269768706336</c:v>
              </c:pt>
              <c:pt idx="1033">
                <c:v>0</c:v>
              </c:pt>
              <c:pt idx="1036">
                <c:v>0</c:v>
              </c:pt>
              <c:pt idx="1037">
                <c:v>4.349819004793486</c:v>
              </c:pt>
              <c:pt idx="1038">
                <c:v>4.349819004793486</c:v>
              </c:pt>
              <c:pt idx="1039">
                <c:v>0</c:v>
              </c:pt>
              <c:pt idx="1040">
                <c:v>0</c:v>
              </c:pt>
              <c:pt idx="1041">
                <c:v>4.349819004793486</c:v>
              </c:pt>
              <c:pt idx="1042">
                <c:v>4.349819004793486</c:v>
              </c:pt>
              <c:pt idx="1043">
                <c:v>0</c:v>
              </c:pt>
              <c:pt idx="1044">
                <c:v>0</c:v>
              </c:pt>
              <c:pt idx="1045">
                <c:v>4.349819004793486</c:v>
              </c:pt>
              <c:pt idx="1046">
                <c:v>4.349819004793486</c:v>
              </c:pt>
              <c:pt idx="1047">
                <c:v>0</c:v>
              </c:pt>
              <c:pt idx="1048">
                <c:v>0</c:v>
              </c:pt>
              <c:pt idx="1049">
                <c:v>4.349819004793486</c:v>
              </c:pt>
              <c:pt idx="1050">
                <c:v>4.349819004793486</c:v>
              </c:pt>
              <c:pt idx="1051">
                <c:v>0</c:v>
              </c:pt>
              <c:pt idx="1052">
                <c:v>0</c:v>
              </c:pt>
              <c:pt idx="1053">
                <c:v>4.349819004793486</c:v>
              </c:pt>
              <c:pt idx="1054">
                <c:v>4.349819004793486</c:v>
              </c:pt>
              <c:pt idx="1055">
                <c:v>0</c:v>
              </c:pt>
              <c:pt idx="1056">
                <c:v>0</c:v>
              </c:pt>
              <c:pt idx="1057">
                <c:v>4.349819004793486</c:v>
              </c:pt>
              <c:pt idx="1058">
                <c:v>4.349819004793486</c:v>
              </c:pt>
              <c:pt idx="1059">
                <c:v>0</c:v>
              </c:pt>
              <c:pt idx="1060">
                <c:v>0</c:v>
              </c:pt>
              <c:pt idx="1061">
                <c:v>4.349819004793486</c:v>
              </c:pt>
              <c:pt idx="1062">
                <c:v>4.349819004793486</c:v>
              </c:pt>
              <c:pt idx="1063">
                <c:v>0</c:v>
              </c:pt>
              <c:pt idx="1064">
                <c:v>0</c:v>
              </c:pt>
              <c:pt idx="1065">
                <c:v>4.349819004793486</c:v>
              </c:pt>
              <c:pt idx="1066">
                <c:v>4.349819004793486</c:v>
              </c:pt>
              <c:pt idx="1067">
                <c:v>0</c:v>
              </c:pt>
              <c:pt idx="1068">
                <c:v>0</c:v>
              </c:pt>
              <c:pt idx="1069">
                <c:v>4.349819004793486</c:v>
              </c:pt>
              <c:pt idx="1070">
                <c:v>4.349819004793486</c:v>
              </c:pt>
              <c:pt idx="1071">
                <c:v>0</c:v>
              </c:pt>
              <c:pt idx="1072">
                <c:v>0</c:v>
              </c:pt>
              <c:pt idx="1073">
                <c:v>4.349819004793486</c:v>
              </c:pt>
              <c:pt idx="1074">
                <c:v>4.349819004793486</c:v>
              </c:pt>
              <c:pt idx="1075">
                <c:v>0</c:v>
              </c:pt>
              <c:pt idx="1076">
                <c:v>0</c:v>
              </c:pt>
              <c:pt idx="1077">
                <c:v>4.349819004793486</c:v>
              </c:pt>
              <c:pt idx="1078">
                <c:v>4.349819004793486</c:v>
              </c:pt>
              <c:pt idx="1079">
                <c:v>0</c:v>
              </c:pt>
              <c:pt idx="1080">
                <c:v>0</c:v>
              </c:pt>
              <c:pt idx="1081">
                <c:v>4.349819004793486</c:v>
              </c:pt>
              <c:pt idx="1082">
                <c:v>4.349819004793486</c:v>
              </c:pt>
              <c:pt idx="1083">
                <c:v>0</c:v>
              </c:pt>
              <c:pt idx="1084">
                <c:v>0</c:v>
              </c:pt>
              <c:pt idx="1085">
                <c:v>4.349819004793486</c:v>
              </c:pt>
              <c:pt idx="1086">
                <c:v>4.349819004793486</c:v>
              </c:pt>
              <c:pt idx="1087">
                <c:v>0</c:v>
              </c:pt>
              <c:pt idx="1088">
                <c:v>0</c:v>
              </c:pt>
              <c:pt idx="1089">
                <c:v>4.349819004793486</c:v>
              </c:pt>
              <c:pt idx="1090">
                <c:v>4.349819004793486</c:v>
              </c:pt>
              <c:pt idx="1091">
                <c:v>0</c:v>
              </c:pt>
              <c:pt idx="1092">
                <c:v>0</c:v>
              </c:pt>
              <c:pt idx="1093">
                <c:v>4.349819004793486</c:v>
              </c:pt>
              <c:pt idx="1094">
                <c:v>4.349819004793486</c:v>
              </c:pt>
              <c:pt idx="1095">
                <c:v>0</c:v>
              </c:pt>
              <c:pt idx="1096">
                <c:v>0</c:v>
              </c:pt>
              <c:pt idx="1097">
                <c:v>4.349819004793486</c:v>
              </c:pt>
              <c:pt idx="1098">
                <c:v>4.349819004793486</c:v>
              </c:pt>
              <c:pt idx="1099">
                <c:v>0</c:v>
              </c:pt>
              <c:pt idx="1100">
                <c:v>0</c:v>
              </c:pt>
              <c:pt idx="1101">
                <c:v>4.349819004793486</c:v>
              </c:pt>
              <c:pt idx="1102">
                <c:v>4.349819004793486</c:v>
              </c:pt>
              <c:pt idx="1103">
                <c:v>0</c:v>
              </c:pt>
              <c:pt idx="1104">
                <c:v>0</c:v>
              </c:pt>
              <c:pt idx="1105">
                <c:v>4.349819004793486</c:v>
              </c:pt>
              <c:pt idx="1106">
                <c:v>4.349819004793486</c:v>
              </c:pt>
              <c:pt idx="1107">
                <c:v>0</c:v>
              </c:pt>
              <c:pt idx="1108">
                <c:v>0</c:v>
              </c:pt>
              <c:pt idx="1109">
                <c:v>4.349819004793486</c:v>
              </c:pt>
              <c:pt idx="1110">
                <c:v>4.349819004793486</c:v>
              </c:pt>
              <c:pt idx="1111">
                <c:v>0</c:v>
              </c:pt>
              <c:pt idx="1112">
                <c:v>0</c:v>
              </c:pt>
              <c:pt idx="1113">
                <c:v>4.349819004793486</c:v>
              </c:pt>
              <c:pt idx="1114">
                <c:v>4.349819004793486</c:v>
              </c:pt>
              <c:pt idx="1115">
                <c:v>0</c:v>
              </c:pt>
              <c:pt idx="1116">
                <c:v>0</c:v>
              </c:pt>
              <c:pt idx="1117">
                <c:v>4.349819004793486</c:v>
              </c:pt>
              <c:pt idx="1118">
                <c:v>4.349819004793486</c:v>
              </c:pt>
              <c:pt idx="1119">
                <c:v>0</c:v>
              </c:pt>
              <c:pt idx="1120">
                <c:v>0</c:v>
              </c:pt>
              <c:pt idx="1121">
                <c:v>4.349819004793486</c:v>
              </c:pt>
              <c:pt idx="1122">
                <c:v>4.349819004793486</c:v>
              </c:pt>
              <c:pt idx="1123">
                <c:v>0</c:v>
              </c:pt>
              <c:pt idx="1124">
                <c:v>0</c:v>
              </c:pt>
              <c:pt idx="1125">
                <c:v>4.349819004793486</c:v>
              </c:pt>
              <c:pt idx="1126">
                <c:v>4.349819004793486</c:v>
              </c:pt>
              <c:pt idx="1127">
                <c:v>0</c:v>
              </c:pt>
              <c:pt idx="1128">
                <c:v>0</c:v>
              </c:pt>
              <c:pt idx="1129">
                <c:v>4.349819004793486</c:v>
              </c:pt>
              <c:pt idx="1130">
                <c:v>4.349819004793486</c:v>
              </c:pt>
              <c:pt idx="1131">
                <c:v>0</c:v>
              </c:pt>
              <c:pt idx="1132">
                <c:v>0</c:v>
              </c:pt>
              <c:pt idx="1133">
                <c:v>4.349819004793486</c:v>
              </c:pt>
              <c:pt idx="1134">
                <c:v>4.349819004793486</c:v>
              </c:pt>
              <c:pt idx="1135">
                <c:v>0</c:v>
              </c:pt>
              <c:pt idx="1136">
                <c:v>0</c:v>
              </c:pt>
              <c:pt idx="1137">
                <c:v>4.349819004793486</c:v>
              </c:pt>
              <c:pt idx="1138">
                <c:v>4.349819004793486</c:v>
              </c:pt>
              <c:pt idx="1139">
                <c:v>0</c:v>
              </c:pt>
              <c:pt idx="1140">
                <c:v>0</c:v>
              </c:pt>
              <c:pt idx="1141">
                <c:v>4.349819004793486</c:v>
              </c:pt>
              <c:pt idx="1142">
                <c:v>4.349819004793486</c:v>
              </c:pt>
              <c:pt idx="1143">
                <c:v>0</c:v>
              </c:pt>
              <c:pt idx="1144">
                <c:v>0</c:v>
              </c:pt>
              <c:pt idx="1145">
                <c:v>4.349819004793486</c:v>
              </c:pt>
              <c:pt idx="1146">
                <c:v>4.349819004793486</c:v>
              </c:pt>
              <c:pt idx="1147">
                <c:v>0</c:v>
              </c:pt>
              <c:pt idx="1148">
                <c:v>0</c:v>
              </c:pt>
              <c:pt idx="1149">
                <c:v>4.349819004793486</c:v>
              </c:pt>
              <c:pt idx="1150">
                <c:v>4.349819004793486</c:v>
              </c:pt>
              <c:pt idx="1151">
                <c:v>0</c:v>
              </c:pt>
              <c:pt idx="1152">
                <c:v>0</c:v>
              </c:pt>
              <c:pt idx="1153">
                <c:v>4.349819004793486</c:v>
              </c:pt>
              <c:pt idx="1154">
                <c:v>4.349819004793486</c:v>
              </c:pt>
              <c:pt idx="1155">
                <c:v>0</c:v>
              </c:pt>
              <c:pt idx="1156">
                <c:v>0</c:v>
              </c:pt>
              <c:pt idx="1157">
                <c:v>4.349819004793486</c:v>
              </c:pt>
              <c:pt idx="1158">
                <c:v>4.349819004793486</c:v>
              </c:pt>
              <c:pt idx="1159">
                <c:v>0</c:v>
              </c:pt>
              <c:pt idx="1160">
                <c:v>0</c:v>
              </c:pt>
              <c:pt idx="1161">
                <c:v>4.349819004793486</c:v>
              </c:pt>
              <c:pt idx="1162">
                <c:v>4.349819004793486</c:v>
              </c:pt>
              <c:pt idx="1163">
                <c:v>0</c:v>
              </c:pt>
              <c:pt idx="1164">
                <c:v>0</c:v>
              </c:pt>
              <c:pt idx="1165">
                <c:v>4.349819004793486</c:v>
              </c:pt>
              <c:pt idx="1166">
                <c:v>4.349819004793486</c:v>
              </c:pt>
              <c:pt idx="1167">
                <c:v>0</c:v>
              </c:pt>
              <c:pt idx="1168">
                <c:v>0</c:v>
              </c:pt>
              <c:pt idx="1169">
                <c:v>4.349819004793486</c:v>
              </c:pt>
              <c:pt idx="1170">
                <c:v>4.349819004793486</c:v>
              </c:pt>
              <c:pt idx="1171">
                <c:v>0</c:v>
              </c:pt>
              <c:pt idx="1172">
                <c:v>0</c:v>
              </c:pt>
              <c:pt idx="1173">
                <c:v>4.349819004793486</c:v>
              </c:pt>
              <c:pt idx="1174">
                <c:v>4.349819004793486</c:v>
              </c:pt>
              <c:pt idx="1175">
                <c:v>0</c:v>
              </c:pt>
              <c:pt idx="1176">
                <c:v>0</c:v>
              </c:pt>
              <c:pt idx="1177">
                <c:v>4.349819004793486</c:v>
              </c:pt>
              <c:pt idx="1178">
                <c:v>4.349819004793486</c:v>
              </c:pt>
              <c:pt idx="1179">
                <c:v>0</c:v>
              </c:pt>
              <c:pt idx="1180">
                <c:v>4.349819004793486</c:v>
              </c:pt>
              <c:pt idx="1181">
                <c:v>0</c:v>
              </c:pt>
              <c:pt idx="1184">
                <c:v>0</c:v>
              </c:pt>
              <c:pt idx="1185">
                <c:v>6.009028315900279</c:v>
              </c:pt>
              <c:pt idx="1186">
                <c:v>6.009028315900279</c:v>
              </c:pt>
              <c:pt idx="1187">
                <c:v>0</c:v>
              </c:pt>
              <c:pt idx="1188">
                <c:v>0</c:v>
              </c:pt>
              <c:pt idx="1189">
                <c:v>6.009028315900279</c:v>
              </c:pt>
              <c:pt idx="1190">
                <c:v>6.009028315900279</c:v>
              </c:pt>
              <c:pt idx="1191">
                <c:v>0</c:v>
              </c:pt>
              <c:pt idx="1192">
                <c:v>0</c:v>
              </c:pt>
              <c:pt idx="1193">
                <c:v>6.009028315900279</c:v>
              </c:pt>
              <c:pt idx="1194">
                <c:v>6.009028315900279</c:v>
              </c:pt>
              <c:pt idx="1195">
                <c:v>0</c:v>
              </c:pt>
              <c:pt idx="1196">
                <c:v>0</c:v>
              </c:pt>
              <c:pt idx="1197">
                <c:v>6.009028315900279</c:v>
              </c:pt>
              <c:pt idx="1198">
                <c:v>6.009028315900279</c:v>
              </c:pt>
              <c:pt idx="1199">
                <c:v>0</c:v>
              </c:pt>
              <c:pt idx="1200">
                <c:v>0</c:v>
              </c:pt>
              <c:pt idx="1201">
                <c:v>6.009028315900279</c:v>
              </c:pt>
              <c:pt idx="1202">
                <c:v>6.009028315900279</c:v>
              </c:pt>
              <c:pt idx="1203">
                <c:v>0</c:v>
              </c:pt>
              <c:pt idx="1204">
                <c:v>0</c:v>
              </c:pt>
              <c:pt idx="1205">
                <c:v>6.009028315900279</c:v>
              </c:pt>
              <c:pt idx="1206">
                <c:v>6.009028315900279</c:v>
              </c:pt>
              <c:pt idx="1207">
                <c:v>0</c:v>
              </c:pt>
              <c:pt idx="1208">
                <c:v>0</c:v>
              </c:pt>
              <c:pt idx="1209">
                <c:v>6.009028315900279</c:v>
              </c:pt>
              <c:pt idx="1210">
                <c:v>6.009028315900279</c:v>
              </c:pt>
              <c:pt idx="1211">
                <c:v>0</c:v>
              </c:pt>
              <c:pt idx="1212">
                <c:v>0</c:v>
              </c:pt>
              <c:pt idx="1213">
                <c:v>6.009028315900279</c:v>
              </c:pt>
              <c:pt idx="1214">
                <c:v>6.009028315900279</c:v>
              </c:pt>
              <c:pt idx="1215">
                <c:v>0</c:v>
              </c:pt>
              <c:pt idx="1216">
                <c:v>0</c:v>
              </c:pt>
              <c:pt idx="1217">
                <c:v>6.009028315900279</c:v>
              </c:pt>
              <c:pt idx="1218">
                <c:v>6.009028315900279</c:v>
              </c:pt>
              <c:pt idx="1219">
                <c:v>0</c:v>
              </c:pt>
              <c:pt idx="1220">
                <c:v>0</c:v>
              </c:pt>
              <c:pt idx="1221">
                <c:v>6.009028315900279</c:v>
              </c:pt>
              <c:pt idx="1222">
                <c:v>6.009028315900279</c:v>
              </c:pt>
              <c:pt idx="1223">
                <c:v>0</c:v>
              </c:pt>
              <c:pt idx="1224">
                <c:v>0</c:v>
              </c:pt>
              <c:pt idx="1225">
                <c:v>6.009028315900279</c:v>
              </c:pt>
              <c:pt idx="1226">
                <c:v>6.009028315900279</c:v>
              </c:pt>
              <c:pt idx="1227">
                <c:v>0</c:v>
              </c:pt>
              <c:pt idx="1228">
                <c:v>0</c:v>
              </c:pt>
              <c:pt idx="1229">
                <c:v>6.009028315900279</c:v>
              </c:pt>
              <c:pt idx="1230">
                <c:v>6.009028315900279</c:v>
              </c:pt>
              <c:pt idx="1231">
                <c:v>0</c:v>
              </c:pt>
              <c:pt idx="1232">
                <c:v>0</c:v>
              </c:pt>
              <c:pt idx="1233">
                <c:v>6.009028315900279</c:v>
              </c:pt>
              <c:pt idx="1234">
                <c:v>6.009028315900279</c:v>
              </c:pt>
              <c:pt idx="1235">
                <c:v>0</c:v>
              </c:pt>
              <c:pt idx="1236">
                <c:v>0</c:v>
              </c:pt>
              <c:pt idx="1237">
                <c:v>6.009028315900279</c:v>
              </c:pt>
              <c:pt idx="1238">
                <c:v>6.009028315900279</c:v>
              </c:pt>
              <c:pt idx="1239">
                <c:v>0</c:v>
              </c:pt>
              <c:pt idx="1240">
                <c:v>0</c:v>
              </c:pt>
              <c:pt idx="1241">
                <c:v>6.009028315900279</c:v>
              </c:pt>
              <c:pt idx="1242">
                <c:v>6.009028315900279</c:v>
              </c:pt>
              <c:pt idx="1243">
                <c:v>0</c:v>
              </c:pt>
              <c:pt idx="1244">
                <c:v>0</c:v>
              </c:pt>
              <c:pt idx="1245">
                <c:v>6.009028315900279</c:v>
              </c:pt>
              <c:pt idx="1246">
                <c:v>6.009028315900279</c:v>
              </c:pt>
              <c:pt idx="1247">
                <c:v>0</c:v>
              </c:pt>
              <c:pt idx="1248">
                <c:v>0</c:v>
              </c:pt>
              <c:pt idx="1249">
                <c:v>6.009028315900279</c:v>
              </c:pt>
              <c:pt idx="1250">
                <c:v>6.009028315900279</c:v>
              </c:pt>
              <c:pt idx="1251">
                <c:v>0</c:v>
              </c:pt>
              <c:pt idx="1252">
                <c:v>0</c:v>
              </c:pt>
              <c:pt idx="1253">
                <c:v>6.009028315900279</c:v>
              </c:pt>
              <c:pt idx="1254">
                <c:v>6.009028315900279</c:v>
              </c:pt>
              <c:pt idx="1255">
                <c:v>0</c:v>
              </c:pt>
              <c:pt idx="1256">
                <c:v>0</c:v>
              </c:pt>
              <c:pt idx="1257">
                <c:v>6.009028315900279</c:v>
              </c:pt>
              <c:pt idx="1258">
                <c:v>6.009028315900279</c:v>
              </c:pt>
              <c:pt idx="1259">
                <c:v>0</c:v>
              </c:pt>
              <c:pt idx="1260">
                <c:v>0</c:v>
              </c:pt>
              <c:pt idx="1261">
                <c:v>6.009028315900279</c:v>
              </c:pt>
              <c:pt idx="1262">
                <c:v>6.009028315900279</c:v>
              </c:pt>
              <c:pt idx="1263">
                <c:v>0</c:v>
              </c:pt>
              <c:pt idx="1264">
                <c:v>0</c:v>
              </c:pt>
              <c:pt idx="1265">
                <c:v>6.009028315900279</c:v>
              </c:pt>
              <c:pt idx="1266">
                <c:v>6.009028315900279</c:v>
              </c:pt>
              <c:pt idx="1267">
                <c:v>0</c:v>
              </c:pt>
              <c:pt idx="1268">
                <c:v>0</c:v>
              </c:pt>
              <c:pt idx="1269">
                <c:v>6.009028315900279</c:v>
              </c:pt>
              <c:pt idx="1270">
                <c:v>6.009028315900279</c:v>
              </c:pt>
              <c:pt idx="1271">
                <c:v>0</c:v>
              </c:pt>
              <c:pt idx="1272">
                <c:v>0</c:v>
              </c:pt>
              <c:pt idx="1273">
                <c:v>6.009028315900279</c:v>
              </c:pt>
              <c:pt idx="1274">
                <c:v>6.009028315900279</c:v>
              </c:pt>
              <c:pt idx="1275">
                <c:v>0</c:v>
              </c:pt>
              <c:pt idx="1276">
                <c:v>0</c:v>
              </c:pt>
              <c:pt idx="1277">
                <c:v>6.009028315900279</c:v>
              </c:pt>
              <c:pt idx="1278">
                <c:v>6.009028315900279</c:v>
              </c:pt>
              <c:pt idx="1279">
                <c:v>0</c:v>
              </c:pt>
              <c:pt idx="1280">
                <c:v>0</c:v>
              </c:pt>
              <c:pt idx="1281">
                <c:v>6.009028315900279</c:v>
              </c:pt>
              <c:pt idx="1282">
                <c:v>6.009028315900279</c:v>
              </c:pt>
              <c:pt idx="1283">
                <c:v>0</c:v>
              </c:pt>
              <c:pt idx="1284">
                <c:v>0</c:v>
              </c:pt>
              <c:pt idx="1285">
                <c:v>6.009028315900279</c:v>
              </c:pt>
              <c:pt idx="1286">
                <c:v>6.009028315900279</c:v>
              </c:pt>
              <c:pt idx="1287">
                <c:v>0</c:v>
              </c:pt>
              <c:pt idx="1288">
                <c:v>0</c:v>
              </c:pt>
              <c:pt idx="1289">
                <c:v>6.009028315900279</c:v>
              </c:pt>
              <c:pt idx="1290">
                <c:v>6.009028315900279</c:v>
              </c:pt>
              <c:pt idx="1291">
                <c:v>0</c:v>
              </c:pt>
              <c:pt idx="1292">
                <c:v>0</c:v>
              </c:pt>
              <c:pt idx="1293">
                <c:v>6.009028315900279</c:v>
              </c:pt>
              <c:pt idx="1294">
                <c:v>6.009028315900279</c:v>
              </c:pt>
              <c:pt idx="1295">
                <c:v>0</c:v>
              </c:pt>
              <c:pt idx="1296">
                <c:v>0</c:v>
              </c:pt>
              <c:pt idx="1297">
                <c:v>6.009028315900279</c:v>
              </c:pt>
              <c:pt idx="1298">
                <c:v>6.009028315900279</c:v>
              </c:pt>
              <c:pt idx="1299">
                <c:v>0</c:v>
              </c:pt>
              <c:pt idx="1300">
                <c:v>0</c:v>
              </c:pt>
              <c:pt idx="1301">
                <c:v>6.009028315900279</c:v>
              </c:pt>
              <c:pt idx="1302">
                <c:v>6.009028315900279</c:v>
              </c:pt>
              <c:pt idx="1303">
                <c:v>0</c:v>
              </c:pt>
              <c:pt idx="1304">
                <c:v>0</c:v>
              </c:pt>
              <c:pt idx="1305">
                <c:v>6.009028315900279</c:v>
              </c:pt>
              <c:pt idx="1306">
                <c:v>6.009028315900279</c:v>
              </c:pt>
              <c:pt idx="1307">
                <c:v>0</c:v>
              </c:pt>
              <c:pt idx="1308">
                <c:v>0</c:v>
              </c:pt>
              <c:pt idx="1309">
                <c:v>6.009028315900279</c:v>
              </c:pt>
              <c:pt idx="1310">
                <c:v>6.009028315900279</c:v>
              </c:pt>
              <c:pt idx="1311">
                <c:v>0</c:v>
              </c:pt>
              <c:pt idx="1312">
                <c:v>0</c:v>
              </c:pt>
              <c:pt idx="1313">
                <c:v>6.009028315900279</c:v>
              </c:pt>
              <c:pt idx="1314">
                <c:v>6.009028315900279</c:v>
              </c:pt>
              <c:pt idx="1315">
                <c:v>0</c:v>
              </c:pt>
              <c:pt idx="1316">
                <c:v>0</c:v>
              </c:pt>
              <c:pt idx="1317">
                <c:v>6.009028315900279</c:v>
              </c:pt>
              <c:pt idx="1318">
                <c:v>6.009028315900279</c:v>
              </c:pt>
              <c:pt idx="1319">
                <c:v>0</c:v>
              </c:pt>
              <c:pt idx="1320">
                <c:v>0</c:v>
              </c:pt>
              <c:pt idx="1321">
                <c:v>6.009028315900279</c:v>
              </c:pt>
              <c:pt idx="1322">
                <c:v>6.009028315900279</c:v>
              </c:pt>
              <c:pt idx="1323">
                <c:v>0</c:v>
              </c:pt>
              <c:pt idx="1324">
                <c:v>0</c:v>
              </c:pt>
              <c:pt idx="1325">
                <c:v>6.009028315900279</c:v>
              </c:pt>
              <c:pt idx="1326">
                <c:v>6.009028315900279</c:v>
              </c:pt>
              <c:pt idx="1327">
                <c:v>0</c:v>
              </c:pt>
              <c:pt idx="1328">
                <c:v>6.009028315900279</c:v>
              </c:pt>
              <c:pt idx="1329">
                <c:v>0</c:v>
              </c:pt>
              <c:pt idx="1332">
                <c:v>0</c:v>
              </c:pt>
              <c:pt idx="1333">
                <c:v>8.699638009586971</c:v>
              </c:pt>
              <c:pt idx="1334">
                <c:v>8.699638009586971</c:v>
              </c:pt>
              <c:pt idx="1335">
                <c:v>0</c:v>
              </c:pt>
              <c:pt idx="1336">
                <c:v>0</c:v>
              </c:pt>
              <c:pt idx="1337">
                <c:v>8.699638009586971</c:v>
              </c:pt>
              <c:pt idx="1338">
                <c:v>8.699638009586971</c:v>
              </c:pt>
              <c:pt idx="1339">
                <c:v>0</c:v>
              </c:pt>
              <c:pt idx="1340">
                <c:v>0</c:v>
              </c:pt>
              <c:pt idx="1341">
                <c:v>8.699638009586971</c:v>
              </c:pt>
              <c:pt idx="1342">
                <c:v>8.699638009586971</c:v>
              </c:pt>
              <c:pt idx="1343">
                <c:v>0</c:v>
              </c:pt>
              <c:pt idx="1344">
                <c:v>0</c:v>
              </c:pt>
              <c:pt idx="1345">
                <c:v>8.699638009586971</c:v>
              </c:pt>
              <c:pt idx="1346">
                <c:v>8.699638009586971</c:v>
              </c:pt>
              <c:pt idx="1347">
                <c:v>0</c:v>
              </c:pt>
              <c:pt idx="1348">
                <c:v>0</c:v>
              </c:pt>
              <c:pt idx="1349">
                <c:v>8.699638009586971</c:v>
              </c:pt>
              <c:pt idx="1350">
                <c:v>8.699638009586971</c:v>
              </c:pt>
              <c:pt idx="1351">
                <c:v>0</c:v>
              </c:pt>
              <c:pt idx="1352">
                <c:v>0</c:v>
              </c:pt>
              <c:pt idx="1353">
                <c:v>8.699638009586971</c:v>
              </c:pt>
              <c:pt idx="1354">
                <c:v>8.699638009586971</c:v>
              </c:pt>
              <c:pt idx="1355">
                <c:v>0</c:v>
              </c:pt>
              <c:pt idx="1356">
                <c:v>0</c:v>
              </c:pt>
              <c:pt idx="1357">
                <c:v>8.699638009586971</c:v>
              </c:pt>
              <c:pt idx="1358">
                <c:v>8.699638009586971</c:v>
              </c:pt>
              <c:pt idx="1359">
                <c:v>0</c:v>
              </c:pt>
              <c:pt idx="1360">
                <c:v>0</c:v>
              </c:pt>
              <c:pt idx="1361">
                <c:v>8.699638009586971</c:v>
              </c:pt>
              <c:pt idx="1362">
                <c:v>8.699638009586971</c:v>
              </c:pt>
              <c:pt idx="1363">
                <c:v>0</c:v>
              </c:pt>
              <c:pt idx="1364">
                <c:v>0</c:v>
              </c:pt>
              <c:pt idx="1365">
                <c:v>8.699638009586971</c:v>
              </c:pt>
              <c:pt idx="1366">
                <c:v>8.699638009586971</c:v>
              </c:pt>
              <c:pt idx="1367">
                <c:v>0</c:v>
              </c:pt>
              <c:pt idx="1368">
                <c:v>0</c:v>
              </c:pt>
              <c:pt idx="1369">
                <c:v>8.699638009586971</c:v>
              </c:pt>
              <c:pt idx="1370">
                <c:v>8.699638009586971</c:v>
              </c:pt>
              <c:pt idx="1371">
                <c:v>0</c:v>
              </c:pt>
              <c:pt idx="1372">
                <c:v>0</c:v>
              </c:pt>
              <c:pt idx="1373">
                <c:v>8.699638009586971</c:v>
              </c:pt>
              <c:pt idx="1374">
                <c:v>8.699638009586971</c:v>
              </c:pt>
              <c:pt idx="1375">
                <c:v>0</c:v>
              </c:pt>
              <c:pt idx="1376">
                <c:v>0</c:v>
              </c:pt>
              <c:pt idx="1377">
                <c:v>8.699638009586971</c:v>
              </c:pt>
              <c:pt idx="1378">
                <c:v>8.699638009586971</c:v>
              </c:pt>
              <c:pt idx="1379">
                <c:v>0</c:v>
              </c:pt>
              <c:pt idx="1380">
                <c:v>0</c:v>
              </c:pt>
              <c:pt idx="1381">
                <c:v>8.699638009586971</c:v>
              </c:pt>
              <c:pt idx="1382">
                <c:v>8.699638009586971</c:v>
              </c:pt>
              <c:pt idx="1383">
                <c:v>0</c:v>
              </c:pt>
              <c:pt idx="1384">
                <c:v>0</c:v>
              </c:pt>
              <c:pt idx="1385">
                <c:v>8.699638009586971</c:v>
              </c:pt>
              <c:pt idx="1386">
                <c:v>8.699638009586971</c:v>
              </c:pt>
              <c:pt idx="1387">
                <c:v>0</c:v>
              </c:pt>
              <c:pt idx="1388">
                <c:v>0</c:v>
              </c:pt>
              <c:pt idx="1389">
                <c:v>8.699638009586971</c:v>
              </c:pt>
              <c:pt idx="1390">
                <c:v>8.699638009586971</c:v>
              </c:pt>
              <c:pt idx="1391">
                <c:v>0</c:v>
              </c:pt>
              <c:pt idx="1392">
                <c:v>0</c:v>
              </c:pt>
              <c:pt idx="1393">
                <c:v>8.699638009586971</c:v>
              </c:pt>
              <c:pt idx="1394">
                <c:v>8.699638009586971</c:v>
              </c:pt>
              <c:pt idx="1395">
                <c:v>0</c:v>
              </c:pt>
              <c:pt idx="1396">
                <c:v>0</c:v>
              </c:pt>
              <c:pt idx="1397">
                <c:v>8.699638009586971</c:v>
              </c:pt>
              <c:pt idx="1398">
                <c:v>8.699638009586971</c:v>
              </c:pt>
              <c:pt idx="1399">
                <c:v>0</c:v>
              </c:pt>
              <c:pt idx="1400">
                <c:v>0</c:v>
              </c:pt>
              <c:pt idx="1401">
                <c:v>8.699638009586971</c:v>
              </c:pt>
              <c:pt idx="1402">
                <c:v>8.699638009586971</c:v>
              </c:pt>
              <c:pt idx="1403">
                <c:v>0</c:v>
              </c:pt>
              <c:pt idx="1404">
                <c:v>0</c:v>
              </c:pt>
              <c:pt idx="1405">
                <c:v>8.699638009586971</c:v>
              </c:pt>
              <c:pt idx="1406">
                <c:v>8.699638009586971</c:v>
              </c:pt>
              <c:pt idx="1407">
                <c:v>0</c:v>
              </c:pt>
              <c:pt idx="1408">
                <c:v>0</c:v>
              </c:pt>
              <c:pt idx="1409">
                <c:v>8.699638009586971</c:v>
              </c:pt>
              <c:pt idx="1410">
                <c:v>8.699638009586971</c:v>
              </c:pt>
              <c:pt idx="1411">
                <c:v>0</c:v>
              </c:pt>
              <c:pt idx="1412">
                <c:v>0</c:v>
              </c:pt>
              <c:pt idx="1413">
                <c:v>8.699638009586971</c:v>
              </c:pt>
              <c:pt idx="1414">
                <c:v>8.699638009586971</c:v>
              </c:pt>
              <c:pt idx="1415">
                <c:v>0</c:v>
              </c:pt>
              <c:pt idx="1416">
                <c:v>0</c:v>
              </c:pt>
              <c:pt idx="1417">
                <c:v>8.699638009586971</c:v>
              </c:pt>
              <c:pt idx="1418">
                <c:v>8.699638009586971</c:v>
              </c:pt>
              <c:pt idx="1419">
                <c:v>0</c:v>
              </c:pt>
              <c:pt idx="1420">
                <c:v>0</c:v>
              </c:pt>
              <c:pt idx="1421">
                <c:v>8.699638009586971</c:v>
              </c:pt>
              <c:pt idx="1422">
                <c:v>8.699638009586971</c:v>
              </c:pt>
              <c:pt idx="1423">
                <c:v>0</c:v>
              </c:pt>
              <c:pt idx="1424">
                <c:v>0</c:v>
              </c:pt>
              <c:pt idx="1425">
                <c:v>8.699638009586971</c:v>
              </c:pt>
              <c:pt idx="1426">
                <c:v>8.699638009586971</c:v>
              </c:pt>
              <c:pt idx="1427">
                <c:v>0</c:v>
              </c:pt>
              <c:pt idx="1428">
                <c:v>0</c:v>
              </c:pt>
              <c:pt idx="1429">
                <c:v>8.699638009586971</c:v>
              </c:pt>
              <c:pt idx="1430">
                <c:v>8.699638009586971</c:v>
              </c:pt>
              <c:pt idx="1431">
                <c:v>0</c:v>
              </c:pt>
              <c:pt idx="1432">
                <c:v>0</c:v>
              </c:pt>
              <c:pt idx="1433">
                <c:v>8.699638009586971</c:v>
              </c:pt>
              <c:pt idx="1434">
                <c:v>8.699638009586971</c:v>
              </c:pt>
              <c:pt idx="1435">
                <c:v>0</c:v>
              </c:pt>
              <c:pt idx="1436">
                <c:v>0</c:v>
              </c:pt>
              <c:pt idx="1437">
                <c:v>8.699638009586971</c:v>
              </c:pt>
              <c:pt idx="1438">
                <c:v>8.699638009586971</c:v>
              </c:pt>
              <c:pt idx="1439">
                <c:v>0</c:v>
              </c:pt>
              <c:pt idx="1440">
                <c:v>0</c:v>
              </c:pt>
              <c:pt idx="1441">
                <c:v>8.699638009586971</c:v>
              </c:pt>
              <c:pt idx="1442">
                <c:v>8.699638009586971</c:v>
              </c:pt>
              <c:pt idx="1443">
                <c:v>0</c:v>
              </c:pt>
              <c:pt idx="1444">
                <c:v>0</c:v>
              </c:pt>
              <c:pt idx="1445">
                <c:v>8.699638009586971</c:v>
              </c:pt>
              <c:pt idx="1446">
                <c:v>8.699638009586971</c:v>
              </c:pt>
              <c:pt idx="1447">
                <c:v>0</c:v>
              </c:pt>
              <c:pt idx="1448">
                <c:v>0</c:v>
              </c:pt>
              <c:pt idx="1449">
                <c:v>8.699638009586971</c:v>
              </c:pt>
              <c:pt idx="1450">
                <c:v>8.699638009586971</c:v>
              </c:pt>
              <c:pt idx="1451">
                <c:v>0</c:v>
              </c:pt>
              <c:pt idx="1452">
                <c:v>0</c:v>
              </c:pt>
              <c:pt idx="1453">
                <c:v>8.699638009586971</c:v>
              </c:pt>
              <c:pt idx="1454">
                <c:v>8.699638009586971</c:v>
              </c:pt>
              <c:pt idx="1455">
                <c:v>0</c:v>
              </c:pt>
              <c:pt idx="1456">
                <c:v>0</c:v>
              </c:pt>
              <c:pt idx="1457">
                <c:v>8.699638009586971</c:v>
              </c:pt>
              <c:pt idx="1458">
                <c:v>8.699638009586971</c:v>
              </c:pt>
              <c:pt idx="1459">
                <c:v>0</c:v>
              </c:pt>
              <c:pt idx="1460">
                <c:v>0</c:v>
              </c:pt>
              <c:pt idx="1461">
                <c:v>8.699638009586971</c:v>
              </c:pt>
              <c:pt idx="1462">
                <c:v>8.699638009586971</c:v>
              </c:pt>
              <c:pt idx="1463">
                <c:v>0</c:v>
              </c:pt>
              <c:pt idx="1464">
                <c:v>0</c:v>
              </c:pt>
              <c:pt idx="1465">
                <c:v>8.699638009586971</c:v>
              </c:pt>
              <c:pt idx="1466">
                <c:v>8.699638009586971</c:v>
              </c:pt>
              <c:pt idx="1467">
                <c:v>0</c:v>
              </c:pt>
              <c:pt idx="1468">
                <c:v>0</c:v>
              </c:pt>
              <c:pt idx="1469">
                <c:v>8.699638009586971</c:v>
              </c:pt>
              <c:pt idx="1470">
                <c:v>8.699638009586971</c:v>
              </c:pt>
              <c:pt idx="1471">
                <c:v>0</c:v>
              </c:pt>
              <c:pt idx="1472">
                <c:v>0</c:v>
              </c:pt>
              <c:pt idx="1473">
                <c:v>8.699638009586971</c:v>
              </c:pt>
              <c:pt idx="1474">
                <c:v>8.699638009586971</c:v>
              </c:pt>
              <c:pt idx="1475">
                <c:v>0</c:v>
              </c:pt>
              <c:pt idx="1476">
                <c:v>8.699638009586971</c:v>
              </c:pt>
              <c:pt idx="1477">
                <c:v>0</c:v>
              </c:pt>
              <c:pt idx="1480">
                <c:v>0</c:v>
              </c:pt>
              <c:pt idx="1481">
                <c:v>11.076343239010214</c:v>
              </c:pt>
              <c:pt idx="1482">
                <c:v>11.076343239010214</c:v>
              </c:pt>
              <c:pt idx="1483">
                <c:v>0</c:v>
              </c:pt>
              <c:pt idx="1484">
                <c:v>0</c:v>
              </c:pt>
              <c:pt idx="1485">
                <c:v>11.076343239010214</c:v>
              </c:pt>
              <c:pt idx="1486">
                <c:v>11.076343239010214</c:v>
              </c:pt>
              <c:pt idx="1487">
                <c:v>0</c:v>
              </c:pt>
              <c:pt idx="1488">
                <c:v>0</c:v>
              </c:pt>
              <c:pt idx="1489">
                <c:v>11.076343239010214</c:v>
              </c:pt>
              <c:pt idx="1490">
                <c:v>11.076343239010214</c:v>
              </c:pt>
              <c:pt idx="1491">
                <c:v>0</c:v>
              </c:pt>
              <c:pt idx="1492">
                <c:v>0</c:v>
              </c:pt>
              <c:pt idx="1493">
                <c:v>11.076343239010214</c:v>
              </c:pt>
              <c:pt idx="1494">
                <c:v>11.076343239010214</c:v>
              </c:pt>
              <c:pt idx="1495">
                <c:v>0</c:v>
              </c:pt>
              <c:pt idx="1496">
                <c:v>0</c:v>
              </c:pt>
              <c:pt idx="1497">
                <c:v>11.076343239010214</c:v>
              </c:pt>
              <c:pt idx="1498">
                <c:v>11.076343239010214</c:v>
              </c:pt>
              <c:pt idx="1499">
                <c:v>0</c:v>
              </c:pt>
              <c:pt idx="1500">
                <c:v>0</c:v>
              </c:pt>
              <c:pt idx="1501">
                <c:v>11.076343239010214</c:v>
              </c:pt>
              <c:pt idx="1502">
                <c:v>11.076343239010214</c:v>
              </c:pt>
              <c:pt idx="1503">
                <c:v>0</c:v>
              </c:pt>
              <c:pt idx="1504">
                <c:v>0</c:v>
              </c:pt>
              <c:pt idx="1505">
                <c:v>11.076343239010214</c:v>
              </c:pt>
              <c:pt idx="1506">
                <c:v>11.076343239010214</c:v>
              </c:pt>
              <c:pt idx="1507">
                <c:v>0</c:v>
              </c:pt>
              <c:pt idx="1508">
                <c:v>0</c:v>
              </c:pt>
              <c:pt idx="1509">
                <c:v>11.076343239010214</c:v>
              </c:pt>
              <c:pt idx="1510">
                <c:v>11.076343239010214</c:v>
              </c:pt>
              <c:pt idx="1511">
                <c:v>0</c:v>
              </c:pt>
              <c:pt idx="1512">
                <c:v>0</c:v>
              </c:pt>
              <c:pt idx="1513">
                <c:v>11.076343239010214</c:v>
              </c:pt>
              <c:pt idx="1514">
                <c:v>11.076343239010214</c:v>
              </c:pt>
              <c:pt idx="1515">
                <c:v>0</c:v>
              </c:pt>
              <c:pt idx="1516">
                <c:v>0</c:v>
              </c:pt>
              <c:pt idx="1517">
                <c:v>11.076343239010214</c:v>
              </c:pt>
              <c:pt idx="1518">
                <c:v>11.076343239010214</c:v>
              </c:pt>
              <c:pt idx="1519">
                <c:v>0</c:v>
              </c:pt>
              <c:pt idx="1520">
                <c:v>0</c:v>
              </c:pt>
              <c:pt idx="1521">
                <c:v>11.076343239010214</c:v>
              </c:pt>
              <c:pt idx="1522">
                <c:v>11.076343239010214</c:v>
              </c:pt>
              <c:pt idx="1523">
                <c:v>0</c:v>
              </c:pt>
              <c:pt idx="1524">
                <c:v>0</c:v>
              </c:pt>
              <c:pt idx="1525">
                <c:v>11.076343239010214</c:v>
              </c:pt>
              <c:pt idx="1526">
                <c:v>11.076343239010214</c:v>
              </c:pt>
              <c:pt idx="1527">
                <c:v>0</c:v>
              </c:pt>
              <c:pt idx="1528">
                <c:v>0</c:v>
              </c:pt>
              <c:pt idx="1529">
                <c:v>11.076343239010214</c:v>
              </c:pt>
              <c:pt idx="1530">
                <c:v>11.076343239010214</c:v>
              </c:pt>
              <c:pt idx="1531">
                <c:v>0</c:v>
              </c:pt>
              <c:pt idx="1532">
                <c:v>0</c:v>
              </c:pt>
              <c:pt idx="1533">
                <c:v>11.076343239010214</c:v>
              </c:pt>
              <c:pt idx="1534">
                <c:v>11.076343239010214</c:v>
              </c:pt>
              <c:pt idx="1535">
                <c:v>0</c:v>
              </c:pt>
              <c:pt idx="1536">
                <c:v>0</c:v>
              </c:pt>
              <c:pt idx="1537">
                <c:v>11.076343239010214</c:v>
              </c:pt>
              <c:pt idx="1538">
                <c:v>11.076343239010214</c:v>
              </c:pt>
              <c:pt idx="1539">
                <c:v>0</c:v>
              </c:pt>
              <c:pt idx="1540">
                <c:v>0</c:v>
              </c:pt>
              <c:pt idx="1541">
                <c:v>11.076343239010214</c:v>
              </c:pt>
              <c:pt idx="1542">
                <c:v>11.076343239010214</c:v>
              </c:pt>
              <c:pt idx="1543">
                <c:v>0</c:v>
              </c:pt>
              <c:pt idx="1544">
                <c:v>0</c:v>
              </c:pt>
              <c:pt idx="1545">
                <c:v>11.076343239010214</c:v>
              </c:pt>
              <c:pt idx="1546">
                <c:v>11.076343239010214</c:v>
              </c:pt>
              <c:pt idx="1547">
                <c:v>0</c:v>
              </c:pt>
              <c:pt idx="1548">
                <c:v>0</c:v>
              </c:pt>
              <c:pt idx="1549">
                <c:v>11.076343239010214</c:v>
              </c:pt>
              <c:pt idx="1550">
                <c:v>11.076343239010214</c:v>
              </c:pt>
              <c:pt idx="1551">
                <c:v>0</c:v>
              </c:pt>
              <c:pt idx="1552">
                <c:v>0</c:v>
              </c:pt>
              <c:pt idx="1553">
                <c:v>11.076343239010214</c:v>
              </c:pt>
              <c:pt idx="1554">
                <c:v>11.076343239010214</c:v>
              </c:pt>
              <c:pt idx="1555">
                <c:v>0</c:v>
              </c:pt>
              <c:pt idx="1556">
                <c:v>0</c:v>
              </c:pt>
              <c:pt idx="1557">
                <c:v>11.076343239010214</c:v>
              </c:pt>
              <c:pt idx="1558">
                <c:v>11.076343239010214</c:v>
              </c:pt>
              <c:pt idx="1559">
                <c:v>0</c:v>
              </c:pt>
              <c:pt idx="1560">
                <c:v>0</c:v>
              </c:pt>
              <c:pt idx="1561">
                <c:v>11.076343239010214</c:v>
              </c:pt>
              <c:pt idx="1562">
                <c:v>11.076343239010214</c:v>
              </c:pt>
              <c:pt idx="1563">
                <c:v>0</c:v>
              </c:pt>
              <c:pt idx="1564">
                <c:v>0</c:v>
              </c:pt>
              <c:pt idx="1565">
                <c:v>11.076343239010214</c:v>
              </c:pt>
              <c:pt idx="1566">
                <c:v>11.076343239010214</c:v>
              </c:pt>
              <c:pt idx="1567">
                <c:v>0</c:v>
              </c:pt>
              <c:pt idx="1568">
                <c:v>0</c:v>
              </c:pt>
              <c:pt idx="1569">
                <c:v>11.076343239010214</c:v>
              </c:pt>
              <c:pt idx="1570">
                <c:v>11.076343239010214</c:v>
              </c:pt>
              <c:pt idx="1571">
                <c:v>0</c:v>
              </c:pt>
              <c:pt idx="1572">
                <c:v>0</c:v>
              </c:pt>
              <c:pt idx="1573">
                <c:v>11.076343239010214</c:v>
              </c:pt>
              <c:pt idx="1574">
                <c:v>11.076343239010214</c:v>
              </c:pt>
              <c:pt idx="1575">
                <c:v>0</c:v>
              </c:pt>
              <c:pt idx="1576">
                <c:v>0</c:v>
              </c:pt>
              <c:pt idx="1577">
                <c:v>11.076343239010214</c:v>
              </c:pt>
              <c:pt idx="1578">
                <c:v>11.076343239010214</c:v>
              </c:pt>
              <c:pt idx="1579">
                <c:v>0</c:v>
              </c:pt>
              <c:pt idx="1580">
                <c:v>0</c:v>
              </c:pt>
              <c:pt idx="1581">
                <c:v>11.076343239010214</c:v>
              </c:pt>
              <c:pt idx="1582">
                <c:v>11.076343239010214</c:v>
              </c:pt>
              <c:pt idx="1583">
                <c:v>0</c:v>
              </c:pt>
              <c:pt idx="1584">
                <c:v>0</c:v>
              </c:pt>
              <c:pt idx="1585">
                <c:v>11.076343239010214</c:v>
              </c:pt>
              <c:pt idx="1586">
                <c:v>11.076343239010214</c:v>
              </c:pt>
              <c:pt idx="1587">
                <c:v>0</c:v>
              </c:pt>
              <c:pt idx="1588">
                <c:v>0</c:v>
              </c:pt>
              <c:pt idx="1589">
                <c:v>11.076343239010214</c:v>
              </c:pt>
              <c:pt idx="1590">
                <c:v>11.076343239010214</c:v>
              </c:pt>
              <c:pt idx="1591">
                <c:v>0</c:v>
              </c:pt>
              <c:pt idx="1592">
                <c:v>0</c:v>
              </c:pt>
              <c:pt idx="1593">
                <c:v>11.076343239010214</c:v>
              </c:pt>
              <c:pt idx="1594">
                <c:v>11.076343239010214</c:v>
              </c:pt>
              <c:pt idx="1595">
                <c:v>0</c:v>
              </c:pt>
              <c:pt idx="1596">
                <c:v>0</c:v>
              </c:pt>
              <c:pt idx="1597">
                <c:v>11.076343239010214</c:v>
              </c:pt>
              <c:pt idx="1598">
                <c:v>11.076343239010214</c:v>
              </c:pt>
              <c:pt idx="1599">
                <c:v>0</c:v>
              </c:pt>
              <c:pt idx="1600">
                <c:v>0</c:v>
              </c:pt>
              <c:pt idx="1601">
                <c:v>11.076343239010214</c:v>
              </c:pt>
              <c:pt idx="1602">
                <c:v>11.076343239010214</c:v>
              </c:pt>
              <c:pt idx="1603">
                <c:v>0</c:v>
              </c:pt>
              <c:pt idx="1604">
                <c:v>0</c:v>
              </c:pt>
              <c:pt idx="1605">
                <c:v>11.076343239010214</c:v>
              </c:pt>
              <c:pt idx="1606">
                <c:v>11.076343239010214</c:v>
              </c:pt>
              <c:pt idx="1607">
                <c:v>0</c:v>
              </c:pt>
              <c:pt idx="1608">
                <c:v>0</c:v>
              </c:pt>
              <c:pt idx="1609">
                <c:v>11.076343239010214</c:v>
              </c:pt>
              <c:pt idx="1610">
                <c:v>11.076343239010214</c:v>
              </c:pt>
              <c:pt idx="1611">
                <c:v>0</c:v>
              </c:pt>
              <c:pt idx="1612">
                <c:v>0</c:v>
              </c:pt>
              <c:pt idx="1613">
                <c:v>11.076343239010214</c:v>
              </c:pt>
              <c:pt idx="1614">
                <c:v>11.076343239010214</c:v>
              </c:pt>
              <c:pt idx="1615">
                <c:v>0</c:v>
              </c:pt>
              <c:pt idx="1616">
                <c:v>0</c:v>
              </c:pt>
              <c:pt idx="1617">
                <c:v>11.076343239010214</c:v>
              </c:pt>
              <c:pt idx="1618">
                <c:v>11.076343239010214</c:v>
              </c:pt>
              <c:pt idx="1619">
                <c:v>0</c:v>
              </c:pt>
              <c:pt idx="1620">
                <c:v>0</c:v>
              </c:pt>
              <c:pt idx="1621">
                <c:v>11.076343239010214</c:v>
              </c:pt>
              <c:pt idx="1622">
                <c:v>11.076343239010214</c:v>
              </c:pt>
              <c:pt idx="1623">
                <c:v>0</c:v>
              </c:pt>
              <c:pt idx="1624">
                <c:v>11.076343239010214</c:v>
              </c:pt>
              <c:pt idx="1625">
                <c:v>0</c:v>
              </c:pt>
              <c:pt idx="1628">
                <c:v>0</c:v>
              </c:pt>
              <c:pt idx="1629">
                <c:v>14.663822830592471</c:v>
              </c:pt>
              <c:pt idx="1630">
                <c:v>14.663822830592471</c:v>
              </c:pt>
              <c:pt idx="1631">
                <c:v>0</c:v>
              </c:pt>
              <c:pt idx="1632">
                <c:v>0</c:v>
              </c:pt>
              <c:pt idx="1633">
                <c:v>14.663822830592471</c:v>
              </c:pt>
              <c:pt idx="1634">
                <c:v>14.663822830592471</c:v>
              </c:pt>
              <c:pt idx="1635">
                <c:v>0</c:v>
              </c:pt>
              <c:pt idx="1636">
                <c:v>0</c:v>
              </c:pt>
              <c:pt idx="1637">
                <c:v>14.663822830592471</c:v>
              </c:pt>
              <c:pt idx="1638">
                <c:v>14.663822830592471</c:v>
              </c:pt>
              <c:pt idx="1639">
                <c:v>0</c:v>
              </c:pt>
              <c:pt idx="1640">
                <c:v>0</c:v>
              </c:pt>
              <c:pt idx="1641">
                <c:v>14.663822830592471</c:v>
              </c:pt>
              <c:pt idx="1642">
                <c:v>14.663822830592471</c:v>
              </c:pt>
              <c:pt idx="1643">
                <c:v>0</c:v>
              </c:pt>
              <c:pt idx="1644">
                <c:v>0</c:v>
              </c:pt>
              <c:pt idx="1645">
                <c:v>14.663822830592471</c:v>
              </c:pt>
              <c:pt idx="1646">
                <c:v>14.663822830592471</c:v>
              </c:pt>
              <c:pt idx="1647">
                <c:v>0</c:v>
              </c:pt>
              <c:pt idx="1648">
                <c:v>0</c:v>
              </c:pt>
              <c:pt idx="1649">
                <c:v>14.663822830592471</c:v>
              </c:pt>
              <c:pt idx="1650">
                <c:v>14.663822830592471</c:v>
              </c:pt>
              <c:pt idx="1651">
                <c:v>0</c:v>
              </c:pt>
              <c:pt idx="1652">
                <c:v>0</c:v>
              </c:pt>
              <c:pt idx="1653">
                <c:v>14.663822830592471</c:v>
              </c:pt>
              <c:pt idx="1654">
                <c:v>14.663822830592471</c:v>
              </c:pt>
              <c:pt idx="1655">
                <c:v>0</c:v>
              </c:pt>
              <c:pt idx="1656">
                <c:v>0</c:v>
              </c:pt>
              <c:pt idx="1657">
                <c:v>14.663822830592471</c:v>
              </c:pt>
              <c:pt idx="1658">
                <c:v>14.663822830592471</c:v>
              </c:pt>
              <c:pt idx="1659">
                <c:v>0</c:v>
              </c:pt>
              <c:pt idx="1660">
                <c:v>0</c:v>
              </c:pt>
              <c:pt idx="1661">
                <c:v>14.663822830592471</c:v>
              </c:pt>
              <c:pt idx="1662">
                <c:v>14.663822830592471</c:v>
              </c:pt>
              <c:pt idx="1663">
                <c:v>0</c:v>
              </c:pt>
              <c:pt idx="1664">
                <c:v>0</c:v>
              </c:pt>
              <c:pt idx="1665">
                <c:v>14.663822830592471</c:v>
              </c:pt>
              <c:pt idx="1666">
                <c:v>14.663822830592471</c:v>
              </c:pt>
              <c:pt idx="1667">
                <c:v>0</c:v>
              </c:pt>
              <c:pt idx="1668">
                <c:v>0</c:v>
              </c:pt>
              <c:pt idx="1669">
                <c:v>14.663822830592471</c:v>
              </c:pt>
              <c:pt idx="1670">
                <c:v>14.663822830592471</c:v>
              </c:pt>
              <c:pt idx="1671">
                <c:v>0</c:v>
              </c:pt>
              <c:pt idx="1672">
                <c:v>0</c:v>
              </c:pt>
              <c:pt idx="1673">
                <c:v>14.663822830592471</c:v>
              </c:pt>
              <c:pt idx="1674">
                <c:v>14.663822830592471</c:v>
              </c:pt>
              <c:pt idx="1675">
                <c:v>0</c:v>
              </c:pt>
              <c:pt idx="1676">
                <c:v>0</c:v>
              </c:pt>
              <c:pt idx="1677">
                <c:v>14.663822830592471</c:v>
              </c:pt>
              <c:pt idx="1678">
                <c:v>14.663822830592471</c:v>
              </c:pt>
              <c:pt idx="1679">
                <c:v>0</c:v>
              </c:pt>
              <c:pt idx="1680">
                <c:v>0</c:v>
              </c:pt>
              <c:pt idx="1681">
                <c:v>14.663822830592471</c:v>
              </c:pt>
              <c:pt idx="1682">
                <c:v>14.663822830592471</c:v>
              </c:pt>
              <c:pt idx="1683">
                <c:v>0</c:v>
              </c:pt>
              <c:pt idx="1684">
                <c:v>0</c:v>
              </c:pt>
              <c:pt idx="1685">
                <c:v>14.663822830592471</c:v>
              </c:pt>
              <c:pt idx="1686">
                <c:v>14.663822830592471</c:v>
              </c:pt>
              <c:pt idx="1687">
                <c:v>0</c:v>
              </c:pt>
              <c:pt idx="1688">
                <c:v>0</c:v>
              </c:pt>
              <c:pt idx="1689">
                <c:v>14.663822830592471</c:v>
              </c:pt>
              <c:pt idx="1690">
                <c:v>14.663822830592471</c:v>
              </c:pt>
              <c:pt idx="1691">
                <c:v>0</c:v>
              </c:pt>
              <c:pt idx="1692">
                <c:v>0</c:v>
              </c:pt>
              <c:pt idx="1693">
                <c:v>14.663822830592471</c:v>
              </c:pt>
              <c:pt idx="1694">
                <c:v>14.663822830592471</c:v>
              </c:pt>
              <c:pt idx="1695">
                <c:v>0</c:v>
              </c:pt>
              <c:pt idx="1696">
                <c:v>0</c:v>
              </c:pt>
              <c:pt idx="1697">
                <c:v>14.663822830592471</c:v>
              </c:pt>
              <c:pt idx="1698">
                <c:v>14.663822830592471</c:v>
              </c:pt>
              <c:pt idx="1699">
                <c:v>0</c:v>
              </c:pt>
              <c:pt idx="1700">
                <c:v>0</c:v>
              </c:pt>
              <c:pt idx="1701">
                <c:v>14.663822830592471</c:v>
              </c:pt>
              <c:pt idx="1702">
                <c:v>14.663822830592471</c:v>
              </c:pt>
              <c:pt idx="1703">
                <c:v>0</c:v>
              </c:pt>
              <c:pt idx="1704">
                <c:v>0</c:v>
              </c:pt>
              <c:pt idx="1705">
                <c:v>14.663822830592471</c:v>
              </c:pt>
              <c:pt idx="1706">
                <c:v>14.663822830592471</c:v>
              </c:pt>
              <c:pt idx="1707">
                <c:v>0</c:v>
              </c:pt>
              <c:pt idx="1708">
                <c:v>0</c:v>
              </c:pt>
              <c:pt idx="1709">
                <c:v>14.663822830592471</c:v>
              </c:pt>
              <c:pt idx="1710">
                <c:v>14.663822830592471</c:v>
              </c:pt>
              <c:pt idx="1711">
                <c:v>0</c:v>
              </c:pt>
              <c:pt idx="1712">
                <c:v>0</c:v>
              </c:pt>
              <c:pt idx="1713">
                <c:v>14.663822830592471</c:v>
              </c:pt>
              <c:pt idx="1714">
                <c:v>14.663822830592471</c:v>
              </c:pt>
              <c:pt idx="1715">
                <c:v>0</c:v>
              </c:pt>
              <c:pt idx="1716">
                <c:v>0</c:v>
              </c:pt>
              <c:pt idx="1717">
                <c:v>14.663822830592471</c:v>
              </c:pt>
              <c:pt idx="1718">
                <c:v>14.663822830592471</c:v>
              </c:pt>
              <c:pt idx="1719">
                <c:v>0</c:v>
              </c:pt>
              <c:pt idx="1720">
                <c:v>0</c:v>
              </c:pt>
              <c:pt idx="1721">
                <c:v>14.663822830592471</c:v>
              </c:pt>
              <c:pt idx="1722">
                <c:v>14.663822830592471</c:v>
              </c:pt>
              <c:pt idx="1723">
                <c:v>0</c:v>
              </c:pt>
              <c:pt idx="1724">
                <c:v>0</c:v>
              </c:pt>
              <c:pt idx="1725">
                <c:v>14.663822830592471</c:v>
              </c:pt>
              <c:pt idx="1726">
                <c:v>14.663822830592471</c:v>
              </c:pt>
              <c:pt idx="1727">
                <c:v>0</c:v>
              </c:pt>
              <c:pt idx="1728">
                <c:v>0</c:v>
              </c:pt>
              <c:pt idx="1729">
                <c:v>14.663822830592471</c:v>
              </c:pt>
              <c:pt idx="1730">
                <c:v>14.663822830592471</c:v>
              </c:pt>
              <c:pt idx="1731">
                <c:v>0</c:v>
              </c:pt>
              <c:pt idx="1732">
                <c:v>0</c:v>
              </c:pt>
              <c:pt idx="1733">
                <c:v>14.663822830592471</c:v>
              </c:pt>
              <c:pt idx="1734">
                <c:v>14.663822830592471</c:v>
              </c:pt>
              <c:pt idx="1735">
                <c:v>0</c:v>
              </c:pt>
              <c:pt idx="1736">
                <c:v>0</c:v>
              </c:pt>
              <c:pt idx="1737">
                <c:v>14.663822830592471</c:v>
              </c:pt>
              <c:pt idx="1738">
                <c:v>14.663822830592471</c:v>
              </c:pt>
              <c:pt idx="1739">
                <c:v>0</c:v>
              </c:pt>
              <c:pt idx="1740">
                <c:v>0</c:v>
              </c:pt>
              <c:pt idx="1741">
                <c:v>14.663822830592471</c:v>
              </c:pt>
              <c:pt idx="1742">
                <c:v>14.663822830592471</c:v>
              </c:pt>
              <c:pt idx="1743">
                <c:v>0</c:v>
              </c:pt>
              <c:pt idx="1744">
                <c:v>0</c:v>
              </c:pt>
              <c:pt idx="1745">
                <c:v>14.663822830592471</c:v>
              </c:pt>
              <c:pt idx="1746">
                <c:v>14.663822830592471</c:v>
              </c:pt>
              <c:pt idx="1747">
                <c:v>0</c:v>
              </c:pt>
              <c:pt idx="1748">
                <c:v>0</c:v>
              </c:pt>
              <c:pt idx="1749">
                <c:v>14.663822830592471</c:v>
              </c:pt>
              <c:pt idx="1750">
                <c:v>14.663822830592471</c:v>
              </c:pt>
              <c:pt idx="1751">
                <c:v>0</c:v>
              </c:pt>
              <c:pt idx="1752">
                <c:v>0</c:v>
              </c:pt>
              <c:pt idx="1753">
                <c:v>14.663822830592471</c:v>
              </c:pt>
              <c:pt idx="1754">
                <c:v>14.663822830592471</c:v>
              </c:pt>
              <c:pt idx="1755">
                <c:v>0</c:v>
              </c:pt>
              <c:pt idx="1756">
                <c:v>0</c:v>
              </c:pt>
              <c:pt idx="1757">
                <c:v>14.663822830592471</c:v>
              </c:pt>
              <c:pt idx="1758">
                <c:v>14.663822830592471</c:v>
              </c:pt>
              <c:pt idx="1759">
                <c:v>0</c:v>
              </c:pt>
              <c:pt idx="1760">
                <c:v>0</c:v>
              </c:pt>
              <c:pt idx="1761">
                <c:v>14.663822830592471</c:v>
              </c:pt>
              <c:pt idx="1762">
                <c:v>14.663822830592471</c:v>
              </c:pt>
              <c:pt idx="1763">
                <c:v>0</c:v>
              </c:pt>
              <c:pt idx="1764">
                <c:v>0</c:v>
              </c:pt>
              <c:pt idx="1765">
                <c:v>14.663822830592471</c:v>
              </c:pt>
              <c:pt idx="1766">
                <c:v>14.663822830592471</c:v>
              </c:pt>
              <c:pt idx="1767">
                <c:v>0</c:v>
              </c:pt>
              <c:pt idx="1768">
                <c:v>0</c:v>
              </c:pt>
              <c:pt idx="1769">
                <c:v>14.663822830592471</c:v>
              </c:pt>
              <c:pt idx="1770">
                <c:v>14.663822830592471</c:v>
              </c:pt>
              <c:pt idx="1771">
                <c:v>0</c:v>
              </c:pt>
              <c:pt idx="1772">
                <c:v>14.663822830592471</c:v>
              </c:pt>
              <c:pt idx="1773">
                <c:v>0</c:v>
              </c:pt>
              <c:pt idx="1776">
                <c:v>0</c:v>
              </c:pt>
              <c:pt idx="1777">
                <c:v>16.345453889146654</c:v>
              </c:pt>
              <c:pt idx="1778">
                <c:v>16.345453889146654</c:v>
              </c:pt>
              <c:pt idx="1779">
                <c:v>0</c:v>
              </c:pt>
              <c:pt idx="1780">
                <c:v>0</c:v>
              </c:pt>
              <c:pt idx="1781">
                <c:v>16.345453889146654</c:v>
              </c:pt>
              <c:pt idx="1782">
                <c:v>16.345453889146654</c:v>
              </c:pt>
              <c:pt idx="1783">
                <c:v>0</c:v>
              </c:pt>
              <c:pt idx="1784">
                <c:v>0</c:v>
              </c:pt>
              <c:pt idx="1785">
                <c:v>16.345453889146654</c:v>
              </c:pt>
              <c:pt idx="1786">
                <c:v>16.345453889146654</c:v>
              </c:pt>
              <c:pt idx="1787">
                <c:v>0</c:v>
              </c:pt>
              <c:pt idx="1788">
                <c:v>0</c:v>
              </c:pt>
              <c:pt idx="1789">
                <c:v>16.345453889146654</c:v>
              </c:pt>
              <c:pt idx="1790">
                <c:v>16.345453889146654</c:v>
              </c:pt>
              <c:pt idx="1791">
                <c:v>0</c:v>
              </c:pt>
              <c:pt idx="1792">
                <c:v>0</c:v>
              </c:pt>
              <c:pt idx="1793">
                <c:v>16.345453889146654</c:v>
              </c:pt>
              <c:pt idx="1794">
                <c:v>16.345453889146654</c:v>
              </c:pt>
              <c:pt idx="1795">
                <c:v>0</c:v>
              </c:pt>
              <c:pt idx="1796">
                <c:v>0</c:v>
              </c:pt>
              <c:pt idx="1797">
                <c:v>16.345453889146654</c:v>
              </c:pt>
              <c:pt idx="1798">
                <c:v>16.345453889146654</c:v>
              </c:pt>
              <c:pt idx="1799">
                <c:v>0</c:v>
              </c:pt>
              <c:pt idx="1800">
                <c:v>0</c:v>
              </c:pt>
              <c:pt idx="1801">
                <c:v>16.345453889146654</c:v>
              </c:pt>
              <c:pt idx="1802">
                <c:v>16.345453889146654</c:v>
              </c:pt>
              <c:pt idx="1803">
                <c:v>0</c:v>
              </c:pt>
              <c:pt idx="1804">
                <c:v>0</c:v>
              </c:pt>
              <c:pt idx="1805">
                <c:v>16.345453889146654</c:v>
              </c:pt>
              <c:pt idx="1806">
                <c:v>16.345453889146654</c:v>
              </c:pt>
              <c:pt idx="1807">
                <c:v>0</c:v>
              </c:pt>
              <c:pt idx="1808">
                <c:v>0</c:v>
              </c:pt>
              <c:pt idx="1809">
                <c:v>16.345453889146654</c:v>
              </c:pt>
              <c:pt idx="1810">
                <c:v>16.345453889146654</c:v>
              </c:pt>
              <c:pt idx="1811">
                <c:v>0</c:v>
              </c:pt>
              <c:pt idx="1812">
                <c:v>0</c:v>
              </c:pt>
              <c:pt idx="1813">
                <c:v>16.345453889146654</c:v>
              </c:pt>
              <c:pt idx="1814">
                <c:v>16.345453889146654</c:v>
              </c:pt>
              <c:pt idx="1815">
                <c:v>0</c:v>
              </c:pt>
              <c:pt idx="1816">
                <c:v>0</c:v>
              </c:pt>
              <c:pt idx="1817">
                <c:v>16.345453889146654</c:v>
              </c:pt>
              <c:pt idx="1818">
                <c:v>16.345453889146654</c:v>
              </c:pt>
              <c:pt idx="1819">
                <c:v>0</c:v>
              </c:pt>
              <c:pt idx="1820">
                <c:v>0</c:v>
              </c:pt>
              <c:pt idx="1821">
                <c:v>16.345453889146654</c:v>
              </c:pt>
              <c:pt idx="1822">
                <c:v>16.345453889146654</c:v>
              </c:pt>
              <c:pt idx="1823">
                <c:v>0</c:v>
              </c:pt>
              <c:pt idx="1824">
                <c:v>0</c:v>
              </c:pt>
              <c:pt idx="1825">
                <c:v>16.345453889146654</c:v>
              </c:pt>
              <c:pt idx="1826">
                <c:v>16.345453889146654</c:v>
              </c:pt>
              <c:pt idx="1827">
                <c:v>0</c:v>
              </c:pt>
              <c:pt idx="1828">
                <c:v>0</c:v>
              </c:pt>
              <c:pt idx="1829">
                <c:v>16.345453889146654</c:v>
              </c:pt>
              <c:pt idx="1830">
                <c:v>16.345453889146654</c:v>
              </c:pt>
              <c:pt idx="1831">
                <c:v>0</c:v>
              </c:pt>
              <c:pt idx="1832">
                <c:v>0</c:v>
              </c:pt>
              <c:pt idx="1833">
                <c:v>16.345453889146654</c:v>
              </c:pt>
              <c:pt idx="1834">
                <c:v>16.345453889146654</c:v>
              </c:pt>
              <c:pt idx="1835">
                <c:v>0</c:v>
              </c:pt>
              <c:pt idx="1836">
                <c:v>0</c:v>
              </c:pt>
              <c:pt idx="1837">
                <c:v>16.345453889146654</c:v>
              </c:pt>
              <c:pt idx="1838">
                <c:v>16.345453889146654</c:v>
              </c:pt>
              <c:pt idx="1839">
                <c:v>0</c:v>
              </c:pt>
              <c:pt idx="1840">
                <c:v>0</c:v>
              </c:pt>
              <c:pt idx="1841">
                <c:v>16.345453889146654</c:v>
              </c:pt>
              <c:pt idx="1842">
                <c:v>16.345453889146654</c:v>
              </c:pt>
              <c:pt idx="1843">
                <c:v>0</c:v>
              </c:pt>
              <c:pt idx="1844">
                <c:v>0</c:v>
              </c:pt>
              <c:pt idx="1845">
                <c:v>16.345453889146654</c:v>
              </c:pt>
              <c:pt idx="1846">
                <c:v>16.345453889146654</c:v>
              </c:pt>
              <c:pt idx="1847">
                <c:v>0</c:v>
              </c:pt>
              <c:pt idx="1848">
                <c:v>0</c:v>
              </c:pt>
              <c:pt idx="1849">
                <c:v>16.345453889146654</c:v>
              </c:pt>
              <c:pt idx="1850">
                <c:v>16.345453889146654</c:v>
              </c:pt>
              <c:pt idx="1851">
                <c:v>0</c:v>
              </c:pt>
              <c:pt idx="1852">
                <c:v>0</c:v>
              </c:pt>
              <c:pt idx="1853">
                <c:v>16.345453889146654</c:v>
              </c:pt>
              <c:pt idx="1854">
                <c:v>16.345453889146654</c:v>
              </c:pt>
              <c:pt idx="1855">
                <c:v>0</c:v>
              </c:pt>
              <c:pt idx="1856">
                <c:v>0</c:v>
              </c:pt>
              <c:pt idx="1857">
                <c:v>16.345453889146654</c:v>
              </c:pt>
              <c:pt idx="1858">
                <c:v>16.345453889146654</c:v>
              </c:pt>
              <c:pt idx="1859">
                <c:v>0</c:v>
              </c:pt>
              <c:pt idx="1860">
                <c:v>0</c:v>
              </c:pt>
              <c:pt idx="1861">
                <c:v>16.345453889146654</c:v>
              </c:pt>
              <c:pt idx="1862">
                <c:v>16.345453889146654</c:v>
              </c:pt>
              <c:pt idx="1863">
                <c:v>0</c:v>
              </c:pt>
              <c:pt idx="1864">
                <c:v>0</c:v>
              </c:pt>
              <c:pt idx="1865">
                <c:v>16.345453889146654</c:v>
              </c:pt>
              <c:pt idx="1866">
                <c:v>16.345453889146654</c:v>
              </c:pt>
              <c:pt idx="1867">
                <c:v>0</c:v>
              </c:pt>
              <c:pt idx="1868">
                <c:v>0</c:v>
              </c:pt>
              <c:pt idx="1869">
                <c:v>16.345453889146654</c:v>
              </c:pt>
              <c:pt idx="1870">
                <c:v>16.345453889146654</c:v>
              </c:pt>
              <c:pt idx="1871">
                <c:v>0</c:v>
              </c:pt>
              <c:pt idx="1872">
                <c:v>0</c:v>
              </c:pt>
              <c:pt idx="1873">
                <c:v>16.345453889146654</c:v>
              </c:pt>
              <c:pt idx="1874">
                <c:v>16.345453889146654</c:v>
              </c:pt>
              <c:pt idx="1875">
                <c:v>0</c:v>
              </c:pt>
              <c:pt idx="1876">
                <c:v>0</c:v>
              </c:pt>
              <c:pt idx="1877">
                <c:v>16.345453889146654</c:v>
              </c:pt>
              <c:pt idx="1878">
                <c:v>16.345453889146654</c:v>
              </c:pt>
              <c:pt idx="1879">
                <c:v>0</c:v>
              </c:pt>
              <c:pt idx="1880">
                <c:v>0</c:v>
              </c:pt>
              <c:pt idx="1881">
                <c:v>16.345453889146654</c:v>
              </c:pt>
              <c:pt idx="1882">
                <c:v>16.345453889146654</c:v>
              </c:pt>
              <c:pt idx="1883">
                <c:v>0</c:v>
              </c:pt>
              <c:pt idx="1884">
                <c:v>0</c:v>
              </c:pt>
              <c:pt idx="1885">
                <c:v>16.345453889146654</c:v>
              </c:pt>
              <c:pt idx="1886">
                <c:v>16.345453889146654</c:v>
              </c:pt>
              <c:pt idx="1887">
                <c:v>0</c:v>
              </c:pt>
              <c:pt idx="1888">
                <c:v>0</c:v>
              </c:pt>
              <c:pt idx="1889">
                <c:v>16.345453889146654</c:v>
              </c:pt>
              <c:pt idx="1890">
                <c:v>16.345453889146654</c:v>
              </c:pt>
              <c:pt idx="1891">
                <c:v>0</c:v>
              </c:pt>
              <c:pt idx="1892">
                <c:v>0</c:v>
              </c:pt>
              <c:pt idx="1893">
                <c:v>16.345453889146654</c:v>
              </c:pt>
              <c:pt idx="1894">
                <c:v>16.345453889146654</c:v>
              </c:pt>
              <c:pt idx="1895">
                <c:v>0</c:v>
              </c:pt>
              <c:pt idx="1896">
                <c:v>0</c:v>
              </c:pt>
              <c:pt idx="1897">
                <c:v>16.345453889146654</c:v>
              </c:pt>
              <c:pt idx="1898">
                <c:v>16.345453889146654</c:v>
              </c:pt>
              <c:pt idx="1899">
                <c:v>0</c:v>
              </c:pt>
              <c:pt idx="1900">
                <c:v>0</c:v>
              </c:pt>
              <c:pt idx="1901">
                <c:v>16.345453889146654</c:v>
              </c:pt>
              <c:pt idx="1902">
                <c:v>16.345453889146654</c:v>
              </c:pt>
              <c:pt idx="1903">
                <c:v>0</c:v>
              </c:pt>
              <c:pt idx="1904">
                <c:v>0</c:v>
              </c:pt>
              <c:pt idx="1905">
                <c:v>16.345453889146654</c:v>
              </c:pt>
              <c:pt idx="1906">
                <c:v>16.345453889146654</c:v>
              </c:pt>
              <c:pt idx="1907">
                <c:v>0</c:v>
              </c:pt>
              <c:pt idx="1908">
                <c:v>0</c:v>
              </c:pt>
              <c:pt idx="1909">
                <c:v>16.345453889146654</c:v>
              </c:pt>
              <c:pt idx="1910">
                <c:v>16.345453889146654</c:v>
              </c:pt>
              <c:pt idx="1911">
                <c:v>0</c:v>
              </c:pt>
              <c:pt idx="1912">
                <c:v>0</c:v>
              </c:pt>
              <c:pt idx="1913">
                <c:v>16.345453889146654</c:v>
              </c:pt>
              <c:pt idx="1914">
                <c:v>16.345453889146654</c:v>
              </c:pt>
              <c:pt idx="1915">
                <c:v>0</c:v>
              </c:pt>
              <c:pt idx="1916">
                <c:v>0</c:v>
              </c:pt>
              <c:pt idx="1917">
                <c:v>16.345453889146654</c:v>
              </c:pt>
              <c:pt idx="1918">
                <c:v>16.345453889146654</c:v>
              </c:pt>
              <c:pt idx="1919">
                <c:v>0</c:v>
              </c:pt>
              <c:pt idx="1920">
                <c:v>16.345453889146654</c:v>
              </c:pt>
              <c:pt idx="1921">
                <c:v>0</c:v>
              </c:pt>
              <c:pt idx="1924">
                <c:v>0</c:v>
              </c:pt>
              <c:pt idx="1925">
                <c:v>13.520313710775627</c:v>
              </c:pt>
              <c:pt idx="1926">
                <c:v>13.520313710775627</c:v>
              </c:pt>
              <c:pt idx="1927">
                <c:v>0</c:v>
              </c:pt>
              <c:pt idx="1928">
                <c:v>0</c:v>
              </c:pt>
              <c:pt idx="1929">
                <c:v>13.520313710775627</c:v>
              </c:pt>
              <c:pt idx="1930">
                <c:v>13.520313710775627</c:v>
              </c:pt>
              <c:pt idx="1931">
                <c:v>0</c:v>
              </c:pt>
              <c:pt idx="1932">
                <c:v>0</c:v>
              </c:pt>
              <c:pt idx="1933">
                <c:v>13.520313710775627</c:v>
              </c:pt>
              <c:pt idx="1934">
                <c:v>13.520313710775627</c:v>
              </c:pt>
              <c:pt idx="1935">
                <c:v>0</c:v>
              </c:pt>
              <c:pt idx="1936">
                <c:v>0</c:v>
              </c:pt>
              <c:pt idx="1937">
                <c:v>13.520313710775627</c:v>
              </c:pt>
              <c:pt idx="1938">
                <c:v>13.520313710775627</c:v>
              </c:pt>
              <c:pt idx="1939">
                <c:v>0</c:v>
              </c:pt>
              <c:pt idx="1940">
                <c:v>0</c:v>
              </c:pt>
              <c:pt idx="1941">
                <c:v>13.520313710775627</c:v>
              </c:pt>
              <c:pt idx="1942">
                <c:v>13.520313710775627</c:v>
              </c:pt>
              <c:pt idx="1943">
                <c:v>0</c:v>
              </c:pt>
              <c:pt idx="1944">
                <c:v>0</c:v>
              </c:pt>
              <c:pt idx="1945">
                <c:v>13.520313710775627</c:v>
              </c:pt>
              <c:pt idx="1946">
                <c:v>13.520313710775627</c:v>
              </c:pt>
              <c:pt idx="1947">
                <c:v>0</c:v>
              </c:pt>
              <c:pt idx="1948">
                <c:v>0</c:v>
              </c:pt>
              <c:pt idx="1949">
                <c:v>13.520313710775627</c:v>
              </c:pt>
              <c:pt idx="1950">
                <c:v>13.520313710775627</c:v>
              </c:pt>
              <c:pt idx="1951">
                <c:v>0</c:v>
              </c:pt>
              <c:pt idx="1952">
                <c:v>0</c:v>
              </c:pt>
              <c:pt idx="1953">
                <c:v>13.520313710775627</c:v>
              </c:pt>
              <c:pt idx="1954">
                <c:v>13.520313710775627</c:v>
              </c:pt>
              <c:pt idx="1955">
                <c:v>0</c:v>
              </c:pt>
              <c:pt idx="1956">
                <c:v>0</c:v>
              </c:pt>
              <c:pt idx="1957">
                <c:v>13.520313710775627</c:v>
              </c:pt>
              <c:pt idx="1958">
                <c:v>13.520313710775627</c:v>
              </c:pt>
              <c:pt idx="1959">
                <c:v>0</c:v>
              </c:pt>
              <c:pt idx="1960">
                <c:v>0</c:v>
              </c:pt>
              <c:pt idx="1961">
                <c:v>13.520313710775627</c:v>
              </c:pt>
              <c:pt idx="1962">
                <c:v>13.520313710775627</c:v>
              </c:pt>
              <c:pt idx="1963">
                <c:v>0</c:v>
              </c:pt>
              <c:pt idx="1964">
                <c:v>0</c:v>
              </c:pt>
              <c:pt idx="1965">
                <c:v>13.520313710775627</c:v>
              </c:pt>
              <c:pt idx="1966">
                <c:v>13.520313710775627</c:v>
              </c:pt>
              <c:pt idx="1967">
                <c:v>0</c:v>
              </c:pt>
              <c:pt idx="1968">
                <c:v>0</c:v>
              </c:pt>
              <c:pt idx="1969">
                <c:v>13.520313710775627</c:v>
              </c:pt>
              <c:pt idx="1970">
                <c:v>13.520313710775627</c:v>
              </c:pt>
              <c:pt idx="1971">
                <c:v>0</c:v>
              </c:pt>
              <c:pt idx="1972">
                <c:v>0</c:v>
              </c:pt>
              <c:pt idx="1973">
                <c:v>13.520313710775627</c:v>
              </c:pt>
              <c:pt idx="1974">
                <c:v>13.520313710775627</c:v>
              </c:pt>
              <c:pt idx="1975">
                <c:v>0</c:v>
              </c:pt>
              <c:pt idx="1976">
                <c:v>0</c:v>
              </c:pt>
              <c:pt idx="1977">
                <c:v>13.520313710775627</c:v>
              </c:pt>
              <c:pt idx="1978">
                <c:v>13.520313710775627</c:v>
              </c:pt>
              <c:pt idx="1979">
                <c:v>0</c:v>
              </c:pt>
              <c:pt idx="1980">
                <c:v>0</c:v>
              </c:pt>
              <c:pt idx="1981">
                <c:v>13.520313710775627</c:v>
              </c:pt>
              <c:pt idx="1982">
                <c:v>13.520313710775627</c:v>
              </c:pt>
              <c:pt idx="1983">
                <c:v>0</c:v>
              </c:pt>
              <c:pt idx="1984">
                <c:v>0</c:v>
              </c:pt>
              <c:pt idx="1985">
                <c:v>13.520313710775627</c:v>
              </c:pt>
              <c:pt idx="1986">
                <c:v>13.520313710775627</c:v>
              </c:pt>
              <c:pt idx="1987">
                <c:v>0</c:v>
              </c:pt>
              <c:pt idx="1988">
                <c:v>0</c:v>
              </c:pt>
              <c:pt idx="1989">
                <c:v>13.520313710775627</c:v>
              </c:pt>
              <c:pt idx="1990">
                <c:v>13.520313710775627</c:v>
              </c:pt>
              <c:pt idx="1991">
                <c:v>0</c:v>
              </c:pt>
              <c:pt idx="1992">
                <c:v>0</c:v>
              </c:pt>
              <c:pt idx="1993">
                <c:v>13.520313710775627</c:v>
              </c:pt>
              <c:pt idx="1994">
                <c:v>13.520313710775627</c:v>
              </c:pt>
              <c:pt idx="1995">
                <c:v>0</c:v>
              </c:pt>
              <c:pt idx="1996">
                <c:v>0</c:v>
              </c:pt>
              <c:pt idx="1997">
                <c:v>13.520313710775627</c:v>
              </c:pt>
              <c:pt idx="1998">
                <c:v>13.520313710775627</c:v>
              </c:pt>
              <c:pt idx="1999">
                <c:v>0</c:v>
              </c:pt>
              <c:pt idx="2000">
                <c:v>0</c:v>
              </c:pt>
              <c:pt idx="2001">
                <c:v>13.520313710775627</c:v>
              </c:pt>
              <c:pt idx="2002">
                <c:v>13.520313710775627</c:v>
              </c:pt>
              <c:pt idx="2003">
                <c:v>0</c:v>
              </c:pt>
              <c:pt idx="2004">
                <c:v>0</c:v>
              </c:pt>
              <c:pt idx="2005">
                <c:v>13.520313710775627</c:v>
              </c:pt>
              <c:pt idx="2006">
                <c:v>13.520313710775627</c:v>
              </c:pt>
              <c:pt idx="2007">
                <c:v>0</c:v>
              </c:pt>
              <c:pt idx="2008">
                <c:v>0</c:v>
              </c:pt>
              <c:pt idx="2009">
                <c:v>13.520313710775627</c:v>
              </c:pt>
              <c:pt idx="2010">
                <c:v>13.520313710775627</c:v>
              </c:pt>
              <c:pt idx="2011">
                <c:v>0</c:v>
              </c:pt>
              <c:pt idx="2012">
                <c:v>0</c:v>
              </c:pt>
              <c:pt idx="2013">
                <c:v>13.520313710775627</c:v>
              </c:pt>
              <c:pt idx="2014">
                <c:v>13.520313710775627</c:v>
              </c:pt>
              <c:pt idx="2015">
                <c:v>0</c:v>
              </c:pt>
              <c:pt idx="2016">
                <c:v>0</c:v>
              </c:pt>
              <c:pt idx="2017">
                <c:v>13.520313710775627</c:v>
              </c:pt>
              <c:pt idx="2018">
                <c:v>13.520313710775627</c:v>
              </c:pt>
              <c:pt idx="2019">
                <c:v>0</c:v>
              </c:pt>
              <c:pt idx="2020">
                <c:v>0</c:v>
              </c:pt>
              <c:pt idx="2021">
                <c:v>13.520313710775627</c:v>
              </c:pt>
              <c:pt idx="2022">
                <c:v>13.520313710775627</c:v>
              </c:pt>
              <c:pt idx="2023">
                <c:v>0</c:v>
              </c:pt>
              <c:pt idx="2024">
                <c:v>0</c:v>
              </c:pt>
              <c:pt idx="2025">
                <c:v>13.520313710775627</c:v>
              </c:pt>
              <c:pt idx="2026">
                <c:v>13.520313710775627</c:v>
              </c:pt>
              <c:pt idx="2027">
                <c:v>0</c:v>
              </c:pt>
              <c:pt idx="2028">
                <c:v>0</c:v>
              </c:pt>
              <c:pt idx="2029">
                <c:v>13.520313710775627</c:v>
              </c:pt>
              <c:pt idx="2030">
                <c:v>13.520313710775627</c:v>
              </c:pt>
              <c:pt idx="2031">
                <c:v>0</c:v>
              </c:pt>
              <c:pt idx="2032">
                <c:v>0</c:v>
              </c:pt>
              <c:pt idx="2033">
                <c:v>13.520313710775627</c:v>
              </c:pt>
              <c:pt idx="2034">
                <c:v>13.520313710775627</c:v>
              </c:pt>
              <c:pt idx="2035">
                <c:v>0</c:v>
              </c:pt>
              <c:pt idx="2036">
                <c:v>0</c:v>
              </c:pt>
              <c:pt idx="2037">
                <c:v>13.520313710775627</c:v>
              </c:pt>
              <c:pt idx="2038">
                <c:v>13.520313710775627</c:v>
              </c:pt>
              <c:pt idx="2039">
                <c:v>0</c:v>
              </c:pt>
              <c:pt idx="2040">
                <c:v>0</c:v>
              </c:pt>
              <c:pt idx="2041">
                <c:v>13.520313710775627</c:v>
              </c:pt>
              <c:pt idx="2042">
                <c:v>13.520313710775627</c:v>
              </c:pt>
              <c:pt idx="2043">
                <c:v>0</c:v>
              </c:pt>
              <c:pt idx="2044">
                <c:v>0</c:v>
              </c:pt>
              <c:pt idx="2045">
                <c:v>13.520313710775627</c:v>
              </c:pt>
              <c:pt idx="2046">
                <c:v>13.520313710775627</c:v>
              </c:pt>
              <c:pt idx="2047">
                <c:v>0</c:v>
              </c:pt>
              <c:pt idx="2048">
                <c:v>0</c:v>
              </c:pt>
              <c:pt idx="2049">
                <c:v>13.520313710775627</c:v>
              </c:pt>
              <c:pt idx="2050">
                <c:v>13.520313710775627</c:v>
              </c:pt>
              <c:pt idx="2051">
                <c:v>0</c:v>
              </c:pt>
              <c:pt idx="2052">
                <c:v>0</c:v>
              </c:pt>
              <c:pt idx="2053">
                <c:v>13.520313710775627</c:v>
              </c:pt>
              <c:pt idx="2054">
                <c:v>13.520313710775627</c:v>
              </c:pt>
              <c:pt idx="2055">
                <c:v>0</c:v>
              </c:pt>
              <c:pt idx="2056">
                <c:v>0</c:v>
              </c:pt>
              <c:pt idx="2057">
                <c:v>13.520313710775627</c:v>
              </c:pt>
              <c:pt idx="2058">
                <c:v>13.520313710775627</c:v>
              </c:pt>
              <c:pt idx="2059">
                <c:v>0</c:v>
              </c:pt>
              <c:pt idx="2060">
                <c:v>0</c:v>
              </c:pt>
              <c:pt idx="2061">
                <c:v>13.520313710775627</c:v>
              </c:pt>
              <c:pt idx="2062">
                <c:v>13.520313710775627</c:v>
              </c:pt>
              <c:pt idx="2063">
                <c:v>0</c:v>
              </c:pt>
              <c:pt idx="2064">
                <c:v>0</c:v>
              </c:pt>
              <c:pt idx="2065">
                <c:v>13.520313710775627</c:v>
              </c:pt>
              <c:pt idx="2066">
                <c:v>13.520313710775627</c:v>
              </c:pt>
              <c:pt idx="2067">
                <c:v>0</c:v>
              </c:pt>
              <c:pt idx="2068">
                <c:v>13.520313710775627</c:v>
              </c:pt>
              <c:pt idx="2069">
                <c:v>0</c:v>
              </c:pt>
              <c:pt idx="2072">
                <c:v>0</c:v>
              </c:pt>
              <c:pt idx="2073">
                <c:v>12.44406983330095</c:v>
              </c:pt>
              <c:pt idx="2074">
                <c:v>12.44406983330095</c:v>
              </c:pt>
              <c:pt idx="2075">
                <c:v>0</c:v>
              </c:pt>
              <c:pt idx="2076">
                <c:v>0</c:v>
              </c:pt>
              <c:pt idx="2077">
                <c:v>12.44406983330095</c:v>
              </c:pt>
              <c:pt idx="2078">
                <c:v>12.44406983330095</c:v>
              </c:pt>
              <c:pt idx="2079">
                <c:v>0</c:v>
              </c:pt>
              <c:pt idx="2080">
                <c:v>0</c:v>
              </c:pt>
              <c:pt idx="2081">
                <c:v>12.44406983330095</c:v>
              </c:pt>
              <c:pt idx="2082">
                <c:v>12.44406983330095</c:v>
              </c:pt>
              <c:pt idx="2083">
                <c:v>0</c:v>
              </c:pt>
              <c:pt idx="2084">
                <c:v>0</c:v>
              </c:pt>
              <c:pt idx="2085">
                <c:v>12.44406983330095</c:v>
              </c:pt>
              <c:pt idx="2086">
                <c:v>12.44406983330095</c:v>
              </c:pt>
              <c:pt idx="2087">
                <c:v>0</c:v>
              </c:pt>
              <c:pt idx="2088">
                <c:v>0</c:v>
              </c:pt>
              <c:pt idx="2089">
                <c:v>12.44406983330095</c:v>
              </c:pt>
              <c:pt idx="2090">
                <c:v>12.44406983330095</c:v>
              </c:pt>
              <c:pt idx="2091">
                <c:v>0</c:v>
              </c:pt>
              <c:pt idx="2092">
                <c:v>0</c:v>
              </c:pt>
              <c:pt idx="2093">
                <c:v>12.44406983330095</c:v>
              </c:pt>
              <c:pt idx="2094">
                <c:v>12.44406983330095</c:v>
              </c:pt>
              <c:pt idx="2095">
                <c:v>0</c:v>
              </c:pt>
              <c:pt idx="2096">
                <c:v>0</c:v>
              </c:pt>
              <c:pt idx="2097">
                <c:v>12.44406983330095</c:v>
              </c:pt>
              <c:pt idx="2098">
                <c:v>12.44406983330095</c:v>
              </c:pt>
              <c:pt idx="2099">
                <c:v>0</c:v>
              </c:pt>
              <c:pt idx="2100">
                <c:v>0</c:v>
              </c:pt>
              <c:pt idx="2101">
                <c:v>12.44406983330095</c:v>
              </c:pt>
              <c:pt idx="2102">
                <c:v>12.44406983330095</c:v>
              </c:pt>
              <c:pt idx="2103">
                <c:v>0</c:v>
              </c:pt>
              <c:pt idx="2104">
                <c:v>0</c:v>
              </c:pt>
              <c:pt idx="2105">
                <c:v>12.44406983330095</c:v>
              </c:pt>
              <c:pt idx="2106">
                <c:v>12.44406983330095</c:v>
              </c:pt>
              <c:pt idx="2107">
                <c:v>0</c:v>
              </c:pt>
              <c:pt idx="2108">
                <c:v>0</c:v>
              </c:pt>
              <c:pt idx="2109">
                <c:v>12.44406983330095</c:v>
              </c:pt>
              <c:pt idx="2110">
                <c:v>12.44406983330095</c:v>
              </c:pt>
              <c:pt idx="2111">
                <c:v>0</c:v>
              </c:pt>
              <c:pt idx="2112">
                <c:v>0</c:v>
              </c:pt>
              <c:pt idx="2113">
                <c:v>12.44406983330095</c:v>
              </c:pt>
              <c:pt idx="2114">
                <c:v>12.44406983330095</c:v>
              </c:pt>
              <c:pt idx="2115">
                <c:v>0</c:v>
              </c:pt>
              <c:pt idx="2116">
                <c:v>0</c:v>
              </c:pt>
              <c:pt idx="2117">
                <c:v>12.44406983330095</c:v>
              </c:pt>
              <c:pt idx="2118">
                <c:v>12.44406983330095</c:v>
              </c:pt>
              <c:pt idx="2119">
                <c:v>0</c:v>
              </c:pt>
              <c:pt idx="2120">
                <c:v>0</c:v>
              </c:pt>
              <c:pt idx="2121">
                <c:v>12.44406983330095</c:v>
              </c:pt>
              <c:pt idx="2122">
                <c:v>12.44406983330095</c:v>
              </c:pt>
              <c:pt idx="2123">
                <c:v>0</c:v>
              </c:pt>
              <c:pt idx="2124">
                <c:v>0</c:v>
              </c:pt>
              <c:pt idx="2125">
                <c:v>12.44406983330095</c:v>
              </c:pt>
              <c:pt idx="2126">
                <c:v>12.44406983330095</c:v>
              </c:pt>
              <c:pt idx="2127">
                <c:v>0</c:v>
              </c:pt>
              <c:pt idx="2128">
                <c:v>0</c:v>
              </c:pt>
              <c:pt idx="2129">
                <c:v>12.44406983330095</c:v>
              </c:pt>
              <c:pt idx="2130">
                <c:v>12.44406983330095</c:v>
              </c:pt>
              <c:pt idx="2131">
                <c:v>0</c:v>
              </c:pt>
              <c:pt idx="2132">
                <c:v>0</c:v>
              </c:pt>
              <c:pt idx="2133">
                <c:v>12.44406983330095</c:v>
              </c:pt>
              <c:pt idx="2134">
                <c:v>12.44406983330095</c:v>
              </c:pt>
              <c:pt idx="2135">
                <c:v>0</c:v>
              </c:pt>
              <c:pt idx="2136">
                <c:v>0</c:v>
              </c:pt>
              <c:pt idx="2137">
                <c:v>12.44406983330095</c:v>
              </c:pt>
              <c:pt idx="2138">
                <c:v>12.44406983330095</c:v>
              </c:pt>
              <c:pt idx="2139">
                <c:v>0</c:v>
              </c:pt>
              <c:pt idx="2140">
                <c:v>0</c:v>
              </c:pt>
              <c:pt idx="2141">
                <c:v>12.44406983330095</c:v>
              </c:pt>
              <c:pt idx="2142">
                <c:v>12.44406983330095</c:v>
              </c:pt>
              <c:pt idx="2143">
                <c:v>0</c:v>
              </c:pt>
              <c:pt idx="2144">
                <c:v>0</c:v>
              </c:pt>
              <c:pt idx="2145">
                <c:v>12.44406983330095</c:v>
              </c:pt>
              <c:pt idx="2146">
                <c:v>12.44406983330095</c:v>
              </c:pt>
              <c:pt idx="2147">
                <c:v>0</c:v>
              </c:pt>
              <c:pt idx="2148">
                <c:v>0</c:v>
              </c:pt>
              <c:pt idx="2149">
                <c:v>12.44406983330095</c:v>
              </c:pt>
              <c:pt idx="2150">
                <c:v>12.44406983330095</c:v>
              </c:pt>
              <c:pt idx="2151">
                <c:v>0</c:v>
              </c:pt>
              <c:pt idx="2152">
                <c:v>0</c:v>
              </c:pt>
              <c:pt idx="2153">
                <c:v>12.44406983330095</c:v>
              </c:pt>
              <c:pt idx="2154">
                <c:v>12.44406983330095</c:v>
              </c:pt>
              <c:pt idx="2155">
                <c:v>0</c:v>
              </c:pt>
              <c:pt idx="2156">
                <c:v>0</c:v>
              </c:pt>
              <c:pt idx="2157">
                <c:v>12.44406983330095</c:v>
              </c:pt>
              <c:pt idx="2158">
                <c:v>12.44406983330095</c:v>
              </c:pt>
              <c:pt idx="2159">
                <c:v>0</c:v>
              </c:pt>
              <c:pt idx="2160">
                <c:v>0</c:v>
              </c:pt>
              <c:pt idx="2161">
                <c:v>12.44406983330095</c:v>
              </c:pt>
              <c:pt idx="2162">
                <c:v>12.44406983330095</c:v>
              </c:pt>
              <c:pt idx="2163">
                <c:v>0</c:v>
              </c:pt>
              <c:pt idx="2164">
                <c:v>0</c:v>
              </c:pt>
              <c:pt idx="2165">
                <c:v>12.44406983330095</c:v>
              </c:pt>
              <c:pt idx="2166">
                <c:v>12.44406983330095</c:v>
              </c:pt>
              <c:pt idx="2167">
                <c:v>0</c:v>
              </c:pt>
              <c:pt idx="2168">
                <c:v>0</c:v>
              </c:pt>
              <c:pt idx="2169">
                <c:v>12.44406983330095</c:v>
              </c:pt>
              <c:pt idx="2170">
                <c:v>12.44406983330095</c:v>
              </c:pt>
              <c:pt idx="2171">
                <c:v>0</c:v>
              </c:pt>
              <c:pt idx="2172">
                <c:v>0</c:v>
              </c:pt>
              <c:pt idx="2173">
                <c:v>12.44406983330095</c:v>
              </c:pt>
              <c:pt idx="2174">
                <c:v>12.44406983330095</c:v>
              </c:pt>
              <c:pt idx="2175">
                <c:v>0</c:v>
              </c:pt>
              <c:pt idx="2176">
                <c:v>0</c:v>
              </c:pt>
              <c:pt idx="2177">
                <c:v>12.44406983330095</c:v>
              </c:pt>
              <c:pt idx="2178">
                <c:v>12.44406983330095</c:v>
              </c:pt>
              <c:pt idx="2179">
                <c:v>0</c:v>
              </c:pt>
              <c:pt idx="2180">
                <c:v>0</c:v>
              </c:pt>
              <c:pt idx="2181">
                <c:v>12.44406983330095</c:v>
              </c:pt>
              <c:pt idx="2182">
                <c:v>12.44406983330095</c:v>
              </c:pt>
              <c:pt idx="2183">
                <c:v>0</c:v>
              </c:pt>
              <c:pt idx="2184">
                <c:v>0</c:v>
              </c:pt>
              <c:pt idx="2185">
                <c:v>12.44406983330095</c:v>
              </c:pt>
              <c:pt idx="2186">
                <c:v>12.44406983330095</c:v>
              </c:pt>
              <c:pt idx="2187">
                <c:v>0</c:v>
              </c:pt>
              <c:pt idx="2188">
                <c:v>0</c:v>
              </c:pt>
              <c:pt idx="2189">
                <c:v>12.44406983330095</c:v>
              </c:pt>
              <c:pt idx="2190">
                <c:v>12.44406983330095</c:v>
              </c:pt>
              <c:pt idx="2191">
                <c:v>0</c:v>
              </c:pt>
              <c:pt idx="2192">
                <c:v>0</c:v>
              </c:pt>
              <c:pt idx="2193">
                <c:v>12.44406983330095</c:v>
              </c:pt>
              <c:pt idx="2194">
                <c:v>12.44406983330095</c:v>
              </c:pt>
              <c:pt idx="2195">
                <c:v>0</c:v>
              </c:pt>
              <c:pt idx="2196">
                <c:v>0</c:v>
              </c:pt>
              <c:pt idx="2197">
                <c:v>12.44406983330095</c:v>
              </c:pt>
              <c:pt idx="2198">
                <c:v>12.44406983330095</c:v>
              </c:pt>
              <c:pt idx="2199">
                <c:v>0</c:v>
              </c:pt>
              <c:pt idx="2200">
                <c:v>0</c:v>
              </c:pt>
              <c:pt idx="2201">
                <c:v>12.44406983330095</c:v>
              </c:pt>
              <c:pt idx="2202">
                <c:v>12.44406983330095</c:v>
              </c:pt>
              <c:pt idx="2203">
                <c:v>0</c:v>
              </c:pt>
              <c:pt idx="2204">
                <c:v>0</c:v>
              </c:pt>
              <c:pt idx="2205">
                <c:v>12.44406983330095</c:v>
              </c:pt>
              <c:pt idx="2206">
                <c:v>12.44406983330095</c:v>
              </c:pt>
              <c:pt idx="2207">
                <c:v>0</c:v>
              </c:pt>
              <c:pt idx="2208">
                <c:v>0</c:v>
              </c:pt>
              <c:pt idx="2209">
                <c:v>12.44406983330095</c:v>
              </c:pt>
              <c:pt idx="2210">
                <c:v>12.44406983330095</c:v>
              </c:pt>
              <c:pt idx="2211">
                <c:v>0</c:v>
              </c:pt>
              <c:pt idx="2212">
                <c:v>0</c:v>
              </c:pt>
              <c:pt idx="2213">
                <c:v>12.44406983330095</c:v>
              </c:pt>
              <c:pt idx="2214">
                <c:v>12.44406983330095</c:v>
              </c:pt>
              <c:pt idx="2215">
                <c:v>0</c:v>
              </c:pt>
              <c:pt idx="2216">
                <c:v>12.44406983330095</c:v>
              </c:pt>
              <c:pt idx="2217">
                <c:v>0</c:v>
              </c:pt>
              <c:pt idx="2220">
                <c:v>0</c:v>
              </c:pt>
              <c:pt idx="2221">
                <c:v>8.722059757034359</c:v>
              </c:pt>
              <c:pt idx="2222">
                <c:v>8.722059757034359</c:v>
              </c:pt>
              <c:pt idx="2223">
                <c:v>0</c:v>
              </c:pt>
              <c:pt idx="2224">
                <c:v>0</c:v>
              </c:pt>
              <c:pt idx="2225">
                <c:v>8.722059757034359</c:v>
              </c:pt>
              <c:pt idx="2226">
                <c:v>8.722059757034359</c:v>
              </c:pt>
              <c:pt idx="2227">
                <c:v>0</c:v>
              </c:pt>
              <c:pt idx="2228">
                <c:v>0</c:v>
              </c:pt>
              <c:pt idx="2229">
                <c:v>8.722059757034359</c:v>
              </c:pt>
              <c:pt idx="2230">
                <c:v>8.722059757034359</c:v>
              </c:pt>
              <c:pt idx="2231">
                <c:v>0</c:v>
              </c:pt>
              <c:pt idx="2232">
                <c:v>0</c:v>
              </c:pt>
              <c:pt idx="2233">
                <c:v>8.722059757034359</c:v>
              </c:pt>
              <c:pt idx="2234">
                <c:v>8.722059757034359</c:v>
              </c:pt>
              <c:pt idx="2235">
                <c:v>0</c:v>
              </c:pt>
              <c:pt idx="2236">
                <c:v>0</c:v>
              </c:pt>
              <c:pt idx="2237">
                <c:v>8.722059757034359</c:v>
              </c:pt>
              <c:pt idx="2238">
                <c:v>8.722059757034359</c:v>
              </c:pt>
              <c:pt idx="2239">
                <c:v>0</c:v>
              </c:pt>
              <c:pt idx="2240">
                <c:v>0</c:v>
              </c:pt>
              <c:pt idx="2241">
                <c:v>8.722059757034359</c:v>
              </c:pt>
              <c:pt idx="2242">
                <c:v>8.722059757034359</c:v>
              </c:pt>
              <c:pt idx="2243">
                <c:v>0</c:v>
              </c:pt>
              <c:pt idx="2244">
                <c:v>0</c:v>
              </c:pt>
              <c:pt idx="2245">
                <c:v>8.722059757034359</c:v>
              </c:pt>
              <c:pt idx="2246">
                <c:v>8.722059757034359</c:v>
              </c:pt>
              <c:pt idx="2247">
                <c:v>0</c:v>
              </c:pt>
              <c:pt idx="2248">
                <c:v>0</c:v>
              </c:pt>
              <c:pt idx="2249">
                <c:v>8.722059757034359</c:v>
              </c:pt>
              <c:pt idx="2250">
                <c:v>8.722059757034359</c:v>
              </c:pt>
              <c:pt idx="2251">
                <c:v>0</c:v>
              </c:pt>
              <c:pt idx="2252">
                <c:v>0</c:v>
              </c:pt>
              <c:pt idx="2253">
                <c:v>8.722059757034359</c:v>
              </c:pt>
              <c:pt idx="2254">
                <c:v>8.722059757034359</c:v>
              </c:pt>
              <c:pt idx="2255">
                <c:v>0</c:v>
              </c:pt>
              <c:pt idx="2256">
                <c:v>0</c:v>
              </c:pt>
              <c:pt idx="2257">
                <c:v>8.722059757034359</c:v>
              </c:pt>
              <c:pt idx="2258">
                <c:v>8.722059757034359</c:v>
              </c:pt>
              <c:pt idx="2259">
                <c:v>0</c:v>
              </c:pt>
              <c:pt idx="2260">
                <c:v>0</c:v>
              </c:pt>
              <c:pt idx="2261">
                <c:v>8.722059757034359</c:v>
              </c:pt>
              <c:pt idx="2262">
                <c:v>8.722059757034359</c:v>
              </c:pt>
              <c:pt idx="2263">
                <c:v>0</c:v>
              </c:pt>
              <c:pt idx="2264">
                <c:v>0</c:v>
              </c:pt>
              <c:pt idx="2265">
                <c:v>8.722059757034359</c:v>
              </c:pt>
              <c:pt idx="2266">
                <c:v>8.722059757034359</c:v>
              </c:pt>
              <c:pt idx="2267">
                <c:v>0</c:v>
              </c:pt>
              <c:pt idx="2268">
                <c:v>0</c:v>
              </c:pt>
              <c:pt idx="2269">
                <c:v>8.722059757034359</c:v>
              </c:pt>
              <c:pt idx="2270">
                <c:v>8.722059757034359</c:v>
              </c:pt>
              <c:pt idx="2271">
                <c:v>0</c:v>
              </c:pt>
              <c:pt idx="2272">
                <c:v>0</c:v>
              </c:pt>
              <c:pt idx="2273">
                <c:v>8.722059757034359</c:v>
              </c:pt>
              <c:pt idx="2274">
                <c:v>8.722059757034359</c:v>
              </c:pt>
              <c:pt idx="2275">
                <c:v>0</c:v>
              </c:pt>
              <c:pt idx="2276">
                <c:v>0</c:v>
              </c:pt>
              <c:pt idx="2277">
                <c:v>8.722059757034359</c:v>
              </c:pt>
              <c:pt idx="2278">
                <c:v>8.722059757034359</c:v>
              </c:pt>
              <c:pt idx="2279">
                <c:v>0</c:v>
              </c:pt>
              <c:pt idx="2280">
                <c:v>0</c:v>
              </c:pt>
              <c:pt idx="2281">
                <c:v>8.722059757034359</c:v>
              </c:pt>
              <c:pt idx="2282">
                <c:v>8.722059757034359</c:v>
              </c:pt>
              <c:pt idx="2283">
                <c:v>0</c:v>
              </c:pt>
              <c:pt idx="2284">
                <c:v>0</c:v>
              </c:pt>
              <c:pt idx="2285">
                <c:v>8.722059757034359</c:v>
              </c:pt>
              <c:pt idx="2286">
                <c:v>8.722059757034359</c:v>
              </c:pt>
              <c:pt idx="2287">
                <c:v>0</c:v>
              </c:pt>
              <c:pt idx="2288">
                <c:v>0</c:v>
              </c:pt>
              <c:pt idx="2289">
                <c:v>8.722059757034359</c:v>
              </c:pt>
              <c:pt idx="2290">
                <c:v>8.722059757034359</c:v>
              </c:pt>
              <c:pt idx="2291">
                <c:v>0</c:v>
              </c:pt>
              <c:pt idx="2292">
                <c:v>0</c:v>
              </c:pt>
              <c:pt idx="2293">
                <c:v>8.722059757034359</c:v>
              </c:pt>
              <c:pt idx="2294">
                <c:v>8.722059757034359</c:v>
              </c:pt>
              <c:pt idx="2295">
                <c:v>0</c:v>
              </c:pt>
              <c:pt idx="2296">
                <c:v>0</c:v>
              </c:pt>
              <c:pt idx="2297">
                <c:v>8.722059757034359</c:v>
              </c:pt>
              <c:pt idx="2298">
                <c:v>8.722059757034359</c:v>
              </c:pt>
              <c:pt idx="2299">
                <c:v>0</c:v>
              </c:pt>
              <c:pt idx="2300">
                <c:v>0</c:v>
              </c:pt>
              <c:pt idx="2301">
                <c:v>8.722059757034359</c:v>
              </c:pt>
              <c:pt idx="2302">
                <c:v>8.722059757034359</c:v>
              </c:pt>
              <c:pt idx="2303">
                <c:v>0</c:v>
              </c:pt>
              <c:pt idx="2304">
                <c:v>0</c:v>
              </c:pt>
              <c:pt idx="2305">
                <c:v>8.722059757034359</c:v>
              </c:pt>
              <c:pt idx="2306">
                <c:v>8.722059757034359</c:v>
              </c:pt>
              <c:pt idx="2307">
                <c:v>0</c:v>
              </c:pt>
              <c:pt idx="2308">
                <c:v>0</c:v>
              </c:pt>
              <c:pt idx="2309">
                <c:v>8.722059757034359</c:v>
              </c:pt>
              <c:pt idx="2310">
                <c:v>8.722059757034359</c:v>
              </c:pt>
              <c:pt idx="2311">
                <c:v>0</c:v>
              </c:pt>
              <c:pt idx="2312">
                <c:v>0</c:v>
              </c:pt>
              <c:pt idx="2313">
                <c:v>8.722059757034359</c:v>
              </c:pt>
              <c:pt idx="2314">
                <c:v>8.722059757034359</c:v>
              </c:pt>
              <c:pt idx="2315">
                <c:v>0</c:v>
              </c:pt>
              <c:pt idx="2316">
                <c:v>0</c:v>
              </c:pt>
              <c:pt idx="2317">
                <c:v>8.722059757034359</c:v>
              </c:pt>
              <c:pt idx="2318">
                <c:v>8.722059757034359</c:v>
              </c:pt>
              <c:pt idx="2319">
                <c:v>0</c:v>
              </c:pt>
              <c:pt idx="2320">
                <c:v>0</c:v>
              </c:pt>
              <c:pt idx="2321">
                <c:v>8.722059757034359</c:v>
              </c:pt>
              <c:pt idx="2322">
                <c:v>8.722059757034359</c:v>
              </c:pt>
              <c:pt idx="2323">
                <c:v>0</c:v>
              </c:pt>
              <c:pt idx="2324">
                <c:v>0</c:v>
              </c:pt>
              <c:pt idx="2325">
                <c:v>8.722059757034359</c:v>
              </c:pt>
              <c:pt idx="2326">
                <c:v>8.722059757034359</c:v>
              </c:pt>
              <c:pt idx="2327">
                <c:v>0</c:v>
              </c:pt>
              <c:pt idx="2328">
                <c:v>0</c:v>
              </c:pt>
              <c:pt idx="2329">
                <c:v>8.722059757034359</c:v>
              </c:pt>
              <c:pt idx="2330">
                <c:v>8.722059757034359</c:v>
              </c:pt>
              <c:pt idx="2331">
                <c:v>0</c:v>
              </c:pt>
              <c:pt idx="2332">
                <c:v>0</c:v>
              </c:pt>
              <c:pt idx="2333">
                <c:v>8.722059757034359</c:v>
              </c:pt>
              <c:pt idx="2334">
                <c:v>8.722059757034359</c:v>
              </c:pt>
              <c:pt idx="2335">
                <c:v>0</c:v>
              </c:pt>
              <c:pt idx="2336">
                <c:v>0</c:v>
              </c:pt>
              <c:pt idx="2337">
                <c:v>8.722059757034359</c:v>
              </c:pt>
              <c:pt idx="2338">
                <c:v>8.722059757034359</c:v>
              </c:pt>
              <c:pt idx="2339">
                <c:v>0</c:v>
              </c:pt>
              <c:pt idx="2340">
                <c:v>0</c:v>
              </c:pt>
              <c:pt idx="2341">
                <c:v>8.722059757034359</c:v>
              </c:pt>
              <c:pt idx="2342">
                <c:v>8.722059757034359</c:v>
              </c:pt>
              <c:pt idx="2343">
                <c:v>0</c:v>
              </c:pt>
              <c:pt idx="2344">
                <c:v>0</c:v>
              </c:pt>
              <c:pt idx="2345">
                <c:v>8.722059757034359</c:v>
              </c:pt>
              <c:pt idx="2346">
                <c:v>8.722059757034359</c:v>
              </c:pt>
              <c:pt idx="2347">
                <c:v>0</c:v>
              </c:pt>
              <c:pt idx="2348">
                <c:v>0</c:v>
              </c:pt>
              <c:pt idx="2349">
                <c:v>8.722059757034359</c:v>
              </c:pt>
              <c:pt idx="2350">
                <c:v>8.722059757034359</c:v>
              </c:pt>
              <c:pt idx="2351">
                <c:v>0</c:v>
              </c:pt>
              <c:pt idx="2352">
                <c:v>0</c:v>
              </c:pt>
              <c:pt idx="2353">
                <c:v>8.722059757034359</c:v>
              </c:pt>
              <c:pt idx="2354">
                <c:v>8.722059757034359</c:v>
              </c:pt>
              <c:pt idx="2355">
                <c:v>0</c:v>
              </c:pt>
              <c:pt idx="2356">
                <c:v>0</c:v>
              </c:pt>
              <c:pt idx="2357">
                <c:v>8.722059757034359</c:v>
              </c:pt>
              <c:pt idx="2358">
                <c:v>8.722059757034359</c:v>
              </c:pt>
              <c:pt idx="2359">
                <c:v>0</c:v>
              </c:pt>
              <c:pt idx="2360">
                <c:v>0</c:v>
              </c:pt>
              <c:pt idx="2361">
                <c:v>8.722059757034359</c:v>
              </c:pt>
              <c:pt idx="2362">
                <c:v>8.722059757034359</c:v>
              </c:pt>
              <c:pt idx="2363">
                <c:v>0</c:v>
              </c:pt>
              <c:pt idx="2364">
                <c:v>8.722059757034359</c:v>
              </c:pt>
              <c:pt idx="2365">
                <c:v>0</c:v>
              </c:pt>
              <c:pt idx="2368">
                <c:v>0</c:v>
              </c:pt>
              <c:pt idx="2369">
                <c:v>5.560593366952497</c:v>
              </c:pt>
              <c:pt idx="2370">
                <c:v>5.560593366952497</c:v>
              </c:pt>
              <c:pt idx="2371">
                <c:v>0</c:v>
              </c:pt>
              <c:pt idx="2372">
                <c:v>0</c:v>
              </c:pt>
              <c:pt idx="2373">
                <c:v>5.560593366952497</c:v>
              </c:pt>
              <c:pt idx="2374">
                <c:v>5.560593366952497</c:v>
              </c:pt>
              <c:pt idx="2375">
                <c:v>0</c:v>
              </c:pt>
              <c:pt idx="2376">
                <c:v>0</c:v>
              </c:pt>
              <c:pt idx="2377">
                <c:v>5.560593366952497</c:v>
              </c:pt>
              <c:pt idx="2378">
                <c:v>5.560593366952497</c:v>
              </c:pt>
              <c:pt idx="2379">
                <c:v>0</c:v>
              </c:pt>
              <c:pt idx="2380">
                <c:v>0</c:v>
              </c:pt>
              <c:pt idx="2381">
                <c:v>5.560593366952497</c:v>
              </c:pt>
              <c:pt idx="2382">
                <c:v>5.560593366952497</c:v>
              </c:pt>
              <c:pt idx="2383">
                <c:v>0</c:v>
              </c:pt>
              <c:pt idx="2384">
                <c:v>0</c:v>
              </c:pt>
              <c:pt idx="2385">
                <c:v>5.560593366952497</c:v>
              </c:pt>
              <c:pt idx="2386">
                <c:v>5.560593366952497</c:v>
              </c:pt>
              <c:pt idx="2387">
                <c:v>0</c:v>
              </c:pt>
              <c:pt idx="2388">
                <c:v>0</c:v>
              </c:pt>
              <c:pt idx="2389">
                <c:v>5.560593366952497</c:v>
              </c:pt>
              <c:pt idx="2390">
                <c:v>5.560593366952497</c:v>
              </c:pt>
              <c:pt idx="2391">
                <c:v>0</c:v>
              </c:pt>
              <c:pt idx="2392">
                <c:v>0</c:v>
              </c:pt>
              <c:pt idx="2393">
                <c:v>5.560593366952497</c:v>
              </c:pt>
              <c:pt idx="2394">
                <c:v>5.560593366952497</c:v>
              </c:pt>
              <c:pt idx="2395">
                <c:v>0</c:v>
              </c:pt>
              <c:pt idx="2396">
                <c:v>0</c:v>
              </c:pt>
              <c:pt idx="2397">
                <c:v>5.560593366952497</c:v>
              </c:pt>
              <c:pt idx="2398">
                <c:v>5.560593366952497</c:v>
              </c:pt>
              <c:pt idx="2399">
                <c:v>0</c:v>
              </c:pt>
              <c:pt idx="2400">
                <c:v>0</c:v>
              </c:pt>
              <c:pt idx="2401">
                <c:v>5.560593366952497</c:v>
              </c:pt>
              <c:pt idx="2402">
                <c:v>5.560593366952497</c:v>
              </c:pt>
              <c:pt idx="2403">
                <c:v>0</c:v>
              </c:pt>
              <c:pt idx="2404">
                <c:v>0</c:v>
              </c:pt>
              <c:pt idx="2405">
                <c:v>5.560593366952497</c:v>
              </c:pt>
              <c:pt idx="2406">
                <c:v>5.560593366952497</c:v>
              </c:pt>
              <c:pt idx="2407">
                <c:v>0</c:v>
              </c:pt>
              <c:pt idx="2408">
                <c:v>0</c:v>
              </c:pt>
              <c:pt idx="2409">
                <c:v>5.560593366952497</c:v>
              </c:pt>
              <c:pt idx="2410">
                <c:v>5.560593366952497</c:v>
              </c:pt>
              <c:pt idx="2411">
                <c:v>0</c:v>
              </c:pt>
              <c:pt idx="2412">
                <c:v>0</c:v>
              </c:pt>
              <c:pt idx="2413">
                <c:v>5.560593366952497</c:v>
              </c:pt>
              <c:pt idx="2414">
                <c:v>5.560593366952497</c:v>
              </c:pt>
              <c:pt idx="2415">
                <c:v>0</c:v>
              </c:pt>
              <c:pt idx="2416">
                <c:v>0</c:v>
              </c:pt>
              <c:pt idx="2417">
                <c:v>5.560593366952497</c:v>
              </c:pt>
              <c:pt idx="2418">
                <c:v>5.560593366952497</c:v>
              </c:pt>
              <c:pt idx="2419">
                <c:v>0</c:v>
              </c:pt>
              <c:pt idx="2420">
                <c:v>0</c:v>
              </c:pt>
              <c:pt idx="2421">
                <c:v>5.560593366952497</c:v>
              </c:pt>
              <c:pt idx="2422">
                <c:v>5.560593366952497</c:v>
              </c:pt>
              <c:pt idx="2423">
                <c:v>0</c:v>
              </c:pt>
              <c:pt idx="2424">
                <c:v>0</c:v>
              </c:pt>
              <c:pt idx="2425">
                <c:v>5.560593366952497</c:v>
              </c:pt>
              <c:pt idx="2426">
                <c:v>5.560593366952497</c:v>
              </c:pt>
              <c:pt idx="2427">
                <c:v>0</c:v>
              </c:pt>
              <c:pt idx="2428">
                <c:v>0</c:v>
              </c:pt>
              <c:pt idx="2429">
                <c:v>5.560593366952497</c:v>
              </c:pt>
              <c:pt idx="2430">
                <c:v>5.560593366952497</c:v>
              </c:pt>
              <c:pt idx="2431">
                <c:v>0</c:v>
              </c:pt>
              <c:pt idx="2432">
                <c:v>0</c:v>
              </c:pt>
              <c:pt idx="2433">
                <c:v>5.560593366952497</c:v>
              </c:pt>
              <c:pt idx="2434">
                <c:v>5.560593366952497</c:v>
              </c:pt>
              <c:pt idx="2435">
                <c:v>0</c:v>
              </c:pt>
              <c:pt idx="2436">
                <c:v>0</c:v>
              </c:pt>
              <c:pt idx="2437">
                <c:v>5.560593366952497</c:v>
              </c:pt>
              <c:pt idx="2438">
                <c:v>5.560593366952497</c:v>
              </c:pt>
              <c:pt idx="2439">
                <c:v>0</c:v>
              </c:pt>
              <c:pt idx="2440">
                <c:v>0</c:v>
              </c:pt>
              <c:pt idx="2441">
                <c:v>5.560593366952497</c:v>
              </c:pt>
              <c:pt idx="2442">
                <c:v>5.560593366952497</c:v>
              </c:pt>
              <c:pt idx="2443">
                <c:v>0</c:v>
              </c:pt>
              <c:pt idx="2444">
                <c:v>0</c:v>
              </c:pt>
              <c:pt idx="2445">
                <c:v>5.560593366952497</c:v>
              </c:pt>
              <c:pt idx="2446">
                <c:v>5.560593366952497</c:v>
              </c:pt>
              <c:pt idx="2447">
                <c:v>0</c:v>
              </c:pt>
              <c:pt idx="2448">
                <c:v>0</c:v>
              </c:pt>
              <c:pt idx="2449">
                <c:v>5.560593366952497</c:v>
              </c:pt>
              <c:pt idx="2450">
                <c:v>5.560593366952497</c:v>
              </c:pt>
              <c:pt idx="2451">
                <c:v>0</c:v>
              </c:pt>
              <c:pt idx="2452">
                <c:v>0</c:v>
              </c:pt>
              <c:pt idx="2453">
                <c:v>5.560593366952497</c:v>
              </c:pt>
              <c:pt idx="2454">
                <c:v>5.560593366952497</c:v>
              </c:pt>
              <c:pt idx="2455">
                <c:v>0</c:v>
              </c:pt>
              <c:pt idx="2456">
                <c:v>0</c:v>
              </c:pt>
              <c:pt idx="2457">
                <c:v>5.560593366952497</c:v>
              </c:pt>
              <c:pt idx="2458">
                <c:v>5.560593366952497</c:v>
              </c:pt>
              <c:pt idx="2459">
                <c:v>0</c:v>
              </c:pt>
              <c:pt idx="2460">
                <c:v>0</c:v>
              </c:pt>
              <c:pt idx="2461">
                <c:v>5.560593366952497</c:v>
              </c:pt>
              <c:pt idx="2462">
                <c:v>5.560593366952497</c:v>
              </c:pt>
              <c:pt idx="2463">
                <c:v>0</c:v>
              </c:pt>
              <c:pt idx="2464">
                <c:v>0</c:v>
              </c:pt>
              <c:pt idx="2465">
                <c:v>5.560593366952497</c:v>
              </c:pt>
              <c:pt idx="2466">
                <c:v>5.560593366952497</c:v>
              </c:pt>
              <c:pt idx="2467">
                <c:v>0</c:v>
              </c:pt>
              <c:pt idx="2468">
                <c:v>0</c:v>
              </c:pt>
              <c:pt idx="2469">
                <c:v>5.560593366952497</c:v>
              </c:pt>
              <c:pt idx="2470">
                <c:v>5.560593366952497</c:v>
              </c:pt>
              <c:pt idx="2471">
                <c:v>0</c:v>
              </c:pt>
              <c:pt idx="2472">
                <c:v>0</c:v>
              </c:pt>
              <c:pt idx="2473">
                <c:v>5.560593366952497</c:v>
              </c:pt>
              <c:pt idx="2474">
                <c:v>5.560593366952497</c:v>
              </c:pt>
              <c:pt idx="2475">
                <c:v>0</c:v>
              </c:pt>
              <c:pt idx="2476">
                <c:v>0</c:v>
              </c:pt>
              <c:pt idx="2477">
                <c:v>5.560593366952497</c:v>
              </c:pt>
              <c:pt idx="2478">
                <c:v>5.560593366952497</c:v>
              </c:pt>
              <c:pt idx="2479">
                <c:v>0</c:v>
              </c:pt>
              <c:pt idx="2480">
                <c:v>0</c:v>
              </c:pt>
              <c:pt idx="2481">
                <c:v>5.560593366952497</c:v>
              </c:pt>
              <c:pt idx="2482">
                <c:v>5.560593366952497</c:v>
              </c:pt>
              <c:pt idx="2483">
                <c:v>0</c:v>
              </c:pt>
              <c:pt idx="2484">
                <c:v>0</c:v>
              </c:pt>
              <c:pt idx="2485">
                <c:v>5.560593366952497</c:v>
              </c:pt>
              <c:pt idx="2486">
                <c:v>5.560593366952497</c:v>
              </c:pt>
              <c:pt idx="2487">
                <c:v>0</c:v>
              </c:pt>
              <c:pt idx="2488">
                <c:v>0</c:v>
              </c:pt>
              <c:pt idx="2489">
                <c:v>5.560593366952497</c:v>
              </c:pt>
              <c:pt idx="2490">
                <c:v>5.560593366952497</c:v>
              </c:pt>
              <c:pt idx="2491">
                <c:v>0</c:v>
              </c:pt>
              <c:pt idx="2492">
                <c:v>0</c:v>
              </c:pt>
              <c:pt idx="2493">
                <c:v>5.560593366952497</c:v>
              </c:pt>
              <c:pt idx="2494">
                <c:v>5.560593366952497</c:v>
              </c:pt>
              <c:pt idx="2495">
                <c:v>0</c:v>
              </c:pt>
              <c:pt idx="2496">
                <c:v>0</c:v>
              </c:pt>
              <c:pt idx="2497">
                <c:v>5.560593366952497</c:v>
              </c:pt>
              <c:pt idx="2498">
                <c:v>5.560593366952497</c:v>
              </c:pt>
              <c:pt idx="2499">
                <c:v>0</c:v>
              </c:pt>
              <c:pt idx="2500">
                <c:v>0</c:v>
              </c:pt>
              <c:pt idx="2501">
                <c:v>5.560593366952497</c:v>
              </c:pt>
              <c:pt idx="2502">
                <c:v>5.560593366952497</c:v>
              </c:pt>
              <c:pt idx="2503">
                <c:v>0</c:v>
              </c:pt>
              <c:pt idx="2504">
                <c:v>0</c:v>
              </c:pt>
              <c:pt idx="2505">
                <c:v>5.560593366952497</c:v>
              </c:pt>
              <c:pt idx="2506">
                <c:v>5.560593366952497</c:v>
              </c:pt>
              <c:pt idx="2507">
                <c:v>0</c:v>
              </c:pt>
              <c:pt idx="2508">
                <c:v>0</c:v>
              </c:pt>
              <c:pt idx="2509">
                <c:v>5.560593366952497</c:v>
              </c:pt>
              <c:pt idx="2510">
                <c:v>5.560593366952497</c:v>
              </c:pt>
              <c:pt idx="2511">
                <c:v>0</c:v>
              </c:pt>
              <c:pt idx="2512">
                <c:v>5.560593366952497</c:v>
              </c:pt>
              <c:pt idx="2513">
                <c:v>0</c:v>
              </c:pt>
              <c:pt idx="2516">
                <c:v>0</c:v>
              </c:pt>
              <c:pt idx="2517">
                <c:v>3.0942011477396956</c:v>
              </c:pt>
              <c:pt idx="2518">
                <c:v>3.0942011477396956</c:v>
              </c:pt>
              <c:pt idx="2519">
                <c:v>0</c:v>
              </c:pt>
              <c:pt idx="2520">
                <c:v>0</c:v>
              </c:pt>
              <c:pt idx="2521">
                <c:v>3.0942011477396956</c:v>
              </c:pt>
              <c:pt idx="2522">
                <c:v>3.0942011477396956</c:v>
              </c:pt>
              <c:pt idx="2523">
                <c:v>0</c:v>
              </c:pt>
              <c:pt idx="2524">
                <c:v>0</c:v>
              </c:pt>
              <c:pt idx="2525">
                <c:v>3.0942011477396956</c:v>
              </c:pt>
              <c:pt idx="2526">
                <c:v>3.0942011477396956</c:v>
              </c:pt>
              <c:pt idx="2527">
                <c:v>0</c:v>
              </c:pt>
              <c:pt idx="2528">
                <c:v>0</c:v>
              </c:pt>
              <c:pt idx="2529">
                <c:v>3.0942011477396956</c:v>
              </c:pt>
              <c:pt idx="2530">
                <c:v>3.0942011477396956</c:v>
              </c:pt>
              <c:pt idx="2531">
                <c:v>0</c:v>
              </c:pt>
              <c:pt idx="2532">
                <c:v>0</c:v>
              </c:pt>
              <c:pt idx="2533">
                <c:v>3.0942011477396956</c:v>
              </c:pt>
              <c:pt idx="2534">
                <c:v>3.0942011477396956</c:v>
              </c:pt>
              <c:pt idx="2535">
                <c:v>0</c:v>
              </c:pt>
              <c:pt idx="2536">
                <c:v>0</c:v>
              </c:pt>
              <c:pt idx="2537">
                <c:v>3.0942011477396956</c:v>
              </c:pt>
              <c:pt idx="2538">
                <c:v>3.0942011477396956</c:v>
              </c:pt>
              <c:pt idx="2539">
                <c:v>0</c:v>
              </c:pt>
              <c:pt idx="2540">
                <c:v>0</c:v>
              </c:pt>
              <c:pt idx="2541">
                <c:v>3.0942011477396956</c:v>
              </c:pt>
              <c:pt idx="2542">
                <c:v>3.0942011477396956</c:v>
              </c:pt>
              <c:pt idx="2543">
                <c:v>0</c:v>
              </c:pt>
              <c:pt idx="2544">
                <c:v>0</c:v>
              </c:pt>
              <c:pt idx="2545">
                <c:v>3.0942011477396956</c:v>
              </c:pt>
              <c:pt idx="2546">
                <c:v>3.0942011477396956</c:v>
              </c:pt>
              <c:pt idx="2547">
                <c:v>0</c:v>
              </c:pt>
              <c:pt idx="2548">
                <c:v>0</c:v>
              </c:pt>
              <c:pt idx="2549">
                <c:v>3.0942011477396956</c:v>
              </c:pt>
              <c:pt idx="2550">
                <c:v>3.0942011477396956</c:v>
              </c:pt>
              <c:pt idx="2551">
                <c:v>0</c:v>
              </c:pt>
              <c:pt idx="2552">
                <c:v>0</c:v>
              </c:pt>
              <c:pt idx="2553">
                <c:v>3.0942011477396956</c:v>
              </c:pt>
              <c:pt idx="2554">
                <c:v>3.0942011477396956</c:v>
              </c:pt>
              <c:pt idx="2555">
                <c:v>0</c:v>
              </c:pt>
              <c:pt idx="2556">
                <c:v>0</c:v>
              </c:pt>
              <c:pt idx="2557">
                <c:v>3.0942011477396956</c:v>
              </c:pt>
              <c:pt idx="2558">
                <c:v>3.0942011477396956</c:v>
              </c:pt>
              <c:pt idx="2559">
                <c:v>0</c:v>
              </c:pt>
              <c:pt idx="2560">
                <c:v>0</c:v>
              </c:pt>
              <c:pt idx="2561">
                <c:v>3.0942011477396956</c:v>
              </c:pt>
              <c:pt idx="2562">
                <c:v>3.0942011477396956</c:v>
              </c:pt>
              <c:pt idx="2563">
                <c:v>0</c:v>
              </c:pt>
              <c:pt idx="2564">
                <c:v>0</c:v>
              </c:pt>
              <c:pt idx="2565">
                <c:v>3.0942011477396956</c:v>
              </c:pt>
              <c:pt idx="2566">
                <c:v>3.0942011477396956</c:v>
              </c:pt>
              <c:pt idx="2567">
                <c:v>0</c:v>
              </c:pt>
              <c:pt idx="2568">
                <c:v>0</c:v>
              </c:pt>
              <c:pt idx="2569">
                <c:v>3.0942011477396956</c:v>
              </c:pt>
              <c:pt idx="2570">
                <c:v>3.0942011477396956</c:v>
              </c:pt>
              <c:pt idx="2571">
                <c:v>0</c:v>
              </c:pt>
              <c:pt idx="2572">
                <c:v>0</c:v>
              </c:pt>
              <c:pt idx="2573">
                <c:v>3.0942011477396956</c:v>
              </c:pt>
              <c:pt idx="2574">
                <c:v>3.0942011477396956</c:v>
              </c:pt>
              <c:pt idx="2575">
                <c:v>0</c:v>
              </c:pt>
              <c:pt idx="2576">
                <c:v>0</c:v>
              </c:pt>
              <c:pt idx="2577">
                <c:v>3.0942011477396956</c:v>
              </c:pt>
              <c:pt idx="2578">
                <c:v>3.0942011477396956</c:v>
              </c:pt>
              <c:pt idx="2579">
                <c:v>0</c:v>
              </c:pt>
              <c:pt idx="2580">
                <c:v>0</c:v>
              </c:pt>
              <c:pt idx="2581">
                <c:v>3.0942011477396956</c:v>
              </c:pt>
              <c:pt idx="2582">
                <c:v>3.0942011477396956</c:v>
              </c:pt>
              <c:pt idx="2583">
                <c:v>0</c:v>
              </c:pt>
              <c:pt idx="2584">
                <c:v>0</c:v>
              </c:pt>
              <c:pt idx="2585">
                <c:v>3.0942011477396956</c:v>
              </c:pt>
              <c:pt idx="2586">
                <c:v>3.0942011477396956</c:v>
              </c:pt>
              <c:pt idx="2587">
                <c:v>0</c:v>
              </c:pt>
              <c:pt idx="2588">
                <c:v>0</c:v>
              </c:pt>
              <c:pt idx="2589">
                <c:v>3.0942011477396956</c:v>
              </c:pt>
              <c:pt idx="2590">
                <c:v>3.0942011477396956</c:v>
              </c:pt>
              <c:pt idx="2591">
                <c:v>0</c:v>
              </c:pt>
              <c:pt idx="2592">
                <c:v>0</c:v>
              </c:pt>
              <c:pt idx="2593">
                <c:v>3.0942011477396956</c:v>
              </c:pt>
              <c:pt idx="2594">
                <c:v>3.0942011477396956</c:v>
              </c:pt>
              <c:pt idx="2595">
                <c:v>0</c:v>
              </c:pt>
              <c:pt idx="2596">
                <c:v>0</c:v>
              </c:pt>
              <c:pt idx="2597">
                <c:v>3.0942011477396956</c:v>
              </c:pt>
              <c:pt idx="2598">
                <c:v>3.0942011477396956</c:v>
              </c:pt>
              <c:pt idx="2599">
                <c:v>0</c:v>
              </c:pt>
              <c:pt idx="2600">
                <c:v>0</c:v>
              </c:pt>
              <c:pt idx="2601">
                <c:v>3.0942011477396956</c:v>
              </c:pt>
              <c:pt idx="2602">
                <c:v>3.0942011477396956</c:v>
              </c:pt>
              <c:pt idx="2603">
                <c:v>0</c:v>
              </c:pt>
              <c:pt idx="2604">
                <c:v>0</c:v>
              </c:pt>
              <c:pt idx="2605">
                <c:v>3.0942011477396956</c:v>
              </c:pt>
              <c:pt idx="2606">
                <c:v>3.0942011477396956</c:v>
              </c:pt>
              <c:pt idx="2607">
                <c:v>0</c:v>
              </c:pt>
              <c:pt idx="2608">
                <c:v>0</c:v>
              </c:pt>
              <c:pt idx="2609">
                <c:v>3.0942011477396956</c:v>
              </c:pt>
              <c:pt idx="2610">
                <c:v>3.0942011477396956</c:v>
              </c:pt>
              <c:pt idx="2611">
                <c:v>0</c:v>
              </c:pt>
              <c:pt idx="2612">
                <c:v>0</c:v>
              </c:pt>
              <c:pt idx="2613">
                <c:v>3.0942011477396956</c:v>
              </c:pt>
              <c:pt idx="2614">
                <c:v>3.0942011477396956</c:v>
              </c:pt>
              <c:pt idx="2615">
                <c:v>0</c:v>
              </c:pt>
              <c:pt idx="2616">
                <c:v>0</c:v>
              </c:pt>
              <c:pt idx="2617">
                <c:v>3.0942011477396956</c:v>
              </c:pt>
              <c:pt idx="2618">
                <c:v>3.0942011477396956</c:v>
              </c:pt>
              <c:pt idx="2619">
                <c:v>0</c:v>
              </c:pt>
              <c:pt idx="2620">
                <c:v>0</c:v>
              </c:pt>
              <c:pt idx="2621">
                <c:v>3.0942011477396956</c:v>
              </c:pt>
              <c:pt idx="2622">
                <c:v>3.0942011477396956</c:v>
              </c:pt>
              <c:pt idx="2623">
                <c:v>0</c:v>
              </c:pt>
              <c:pt idx="2624">
                <c:v>0</c:v>
              </c:pt>
              <c:pt idx="2625">
                <c:v>3.0942011477396956</c:v>
              </c:pt>
              <c:pt idx="2626">
                <c:v>3.0942011477396956</c:v>
              </c:pt>
              <c:pt idx="2627">
                <c:v>0</c:v>
              </c:pt>
              <c:pt idx="2628">
                <c:v>0</c:v>
              </c:pt>
              <c:pt idx="2629">
                <c:v>3.0942011477396956</c:v>
              </c:pt>
              <c:pt idx="2630">
                <c:v>3.0942011477396956</c:v>
              </c:pt>
              <c:pt idx="2631">
                <c:v>0</c:v>
              </c:pt>
              <c:pt idx="2632">
                <c:v>0</c:v>
              </c:pt>
              <c:pt idx="2633">
                <c:v>3.0942011477396956</c:v>
              </c:pt>
              <c:pt idx="2634">
                <c:v>3.0942011477396956</c:v>
              </c:pt>
              <c:pt idx="2635">
                <c:v>0</c:v>
              </c:pt>
              <c:pt idx="2636">
                <c:v>0</c:v>
              </c:pt>
              <c:pt idx="2637">
                <c:v>3.0942011477396956</c:v>
              </c:pt>
              <c:pt idx="2638">
                <c:v>3.0942011477396956</c:v>
              </c:pt>
              <c:pt idx="2639">
                <c:v>0</c:v>
              </c:pt>
              <c:pt idx="2640">
                <c:v>0</c:v>
              </c:pt>
              <c:pt idx="2641">
                <c:v>3.0942011477396956</c:v>
              </c:pt>
              <c:pt idx="2642">
                <c:v>3.0942011477396956</c:v>
              </c:pt>
              <c:pt idx="2643">
                <c:v>0</c:v>
              </c:pt>
              <c:pt idx="2644">
                <c:v>0</c:v>
              </c:pt>
              <c:pt idx="2645">
                <c:v>3.0942011477396956</c:v>
              </c:pt>
              <c:pt idx="2646">
                <c:v>3.0942011477396956</c:v>
              </c:pt>
              <c:pt idx="2647">
                <c:v>0</c:v>
              </c:pt>
              <c:pt idx="2648">
                <c:v>0</c:v>
              </c:pt>
              <c:pt idx="2649">
                <c:v>3.0942011477396956</c:v>
              </c:pt>
              <c:pt idx="2650">
                <c:v>3.0942011477396956</c:v>
              </c:pt>
              <c:pt idx="2651">
                <c:v>0</c:v>
              </c:pt>
              <c:pt idx="2652">
                <c:v>0</c:v>
              </c:pt>
              <c:pt idx="2653">
                <c:v>3.0942011477396956</c:v>
              </c:pt>
              <c:pt idx="2654">
                <c:v>3.0942011477396956</c:v>
              </c:pt>
              <c:pt idx="2655">
                <c:v>0</c:v>
              </c:pt>
              <c:pt idx="2656">
                <c:v>0</c:v>
              </c:pt>
              <c:pt idx="2657">
                <c:v>3.0942011477396956</c:v>
              </c:pt>
              <c:pt idx="2658">
                <c:v>3.0942011477396956</c:v>
              </c:pt>
              <c:pt idx="2659">
                <c:v>0</c:v>
              </c:pt>
              <c:pt idx="2660">
                <c:v>3.0942011477396956</c:v>
              </c:pt>
              <c:pt idx="2661">
                <c:v>0</c:v>
              </c:pt>
              <c:pt idx="2664">
                <c:v>0</c:v>
              </c:pt>
              <c:pt idx="2665">
                <c:v>1.367726594290735</c:v>
              </c:pt>
              <c:pt idx="2666">
                <c:v>1.367726594290735</c:v>
              </c:pt>
              <c:pt idx="2667">
                <c:v>0</c:v>
              </c:pt>
              <c:pt idx="2668">
                <c:v>0</c:v>
              </c:pt>
              <c:pt idx="2669">
                <c:v>1.367726594290735</c:v>
              </c:pt>
              <c:pt idx="2670">
                <c:v>1.367726594290735</c:v>
              </c:pt>
              <c:pt idx="2671">
                <c:v>0</c:v>
              </c:pt>
              <c:pt idx="2672">
                <c:v>0</c:v>
              </c:pt>
              <c:pt idx="2673">
                <c:v>1.367726594290735</c:v>
              </c:pt>
              <c:pt idx="2674">
                <c:v>1.367726594290735</c:v>
              </c:pt>
              <c:pt idx="2675">
                <c:v>0</c:v>
              </c:pt>
              <c:pt idx="2676">
                <c:v>0</c:v>
              </c:pt>
              <c:pt idx="2677">
                <c:v>1.367726594290735</c:v>
              </c:pt>
              <c:pt idx="2678">
                <c:v>1.367726594290735</c:v>
              </c:pt>
              <c:pt idx="2679">
                <c:v>0</c:v>
              </c:pt>
              <c:pt idx="2680">
                <c:v>0</c:v>
              </c:pt>
              <c:pt idx="2681">
                <c:v>1.367726594290735</c:v>
              </c:pt>
              <c:pt idx="2682">
                <c:v>1.367726594290735</c:v>
              </c:pt>
              <c:pt idx="2683">
                <c:v>0</c:v>
              </c:pt>
              <c:pt idx="2684">
                <c:v>0</c:v>
              </c:pt>
              <c:pt idx="2685">
                <c:v>1.367726594290735</c:v>
              </c:pt>
              <c:pt idx="2686">
                <c:v>1.367726594290735</c:v>
              </c:pt>
              <c:pt idx="2687">
                <c:v>0</c:v>
              </c:pt>
              <c:pt idx="2688">
                <c:v>0</c:v>
              </c:pt>
              <c:pt idx="2689">
                <c:v>1.367726594290735</c:v>
              </c:pt>
              <c:pt idx="2690">
                <c:v>1.367726594290735</c:v>
              </c:pt>
              <c:pt idx="2691">
                <c:v>0</c:v>
              </c:pt>
              <c:pt idx="2692">
                <c:v>0</c:v>
              </c:pt>
              <c:pt idx="2693">
                <c:v>1.367726594290735</c:v>
              </c:pt>
              <c:pt idx="2694">
                <c:v>1.367726594290735</c:v>
              </c:pt>
              <c:pt idx="2695">
                <c:v>0</c:v>
              </c:pt>
              <c:pt idx="2696">
                <c:v>0</c:v>
              </c:pt>
              <c:pt idx="2697">
                <c:v>1.367726594290735</c:v>
              </c:pt>
              <c:pt idx="2698">
                <c:v>1.367726594290735</c:v>
              </c:pt>
              <c:pt idx="2699">
                <c:v>0</c:v>
              </c:pt>
              <c:pt idx="2700">
                <c:v>0</c:v>
              </c:pt>
              <c:pt idx="2701">
                <c:v>1.367726594290735</c:v>
              </c:pt>
              <c:pt idx="2702">
                <c:v>1.367726594290735</c:v>
              </c:pt>
              <c:pt idx="2703">
                <c:v>0</c:v>
              </c:pt>
              <c:pt idx="2704">
                <c:v>0</c:v>
              </c:pt>
              <c:pt idx="2705">
                <c:v>1.367726594290735</c:v>
              </c:pt>
              <c:pt idx="2706">
                <c:v>1.367726594290735</c:v>
              </c:pt>
              <c:pt idx="2707">
                <c:v>0</c:v>
              </c:pt>
              <c:pt idx="2708">
                <c:v>0</c:v>
              </c:pt>
              <c:pt idx="2709">
                <c:v>1.367726594290735</c:v>
              </c:pt>
              <c:pt idx="2710">
                <c:v>1.367726594290735</c:v>
              </c:pt>
              <c:pt idx="2711">
                <c:v>0</c:v>
              </c:pt>
              <c:pt idx="2712">
                <c:v>0</c:v>
              </c:pt>
              <c:pt idx="2713">
                <c:v>1.367726594290735</c:v>
              </c:pt>
              <c:pt idx="2714">
                <c:v>1.367726594290735</c:v>
              </c:pt>
              <c:pt idx="2715">
                <c:v>0</c:v>
              </c:pt>
              <c:pt idx="2716">
                <c:v>0</c:v>
              </c:pt>
              <c:pt idx="2717">
                <c:v>1.367726594290735</c:v>
              </c:pt>
              <c:pt idx="2718">
                <c:v>1.367726594290735</c:v>
              </c:pt>
              <c:pt idx="2719">
                <c:v>0</c:v>
              </c:pt>
              <c:pt idx="2720">
                <c:v>0</c:v>
              </c:pt>
              <c:pt idx="2721">
                <c:v>1.367726594290735</c:v>
              </c:pt>
              <c:pt idx="2722">
                <c:v>1.367726594290735</c:v>
              </c:pt>
              <c:pt idx="2723">
                <c:v>0</c:v>
              </c:pt>
              <c:pt idx="2724">
                <c:v>0</c:v>
              </c:pt>
              <c:pt idx="2725">
                <c:v>1.367726594290735</c:v>
              </c:pt>
              <c:pt idx="2726">
                <c:v>1.367726594290735</c:v>
              </c:pt>
              <c:pt idx="2727">
                <c:v>0</c:v>
              </c:pt>
              <c:pt idx="2728">
                <c:v>0</c:v>
              </c:pt>
              <c:pt idx="2729">
                <c:v>1.367726594290735</c:v>
              </c:pt>
              <c:pt idx="2730">
                <c:v>1.367726594290735</c:v>
              </c:pt>
              <c:pt idx="2731">
                <c:v>0</c:v>
              </c:pt>
              <c:pt idx="2732">
                <c:v>0</c:v>
              </c:pt>
              <c:pt idx="2733">
                <c:v>1.367726594290735</c:v>
              </c:pt>
              <c:pt idx="2734">
                <c:v>1.367726594290735</c:v>
              </c:pt>
              <c:pt idx="2735">
                <c:v>0</c:v>
              </c:pt>
              <c:pt idx="2736">
                <c:v>0</c:v>
              </c:pt>
              <c:pt idx="2737">
                <c:v>1.367726594290735</c:v>
              </c:pt>
              <c:pt idx="2738">
                <c:v>1.367726594290735</c:v>
              </c:pt>
              <c:pt idx="2739">
                <c:v>0</c:v>
              </c:pt>
              <c:pt idx="2740">
                <c:v>0</c:v>
              </c:pt>
              <c:pt idx="2741">
                <c:v>1.367726594290735</c:v>
              </c:pt>
              <c:pt idx="2742">
                <c:v>1.367726594290735</c:v>
              </c:pt>
              <c:pt idx="2743">
                <c:v>0</c:v>
              </c:pt>
              <c:pt idx="2744">
                <c:v>0</c:v>
              </c:pt>
              <c:pt idx="2745">
                <c:v>1.367726594290735</c:v>
              </c:pt>
              <c:pt idx="2746">
                <c:v>1.367726594290735</c:v>
              </c:pt>
              <c:pt idx="2747">
                <c:v>0</c:v>
              </c:pt>
              <c:pt idx="2748">
                <c:v>0</c:v>
              </c:pt>
              <c:pt idx="2749">
                <c:v>1.367726594290735</c:v>
              </c:pt>
              <c:pt idx="2750">
                <c:v>1.367726594290735</c:v>
              </c:pt>
              <c:pt idx="2751">
                <c:v>0</c:v>
              </c:pt>
              <c:pt idx="2752">
                <c:v>0</c:v>
              </c:pt>
              <c:pt idx="2753">
                <c:v>1.367726594290735</c:v>
              </c:pt>
              <c:pt idx="2754">
                <c:v>1.367726594290735</c:v>
              </c:pt>
              <c:pt idx="2755">
                <c:v>0</c:v>
              </c:pt>
              <c:pt idx="2756">
                <c:v>0</c:v>
              </c:pt>
              <c:pt idx="2757">
                <c:v>1.367726594290735</c:v>
              </c:pt>
              <c:pt idx="2758">
                <c:v>1.367726594290735</c:v>
              </c:pt>
              <c:pt idx="2759">
                <c:v>0</c:v>
              </c:pt>
              <c:pt idx="2760">
                <c:v>0</c:v>
              </c:pt>
              <c:pt idx="2761">
                <c:v>1.367726594290735</c:v>
              </c:pt>
              <c:pt idx="2762">
                <c:v>1.367726594290735</c:v>
              </c:pt>
              <c:pt idx="2763">
                <c:v>0</c:v>
              </c:pt>
              <c:pt idx="2764">
                <c:v>0</c:v>
              </c:pt>
              <c:pt idx="2765">
                <c:v>1.367726594290735</c:v>
              </c:pt>
              <c:pt idx="2766">
                <c:v>1.367726594290735</c:v>
              </c:pt>
              <c:pt idx="2767">
                <c:v>0</c:v>
              </c:pt>
              <c:pt idx="2768">
                <c:v>0</c:v>
              </c:pt>
              <c:pt idx="2769">
                <c:v>1.367726594290735</c:v>
              </c:pt>
              <c:pt idx="2770">
                <c:v>1.367726594290735</c:v>
              </c:pt>
              <c:pt idx="2771">
                <c:v>0</c:v>
              </c:pt>
              <c:pt idx="2772">
                <c:v>0</c:v>
              </c:pt>
              <c:pt idx="2773">
                <c:v>1.367726594290735</c:v>
              </c:pt>
              <c:pt idx="2774">
                <c:v>1.367726594290735</c:v>
              </c:pt>
              <c:pt idx="2775">
                <c:v>0</c:v>
              </c:pt>
              <c:pt idx="2776">
                <c:v>0</c:v>
              </c:pt>
              <c:pt idx="2777">
                <c:v>1.367726594290735</c:v>
              </c:pt>
              <c:pt idx="2778">
                <c:v>1.367726594290735</c:v>
              </c:pt>
              <c:pt idx="2779">
                <c:v>0</c:v>
              </c:pt>
              <c:pt idx="2780">
                <c:v>0</c:v>
              </c:pt>
              <c:pt idx="2781">
                <c:v>1.367726594290735</c:v>
              </c:pt>
              <c:pt idx="2782">
                <c:v>1.367726594290735</c:v>
              </c:pt>
              <c:pt idx="2783">
                <c:v>0</c:v>
              </c:pt>
              <c:pt idx="2784">
                <c:v>0</c:v>
              </c:pt>
              <c:pt idx="2785">
                <c:v>1.367726594290735</c:v>
              </c:pt>
              <c:pt idx="2786">
                <c:v>1.367726594290735</c:v>
              </c:pt>
              <c:pt idx="2787">
                <c:v>0</c:v>
              </c:pt>
              <c:pt idx="2788">
                <c:v>0</c:v>
              </c:pt>
              <c:pt idx="2789">
                <c:v>1.367726594290735</c:v>
              </c:pt>
              <c:pt idx="2790">
                <c:v>1.367726594290735</c:v>
              </c:pt>
              <c:pt idx="2791">
                <c:v>0</c:v>
              </c:pt>
              <c:pt idx="2792">
                <c:v>0</c:v>
              </c:pt>
              <c:pt idx="2793">
                <c:v>1.367726594290735</c:v>
              </c:pt>
              <c:pt idx="2794">
                <c:v>1.367726594290735</c:v>
              </c:pt>
              <c:pt idx="2795">
                <c:v>0</c:v>
              </c:pt>
              <c:pt idx="2796">
                <c:v>0</c:v>
              </c:pt>
              <c:pt idx="2797">
                <c:v>1.367726594290735</c:v>
              </c:pt>
              <c:pt idx="2798">
                <c:v>1.367726594290735</c:v>
              </c:pt>
              <c:pt idx="2799">
                <c:v>0</c:v>
              </c:pt>
              <c:pt idx="2800">
                <c:v>0</c:v>
              </c:pt>
              <c:pt idx="2801">
                <c:v>1.367726594290735</c:v>
              </c:pt>
              <c:pt idx="2802">
                <c:v>1.367726594290735</c:v>
              </c:pt>
              <c:pt idx="2803">
                <c:v>0</c:v>
              </c:pt>
              <c:pt idx="2804">
                <c:v>0</c:v>
              </c:pt>
              <c:pt idx="2805">
                <c:v>1.367726594290735</c:v>
              </c:pt>
              <c:pt idx="2806">
                <c:v>1.367726594290735</c:v>
              </c:pt>
              <c:pt idx="2807">
                <c:v>0</c:v>
              </c:pt>
              <c:pt idx="2808">
                <c:v>1.367726594290735</c:v>
              </c:pt>
              <c:pt idx="2809">
                <c:v>0</c:v>
              </c:pt>
              <c:pt idx="2812">
                <c:v>0</c:v>
              </c:pt>
              <c:pt idx="2813">
                <c:v>0.5381219387373384</c:v>
              </c:pt>
              <c:pt idx="2814">
                <c:v>0.5381219387373384</c:v>
              </c:pt>
              <c:pt idx="2815">
                <c:v>0</c:v>
              </c:pt>
              <c:pt idx="2816">
                <c:v>0</c:v>
              </c:pt>
              <c:pt idx="2817">
                <c:v>0.5381219387373384</c:v>
              </c:pt>
              <c:pt idx="2818">
                <c:v>0.5381219387373384</c:v>
              </c:pt>
              <c:pt idx="2819">
                <c:v>0</c:v>
              </c:pt>
              <c:pt idx="2820">
                <c:v>0</c:v>
              </c:pt>
              <c:pt idx="2821">
                <c:v>0.5381219387373384</c:v>
              </c:pt>
              <c:pt idx="2822">
                <c:v>0.5381219387373384</c:v>
              </c:pt>
              <c:pt idx="2823">
                <c:v>0</c:v>
              </c:pt>
              <c:pt idx="2824">
                <c:v>0</c:v>
              </c:pt>
              <c:pt idx="2825">
                <c:v>0.5381219387373384</c:v>
              </c:pt>
              <c:pt idx="2826">
                <c:v>0.5381219387373384</c:v>
              </c:pt>
              <c:pt idx="2827">
                <c:v>0</c:v>
              </c:pt>
              <c:pt idx="2828">
                <c:v>0</c:v>
              </c:pt>
              <c:pt idx="2829">
                <c:v>0.5381219387373384</c:v>
              </c:pt>
              <c:pt idx="2830">
                <c:v>0.5381219387373384</c:v>
              </c:pt>
              <c:pt idx="2831">
                <c:v>0</c:v>
              </c:pt>
              <c:pt idx="2832">
                <c:v>0</c:v>
              </c:pt>
              <c:pt idx="2833">
                <c:v>0.5381219387373384</c:v>
              </c:pt>
              <c:pt idx="2834">
                <c:v>0.5381219387373384</c:v>
              </c:pt>
              <c:pt idx="2835">
                <c:v>0</c:v>
              </c:pt>
              <c:pt idx="2836">
                <c:v>0</c:v>
              </c:pt>
              <c:pt idx="2837">
                <c:v>0.5381219387373384</c:v>
              </c:pt>
              <c:pt idx="2838">
                <c:v>0.5381219387373384</c:v>
              </c:pt>
              <c:pt idx="2839">
                <c:v>0</c:v>
              </c:pt>
              <c:pt idx="2840">
                <c:v>0</c:v>
              </c:pt>
              <c:pt idx="2841">
                <c:v>0.5381219387373384</c:v>
              </c:pt>
              <c:pt idx="2842">
                <c:v>0.5381219387373384</c:v>
              </c:pt>
              <c:pt idx="2843">
                <c:v>0</c:v>
              </c:pt>
              <c:pt idx="2844">
                <c:v>0</c:v>
              </c:pt>
              <c:pt idx="2845">
                <c:v>0.5381219387373384</c:v>
              </c:pt>
              <c:pt idx="2846">
                <c:v>0.5381219387373384</c:v>
              </c:pt>
              <c:pt idx="2847">
                <c:v>0</c:v>
              </c:pt>
              <c:pt idx="2848">
                <c:v>0</c:v>
              </c:pt>
              <c:pt idx="2849">
                <c:v>0.5381219387373384</c:v>
              </c:pt>
              <c:pt idx="2850">
                <c:v>0.5381219387373384</c:v>
              </c:pt>
              <c:pt idx="2851">
                <c:v>0</c:v>
              </c:pt>
              <c:pt idx="2852">
                <c:v>0</c:v>
              </c:pt>
              <c:pt idx="2853">
                <c:v>0.5381219387373384</c:v>
              </c:pt>
              <c:pt idx="2854">
                <c:v>0.5381219387373384</c:v>
              </c:pt>
              <c:pt idx="2855">
                <c:v>0</c:v>
              </c:pt>
              <c:pt idx="2856">
                <c:v>0</c:v>
              </c:pt>
              <c:pt idx="2857">
                <c:v>0.5381219387373384</c:v>
              </c:pt>
              <c:pt idx="2858">
                <c:v>0.5381219387373384</c:v>
              </c:pt>
              <c:pt idx="2859">
                <c:v>0</c:v>
              </c:pt>
              <c:pt idx="2860">
                <c:v>0</c:v>
              </c:pt>
              <c:pt idx="2861">
                <c:v>0.5381219387373384</c:v>
              </c:pt>
              <c:pt idx="2862">
                <c:v>0.5381219387373384</c:v>
              </c:pt>
              <c:pt idx="2863">
                <c:v>0</c:v>
              </c:pt>
              <c:pt idx="2864">
                <c:v>0</c:v>
              </c:pt>
              <c:pt idx="2865">
                <c:v>0.5381219387373384</c:v>
              </c:pt>
              <c:pt idx="2866">
                <c:v>0.5381219387373384</c:v>
              </c:pt>
              <c:pt idx="2867">
                <c:v>0</c:v>
              </c:pt>
              <c:pt idx="2868">
                <c:v>0</c:v>
              </c:pt>
              <c:pt idx="2869">
                <c:v>0.5381219387373384</c:v>
              </c:pt>
              <c:pt idx="2870">
                <c:v>0.5381219387373384</c:v>
              </c:pt>
              <c:pt idx="2871">
                <c:v>0</c:v>
              </c:pt>
              <c:pt idx="2872">
                <c:v>0</c:v>
              </c:pt>
              <c:pt idx="2873">
                <c:v>0.5381219387373384</c:v>
              </c:pt>
              <c:pt idx="2874">
                <c:v>0.5381219387373384</c:v>
              </c:pt>
              <c:pt idx="2875">
                <c:v>0</c:v>
              </c:pt>
              <c:pt idx="2876">
                <c:v>0</c:v>
              </c:pt>
              <c:pt idx="2877">
                <c:v>0.5381219387373384</c:v>
              </c:pt>
              <c:pt idx="2878">
                <c:v>0.5381219387373384</c:v>
              </c:pt>
              <c:pt idx="2879">
                <c:v>0</c:v>
              </c:pt>
              <c:pt idx="2880">
                <c:v>0</c:v>
              </c:pt>
              <c:pt idx="2881">
                <c:v>0.5381219387373384</c:v>
              </c:pt>
              <c:pt idx="2882">
                <c:v>0.5381219387373384</c:v>
              </c:pt>
              <c:pt idx="2883">
                <c:v>0</c:v>
              </c:pt>
              <c:pt idx="2884">
                <c:v>0</c:v>
              </c:pt>
              <c:pt idx="2885">
                <c:v>0.5381219387373384</c:v>
              </c:pt>
              <c:pt idx="2886">
                <c:v>0.5381219387373384</c:v>
              </c:pt>
              <c:pt idx="2887">
                <c:v>0</c:v>
              </c:pt>
              <c:pt idx="2888">
                <c:v>0</c:v>
              </c:pt>
              <c:pt idx="2889">
                <c:v>0.5381219387373384</c:v>
              </c:pt>
              <c:pt idx="2890">
                <c:v>0.5381219387373384</c:v>
              </c:pt>
              <c:pt idx="2891">
                <c:v>0</c:v>
              </c:pt>
              <c:pt idx="2892">
                <c:v>0</c:v>
              </c:pt>
              <c:pt idx="2893">
                <c:v>0.5381219387373384</c:v>
              </c:pt>
              <c:pt idx="2894">
                <c:v>0.5381219387373384</c:v>
              </c:pt>
              <c:pt idx="2895">
                <c:v>0</c:v>
              </c:pt>
              <c:pt idx="2896">
                <c:v>0</c:v>
              </c:pt>
              <c:pt idx="2897">
                <c:v>0.5381219387373384</c:v>
              </c:pt>
              <c:pt idx="2898">
                <c:v>0.5381219387373384</c:v>
              </c:pt>
              <c:pt idx="2899">
                <c:v>0</c:v>
              </c:pt>
              <c:pt idx="2900">
                <c:v>0</c:v>
              </c:pt>
              <c:pt idx="2901">
                <c:v>0.5381219387373384</c:v>
              </c:pt>
              <c:pt idx="2902">
                <c:v>0.5381219387373384</c:v>
              </c:pt>
              <c:pt idx="2903">
                <c:v>0</c:v>
              </c:pt>
              <c:pt idx="2904">
                <c:v>0</c:v>
              </c:pt>
              <c:pt idx="2905">
                <c:v>0.5381219387373384</c:v>
              </c:pt>
              <c:pt idx="2906">
                <c:v>0.5381219387373384</c:v>
              </c:pt>
              <c:pt idx="2907">
                <c:v>0</c:v>
              </c:pt>
              <c:pt idx="2908">
                <c:v>0</c:v>
              </c:pt>
              <c:pt idx="2909">
                <c:v>0.5381219387373384</c:v>
              </c:pt>
              <c:pt idx="2910">
                <c:v>0.5381219387373384</c:v>
              </c:pt>
              <c:pt idx="2911">
                <c:v>0</c:v>
              </c:pt>
              <c:pt idx="2912">
                <c:v>0</c:v>
              </c:pt>
              <c:pt idx="2913">
                <c:v>0.5381219387373384</c:v>
              </c:pt>
              <c:pt idx="2914">
                <c:v>0.5381219387373384</c:v>
              </c:pt>
              <c:pt idx="2915">
                <c:v>0</c:v>
              </c:pt>
              <c:pt idx="2916">
                <c:v>0</c:v>
              </c:pt>
              <c:pt idx="2917">
                <c:v>0.5381219387373384</c:v>
              </c:pt>
              <c:pt idx="2918">
                <c:v>0.5381219387373384</c:v>
              </c:pt>
              <c:pt idx="2919">
                <c:v>0</c:v>
              </c:pt>
              <c:pt idx="2920">
                <c:v>0</c:v>
              </c:pt>
              <c:pt idx="2921">
                <c:v>0.5381219387373384</c:v>
              </c:pt>
              <c:pt idx="2922">
                <c:v>0.5381219387373384</c:v>
              </c:pt>
              <c:pt idx="2923">
                <c:v>0</c:v>
              </c:pt>
              <c:pt idx="2924">
                <c:v>0</c:v>
              </c:pt>
              <c:pt idx="2925">
                <c:v>0.5381219387373384</c:v>
              </c:pt>
              <c:pt idx="2926">
                <c:v>0.5381219387373384</c:v>
              </c:pt>
              <c:pt idx="2927">
                <c:v>0</c:v>
              </c:pt>
              <c:pt idx="2928">
                <c:v>0</c:v>
              </c:pt>
              <c:pt idx="2929">
                <c:v>0.5381219387373384</c:v>
              </c:pt>
              <c:pt idx="2930">
                <c:v>0.5381219387373384</c:v>
              </c:pt>
              <c:pt idx="2931">
                <c:v>0</c:v>
              </c:pt>
              <c:pt idx="2932">
                <c:v>0</c:v>
              </c:pt>
              <c:pt idx="2933">
                <c:v>0.5381219387373384</c:v>
              </c:pt>
              <c:pt idx="2934">
                <c:v>0.5381219387373384</c:v>
              </c:pt>
              <c:pt idx="2935">
                <c:v>0</c:v>
              </c:pt>
              <c:pt idx="2936">
                <c:v>0</c:v>
              </c:pt>
              <c:pt idx="2937">
                <c:v>0.5381219387373384</c:v>
              </c:pt>
              <c:pt idx="2938">
                <c:v>0.5381219387373384</c:v>
              </c:pt>
              <c:pt idx="2939">
                <c:v>0</c:v>
              </c:pt>
              <c:pt idx="2940">
                <c:v>0</c:v>
              </c:pt>
              <c:pt idx="2941">
                <c:v>0.5381219387373384</c:v>
              </c:pt>
              <c:pt idx="2942">
                <c:v>0.5381219387373384</c:v>
              </c:pt>
              <c:pt idx="2943">
                <c:v>0</c:v>
              </c:pt>
              <c:pt idx="2944">
                <c:v>0</c:v>
              </c:pt>
              <c:pt idx="2945">
                <c:v>0.5381219387373384</c:v>
              </c:pt>
              <c:pt idx="2946">
                <c:v>0.5381219387373384</c:v>
              </c:pt>
              <c:pt idx="2947">
                <c:v>0</c:v>
              </c:pt>
              <c:pt idx="2948">
                <c:v>0</c:v>
              </c:pt>
              <c:pt idx="2949">
                <c:v>0.5381219387373384</c:v>
              </c:pt>
              <c:pt idx="2950">
                <c:v>0.5381219387373384</c:v>
              </c:pt>
              <c:pt idx="2951">
                <c:v>0</c:v>
              </c:pt>
              <c:pt idx="2952">
                <c:v>0</c:v>
              </c:pt>
              <c:pt idx="2953">
                <c:v>0.5381219387373384</c:v>
              </c:pt>
              <c:pt idx="2954">
                <c:v>0.5381219387373384</c:v>
              </c:pt>
              <c:pt idx="2955">
                <c:v>0</c:v>
              </c:pt>
              <c:pt idx="2956">
                <c:v>0.5381219387373384</c:v>
              </c:pt>
              <c:pt idx="2957">
                <c:v>0</c:v>
              </c:pt>
              <c:pt idx="2960">
                <c:v>0</c:v>
              </c:pt>
              <c:pt idx="2961">
                <c:v>0.0672652423421673</c:v>
              </c:pt>
              <c:pt idx="2962">
                <c:v>0.0672652423421673</c:v>
              </c:pt>
              <c:pt idx="2963">
                <c:v>0</c:v>
              </c:pt>
              <c:pt idx="2964">
                <c:v>0</c:v>
              </c:pt>
              <c:pt idx="2965">
                <c:v>0.0672652423421673</c:v>
              </c:pt>
              <c:pt idx="2966">
                <c:v>0.0672652423421673</c:v>
              </c:pt>
              <c:pt idx="2967">
                <c:v>0</c:v>
              </c:pt>
              <c:pt idx="2968">
                <c:v>0</c:v>
              </c:pt>
              <c:pt idx="2969">
                <c:v>0.0672652423421673</c:v>
              </c:pt>
              <c:pt idx="2970">
                <c:v>0.0672652423421673</c:v>
              </c:pt>
              <c:pt idx="2971">
                <c:v>0</c:v>
              </c:pt>
              <c:pt idx="2972">
                <c:v>0</c:v>
              </c:pt>
              <c:pt idx="2973">
                <c:v>0.0672652423421673</c:v>
              </c:pt>
              <c:pt idx="2974">
                <c:v>0.0672652423421673</c:v>
              </c:pt>
              <c:pt idx="2975">
                <c:v>0</c:v>
              </c:pt>
              <c:pt idx="2976">
                <c:v>0</c:v>
              </c:pt>
              <c:pt idx="2977">
                <c:v>0.0672652423421673</c:v>
              </c:pt>
              <c:pt idx="2978">
                <c:v>0.0672652423421673</c:v>
              </c:pt>
              <c:pt idx="2979">
                <c:v>0</c:v>
              </c:pt>
              <c:pt idx="2980">
                <c:v>0</c:v>
              </c:pt>
              <c:pt idx="2981">
                <c:v>0.0672652423421673</c:v>
              </c:pt>
              <c:pt idx="2982">
                <c:v>0.0672652423421673</c:v>
              </c:pt>
              <c:pt idx="2983">
                <c:v>0</c:v>
              </c:pt>
              <c:pt idx="2984">
                <c:v>0</c:v>
              </c:pt>
              <c:pt idx="2985">
                <c:v>0.0672652423421673</c:v>
              </c:pt>
              <c:pt idx="2986">
                <c:v>0.0672652423421673</c:v>
              </c:pt>
              <c:pt idx="2987">
                <c:v>0</c:v>
              </c:pt>
              <c:pt idx="2988">
                <c:v>0</c:v>
              </c:pt>
              <c:pt idx="2989">
                <c:v>0.0672652423421673</c:v>
              </c:pt>
              <c:pt idx="2990">
                <c:v>0.0672652423421673</c:v>
              </c:pt>
              <c:pt idx="2991">
                <c:v>0</c:v>
              </c:pt>
              <c:pt idx="2992">
                <c:v>0</c:v>
              </c:pt>
              <c:pt idx="2993">
                <c:v>0.0672652423421673</c:v>
              </c:pt>
              <c:pt idx="2994">
                <c:v>0.0672652423421673</c:v>
              </c:pt>
              <c:pt idx="2995">
                <c:v>0</c:v>
              </c:pt>
              <c:pt idx="2996">
                <c:v>0</c:v>
              </c:pt>
              <c:pt idx="2997">
                <c:v>0.0672652423421673</c:v>
              </c:pt>
              <c:pt idx="2998">
                <c:v>0.0672652423421673</c:v>
              </c:pt>
              <c:pt idx="2999">
                <c:v>0</c:v>
              </c:pt>
              <c:pt idx="3000">
                <c:v>0</c:v>
              </c:pt>
              <c:pt idx="3001">
                <c:v>0.0672652423421673</c:v>
              </c:pt>
              <c:pt idx="3002">
                <c:v>0.0672652423421673</c:v>
              </c:pt>
              <c:pt idx="3003">
                <c:v>0</c:v>
              </c:pt>
              <c:pt idx="3004">
                <c:v>0</c:v>
              </c:pt>
              <c:pt idx="3005">
                <c:v>0.0672652423421673</c:v>
              </c:pt>
              <c:pt idx="3006">
                <c:v>0.0672652423421673</c:v>
              </c:pt>
              <c:pt idx="3007">
                <c:v>0</c:v>
              </c:pt>
              <c:pt idx="3008">
                <c:v>0</c:v>
              </c:pt>
              <c:pt idx="3009">
                <c:v>0.0672652423421673</c:v>
              </c:pt>
              <c:pt idx="3010">
                <c:v>0.0672652423421673</c:v>
              </c:pt>
              <c:pt idx="3011">
                <c:v>0</c:v>
              </c:pt>
              <c:pt idx="3012">
                <c:v>0</c:v>
              </c:pt>
              <c:pt idx="3013">
                <c:v>0.0672652423421673</c:v>
              </c:pt>
              <c:pt idx="3014">
                <c:v>0.0672652423421673</c:v>
              </c:pt>
              <c:pt idx="3015">
                <c:v>0</c:v>
              </c:pt>
              <c:pt idx="3016">
                <c:v>0</c:v>
              </c:pt>
              <c:pt idx="3017">
                <c:v>0.0672652423421673</c:v>
              </c:pt>
              <c:pt idx="3018">
                <c:v>0.0672652423421673</c:v>
              </c:pt>
              <c:pt idx="3019">
                <c:v>0</c:v>
              </c:pt>
              <c:pt idx="3020">
                <c:v>0</c:v>
              </c:pt>
              <c:pt idx="3021">
                <c:v>0.0672652423421673</c:v>
              </c:pt>
              <c:pt idx="3022">
                <c:v>0.0672652423421673</c:v>
              </c:pt>
              <c:pt idx="3023">
                <c:v>0</c:v>
              </c:pt>
              <c:pt idx="3024">
                <c:v>0</c:v>
              </c:pt>
              <c:pt idx="3025">
                <c:v>0.0672652423421673</c:v>
              </c:pt>
              <c:pt idx="3026">
                <c:v>0.0672652423421673</c:v>
              </c:pt>
              <c:pt idx="3027">
                <c:v>0</c:v>
              </c:pt>
              <c:pt idx="3028">
                <c:v>0</c:v>
              </c:pt>
              <c:pt idx="3029">
                <c:v>0.0672652423421673</c:v>
              </c:pt>
              <c:pt idx="3030">
                <c:v>0.0672652423421673</c:v>
              </c:pt>
              <c:pt idx="3031">
                <c:v>0</c:v>
              </c:pt>
              <c:pt idx="3032">
                <c:v>0</c:v>
              </c:pt>
              <c:pt idx="3033">
                <c:v>0.0672652423421673</c:v>
              </c:pt>
              <c:pt idx="3034">
                <c:v>0.0672652423421673</c:v>
              </c:pt>
              <c:pt idx="3035">
                <c:v>0</c:v>
              </c:pt>
              <c:pt idx="3036">
                <c:v>0</c:v>
              </c:pt>
              <c:pt idx="3037">
                <c:v>0.0672652423421673</c:v>
              </c:pt>
              <c:pt idx="3038">
                <c:v>0.0672652423421673</c:v>
              </c:pt>
              <c:pt idx="3039">
                <c:v>0</c:v>
              </c:pt>
              <c:pt idx="3040">
                <c:v>0</c:v>
              </c:pt>
              <c:pt idx="3041">
                <c:v>0.0672652423421673</c:v>
              </c:pt>
              <c:pt idx="3042">
                <c:v>0.0672652423421673</c:v>
              </c:pt>
              <c:pt idx="3043">
                <c:v>0</c:v>
              </c:pt>
              <c:pt idx="3044">
                <c:v>0</c:v>
              </c:pt>
              <c:pt idx="3045">
                <c:v>0.0672652423421673</c:v>
              </c:pt>
              <c:pt idx="3046">
                <c:v>0.0672652423421673</c:v>
              </c:pt>
              <c:pt idx="3047">
                <c:v>0</c:v>
              </c:pt>
              <c:pt idx="3048">
                <c:v>0</c:v>
              </c:pt>
              <c:pt idx="3049">
                <c:v>0.0672652423421673</c:v>
              </c:pt>
              <c:pt idx="3050">
                <c:v>0.0672652423421673</c:v>
              </c:pt>
              <c:pt idx="3051">
                <c:v>0</c:v>
              </c:pt>
              <c:pt idx="3052">
                <c:v>0</c:v>
              </c:pt>
              <c:pt idx="3053">
                <c:v>0.0672652423421673</c:v>
              </c:pt>
              <c:pt idx="3054">
                <c:v>0.0672652423421673</c:v>
              </c:pt>
              <c:pt idx="3055">
                <c:v>0</c:v>
              </c:pt>
              <c:pt idx="3056">
                <c:v>0</c:v>
              </c:pt>
              <c:pt idx="3057">
                <c:v>0.0672652423421673</c:v>
              </c:pt>
              <c:pt idx="3058">
                <c:v>0.0672652423421673</c:v>
              </c:pt>
              <c:pt idx="3059">
                <c:v>0</c:v>
              </c:pt>
              <c:pt idx="3060">
                <c:v>0</c:v>
              </c:pt>
              <c:pt idx="3061">
                <c:v>0.0672652423421673</c:v>
              </c:pt>
              <c:pt idx="3062">
                <c:v>0.0672652423421673</c:v>
              </c:pt>
              <c:pt idx="3063">
                <c:v>0</c:v>
              </c:pt>
              <c:pt idx="3064">
                <c:v>0</c:v>
              </c:pt>
              <c:pt idx="3065">
                <c:v>0.0672652423421673</c:v>
              </c:pt>
              <c:pt idx="3066">
                <c:v>0.0672652423421673</c:v>
              </c:pt>
              <c:pt idx="3067">
                <c:v>0</c:v>
              </c:pt>
              <c:pt idx="3068">
                <c:v>0</c:v>
              </c:pt>
              <c:pt idx="3069">
                <c:v>0.0672652423421673</c:v>
              </c:pt>
              <c:pt idx="3070">
                <c:v>0.0672652423421673</c:v>
              </c:pt>
              <c:pt idx="3071">
                <c:v>0</c:v>
              </c:pt>
              <c:pt idx="3072">
                <c:v>0</c:v>
              </c:pt>
              <c:pt idx="3073">
                <c:v>0.0672652423421673</c:v>
              </c:pt>
              <c:pt idx="3074">
                <c:v>0.0672652423421673</c:v>
              </c:pt>
              <c:pt idx="3075">
                <c:v>0</c:v>
              </c:pt>
              <c:pt idx="3076">
                <c:v>0</c:v>
              </c:pt>
              <c:pt idx="3077">
                <c:v>0.0672652423421673</c:v>
              </c:pt>
              <c:pt idx="3078">
                <c:v>0.0672652423421673</c:v>
              </c:pt>
              <c:pt idx="3079">
                <c:v>0</c:v>
              </c:pt>
              <c:pt idx="3080">
                <c:v>0</c:v>
              </c:pt>
              <c:pt idx="3081">
                <c:v>0.0672652423421673</c:v>
              </c:pt>
              <c:pt idx="3082">
                <c:v>0.0672652423421673</c:v>
              </c:pt>
              <c:pt idx="3083">
                <c:v>0</c:v>
              </c:pt>
              <c:pt idx="3084">
                <c:v>0</c:v>
              </c:pt>
              <c:pt idx="3085">
                <c:v>0.0672652423421673</c:v>
              </c:pt>
              <c:pt idx="3086">
                <c:v>0.0672652423421673</c:v>
              </c:pt>
              <c:pt idx="3087">
                <c:v>0</c:v>
              </c:pt>
              <c:pt idx="3088">
                <c:v>0</c:v>
              </c:pt>
              <c:pt idx="3089">
                <c:v>0.0672652423421673</c:v>
              </c:pt>
              <c:pt idx="3090">
                <c:v>0.0672652423421673</c:v>
              </c:pt>
              <c:pt idx="3091">
                <c:v>0</c:v>
              </c:pt>
              <c:pt idx="3092">
                <c:v>0</c:v>
              </c:pt>
              <c:pt idx="3093">
                <c:v>0.0672652423421673</c:v>
              </c:pt>
              <c:pt idx="3094">
                <c:v>0.0672652423421673</c:v>
              </c:pt>
              <c:pt idx="3095">
                <c:v>0</c:v>
              </c:pt>
              <c:pt idx="3096">
                <c:v>0</c:v>
              </c:pt>
              <c:pt idx="3097">
                <c:v>0.0672652423421673</c:v>
              </c:pt>
              <c:pt idx="3098">
                <c:v>0.0672652423421673</c:v>
              </c:pt>
              <c:pt idx="3099">
                <c:v>0</c:v>
              </c:pt>
              <c:pt idx="3100">
                <c:v>0</c:v>
              </c:pt>
              <c:pt idx="3101">
                <c:v>0.0672652423421673</c:v>
              </c:pt>
              <c:pt idx="3102">
                <c:v>0.0672652423421673</c:v>
              </c:pt>
              <c:pt idx="3103">
                <c:v>0</c:v>
              </c:pt>
              <c:pt idx="3104">
                <c:v>0.0672652423421673</c:v>
              </c:pt>
              <c:pt idx="3105">
                <c:v>0</c:v>
              </c:pt>
            </c:numLit>
          </c:y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5"/>
              <c:pt idx="0">
                <c:v>0.07666326314210892</c:v>
              </c:pt>
              <c:pt idx="1">
                <c:v>0.07666326314210892</c:v>
              </c:pt>
              <c:pt idx="2">
                <c:v>0.07666326314210892</c:v>
              </c:pt>
              <c:pt idx="3">
                <c:v>0.08558317451249986</c:v>
              </c:pt>
              <c:pt idx="4">
                <c:v>0.08558317451249986</c:v>
              </c:pt>
              <c:pt idx="5">
                <c:v>0.08558317451249986</c:v>
              </c:pt>
              <c:pt idx="6">
                <c:v>0.09450308588289079</c:v>
              </c:pt>
              <c:pt idx="7">
                <c:v>0.09450308588289079</c:v>
              </c:pt>
              <c:pt idx="8">
                <c:v>0.09450308588289079</c:v>
              </c:pt>
              <c:pt idx="9">
                <c:v>0.10342299725328173</c:v>
              </c:pt>
              <c:pt idx="10">
                <c:v>0.10342299725328173</c:v>
              </c:pt>
              <c:pt idx="11">
                <c:v>0.10342299725328173</c:v>
              </c:pt>
              <c:pt idx="12">
                <c:v>0.11234290862367266</c:v>
              </c:pt>
              <c:pt idx="13">
                <c:v>0.11234290862367266</c:v>
              </c:pt>
              <c:pt idx="14">
                <c:v>0.11234290862367266</c:v>
              </c:pt>
              <c:pt idx="15">
                <c:v>0.1212628199940636</c:v>
              </c:pt>
              <c:pt idx="16">
                <c:v>0.1212628199940636</c:v>
              </c:pt>
              <c:pt idx="17">
                <c:v>0.1212628199940636</c:v>
              </c:pt>
              <c:pt idx="18">
                <c:v>0.13018273136445455</c:v>
              </c:pt>
              <c:pt idx="19">
                <c:v>0.13018273136445455</c:v>
              </c:pt>
              <c:pt idx="20">
                <c:v>0.13018273136445455</c:v>
              </c:pt>
              <c:pt idx="21">
                <c:v>0.1391026427348455</c:v>
              </c:pt>
              <c:pt idx="22">
                <c:v>0.1391026427348455</c:v>
              </c:pt>
              <c:pt idx="23">
                <c:v>0.1391026427348455</c:v>
              </c:pt>
              <c:pt idx="24">
                <c:v>0.1480225541052364</c:v>
              </c:pt>
              <c:pt idx="25">
                <c:v>0.1480225541052364</c:v>
              </c:pt>
              <c:pt idx="26">
                <c:v>0.1480225541052364</c:v>
              </c:pt>
              <c:pt idx="27">
                <c:v>0.15694246547562735</c:v>
              </c:pt>
              <c:pt idx="28">
                <c:v>0.15694246547562735</c:v>
              </c:pt>
              <c:pt idx="29">
                <c:v>0.15694246547562735</c:v>
              </c:pt>
              <c:pt idx="30">
                <c:v>0.1658623768460183</c:v>
              </c:pt>
              <c:pt idx="31">
                <c:v>0.1658623768460183</c:v>
              </c:pt>
              <c:pt idx="32">
                <c:v>0.1658623768460183</c:v>
              </c:pt>
              <c:pt idx="33">
                <c:v>0.17478228821640923</c:v>
              </c:pt>
              <c:pt idx="34">
                <c:v>0.17478228821640923</c:v>
              </c:pt>
              <c:pt idx="35">
                <c:v>0.17478228821640923</c:v>
              </c:pt>
              <c:pt idx="36">
                <c:v>0.18370219958680017</c:v>
              </c:pt>
              <c:pt idx="37">
                <c:v>0.18370219958680017</c:v>
              </c:pt>
              <c:pt idx="38">
                <c:v>0.18370219958680017</c:v>
              </c:pt>
              <c:pt idx="39">
                <c:v>0.19262211095719112</c:v>
              </c:pt>
              <c:pt idx="40">
                <c:v>0.19262211095719112</c:v>
              </c:pt>
              <c:pt idx="41">
                <c:v>0.19262211095719112</c:v>
              </c:pt>
              <c:pt idx="42">
                <c:v>0.20154202232758203</c:v>
              </c:pt>
              <c:pt idx="43">
                <c:v>0.20154202232758203</c:v>
              </c:pt>
              <c:pt idx="44">
                <c:v>0.20154202232758203</c:v>
              </c:pt>
              <c:pt idx="45">
                <c:v>0.21046193369797297</c:v>
              </c:pt>
              <c:pt idx="46">
                <c:v>0.21046193369797297</c:v>
              </c:pt>
              <c:pt idx="47">
                <c:v>0.21046193369797297</c:v>
              </c:pt>
              <c:pt idx="48">
                <c:v>0.21938184506836392</c:v>
              </c:pt>
              <c:pt idx="49">
                <c:v>0.21938184506836392</c:v>
              </c:pt>
              <c:pt idx="50">
                <c:v>0.21938184506836392</c:v>
              </c:pt>
              <c:pt idx="51">
                <c:v>0.22830175643875486</c:v>
              </c:pt>
              <c:pt idx="52">
                <c:v>0.22830175643875486</c:v>
              </c:pt>
              <c:pt idx="53">
                <c:v>0.22830175643875486</c:v>
              </c:pt>
              <c:pt idx="54">
                <c:v>0.2372216678091458</c:v>
              </c:pt>
              <c:pt idx="55">
                <c:v>0.2372216678091458</c:v>
              </c:pt>
              <c:pt idx="56">
                <c:v>0.2372216678091458</c:v>
              </c:pt>
              <c:pt idx="57">
                <c:v>0.24614157917953672</c:v>
              </c:pt>
              <c:pt idx="58">
                <c:v>0.24614157917953672</c:v>
              </c:pt>
              <c:pt idx="59">
                <c:v>0.24614157917953672</c:v>
              </c:pt>
              <c:pt idx="60">
                <c:v>0.25506149054992766</c:v>
              </c:pt>
              <c:pt idx="61">
                <c:v>0.25506149054992766</c:v>
              </c:pt>
              <c:pt idx="62">
                <c:v>0.25506149054992766</c:v>
              </c:pt>
              <c:pt idx="63">
                <c:v>0.2639814019203186</c:v>
              </c:pt>
              <c:pt idx="64">
                <c:v>0.2639814019203186</c:v>
              </c:pt>
            </c:numLit>
          </c:xVal>
          <c:yVal>
            <c:numLit>
              <c:ptCount val="65"/>
              <c:pt idx="0">
                <c:v>0</c:v>
              </c:pt>
              <c:pt idx="1">
                <c:v>0</c:v>
              </c:pt>
              <c:pt idx="2">
                <c:v>0.1345304846843346</c:v>
              </c:pt>
              <c:pt idx="3">
                <c:v>0.1345304846843346</c:v>
              </c:pt>
              <c:pt idx="4">
                <c:v>0</c:v>
              </c:pt>
              <c:pt idx="5">
                <c:v>0.2466392219212801</c:v>
              </c:pt>
              <c:pt idx="6">
                <c:v>0.2466392219212801</c:v>
              </c:pt>
              <c:pt idx="7">
                <c:v>0</c:v>
              </c:pt>
              <c:pt idx="8">
                <c:v>0.1345304846843346</c:v>
              </c:pt>
              <c:pt idx="9">
                <c:v>0.1345304846843346</c:v>
              </c:pt>
              <c:pt idx="10">
                <c:v>0</c:v>
              </c:pt>
              <c:pt idx="11">
                <c:v>0.4035914540530038</c:v>
              </c:pt>
              <c:pt idx="12">
                <c:v>0.4035914540530038</c:v>
              </c:pt>
              <c:pt idx="13">
                <c:v>0</c:v>
              </c:pt>
              <c:pt idx="14">
                <c:v>1.121087372369455</c:v>
              </c:pt>
              <c:pt idx="15">
                <c:v>1.121087372369455</c:v>
              </c:pt>
              <c:pt idx="16">
                <c:v>0</c:v>
              </c:pt>
              <c:pt idx="17">
                <c:v>1.2107743621590115</c:v>
              </c:pt>
              <c:pt idx="18">
                <c:v>1.2107743621590115</c:v>
              </c:pt>
              <c:pt idx="19">
                <c:v>0</c:v>
              </c:pt>
              <c:pt idx="20">
                <c:v>2.3991269768706336</c:v>
              </c:pt>
              <c:pt idx="21">
                <c:v>2.3991269768706336</c:v>
              </c:pt>
              <c:pt idx="22">
                <c:v>0</c:v>
              </c:pt>
              <c:pt idx="23">
                <c:v>4.349819004793486</c:v>
              </c:pt>
              <c:pt idx="24">
                <c:v>4.349819004793486</c:v>
              </c:pt>
              <c:pt idx="25">
                <c:v>0</c:v>
              </c:pt>
              <c:pt idx="26">
                <c:v>6.009028315900279</c:v>
              </c:pt>
              <c:pt idx="27">
                <c:v>6.009028315900279</c:v>
              </c:pt>
              <c:pt idx="28">
                <c:v>0</c:v>
              </c:pt>
              <c:pt idx="29">
                <c:v>8.699638009586971</c:v>
              </c:pt>
              <c:pt idx="30">
                <c:v>8.699638009586971</c:v>
              </c:pt>
              <c:pt idx="31">
                <c:v>0</c:v>
              </c:pt>
              <c:pt idx="32">
                <c:v>11.076343239010214</c:v>
              </c:pt>
              <c:pt idx="33">
                <c:v>11.076343239010214</c:v>
              </c:pt>
              <c:pt idx="34">
                <c:v>0</c:v>
              </c:pt>
              <c:pt idx="35">
                <c:v>14.663822830592471</c:v>
              </c:pt>
              <c:pt idx="36">
                <c:v>14.663822830592471</c:v>
              </c:pt>
              <c:pt idx="37">
                <c:v>0</c:v>
              </c:pt>
              <c:pt idx="38">
                <c:v>16.345453889146654</c:v>
              </c:pt>
              <c:pt idx="39">
                <c:v>16.345453889146654</c:v>
              </c:pt>
              <c:pt idx="40">
                <c:v>0</c:v>
              </c:pt>
              <c:pt idx="41">
                <c:v>13.520313710775627</c:v>
              </c:pt>
              <c:pt idx="42">
                <c:v>13.520313710775627</c:v>
              </c:pt>
              <c:pt idx="43">
                <c:v>0</c:v>
              </c:pt>
              <c:pt idx="44">
                <c:v>12.44406983330095</c:v>
              </c:pt>
              <c:pt idx="45">
                <c:v>12.44406983330095</c:v>
              </c:pt>
              <c:pt idx="46">
                <c:v>0</c:v>
              </c:pt>
              <c:pt idx="47">
                <c:v>8.722059757034359</c:v>
              </c:pt>
              <c:pt idx="48">
                <c:v>8.722059757034359</c:v>
              </c:pt>
              <c:pt idx="49">
                <c:v>0</c:v>
              </c:pt>
              <c:pt idx="50">
                <c:v>5.560593366952497</c:v>
              </c:pt>
              <c:pt idx="51">
                <c:v>5.560593366952497</c:v>
              </c:pt>
              <c:pt idx="52">
                <c:v>0</c:v>
              </c:pt>
              <c:pt idx="53">
                <c:v>3.0942011477396956</c:v>
              </c:pt>
              <c:pt idx="54">
                <c:v>3.0942011477396956</c:v>
              </c:pt>
              <c:pt idx="55">
                <c:v>0</c:v>
              </c:pt>
              <c:pt idx="56">
                <c:v>1.367726594290735</c:v>
              </c:pt>
              <c:pt idx="57">
                <c:v>1.367726594290735</c:v>
              </c:pt>
              <c:pt idx="58">
                <c:v>0</c:v>
              </c:pt>
              <c:pt idx="59">
                <c:v>0.5381219387373384</c:v>
              </c:pt>
              <c:pt idx="60">
                <c:v>0.5381219387373384</c:v>
              </c:pt>
              <c:pt idx="61">
                <c:v>0</c:v>
              </c:pt>
              <c:pt idx="62">
                <c:v>0.0672652423421673</c:v>
              </c:pt>
              <c:pt idx="63">
                <c:v>0.0672652423421673</c:v>
              </c:pt>
              <c:pt idx="64">
                <c:v>0</c:v>
              </c:pt>
            </c:numLit>
          </c:yVal>
          <c:smooth val="0"/>
        </c:ser>
        <c:ser>
          <c:idx val="4"/>
          <c:order val="4"/>
          <c:tx>
            <c:v>meanLabel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0.18539200723171234</c:v>
              </c:pt>
            </c:numLit>
          </c:xVal>
          <c:yVal>
            <c:numLit>
              <c:ptCount val="1"/>
              <c:pt idx="0">
                <c:v>0</c:v>
              </c:pt>
            </c:numLit>
          </c:yVal>
          <c:smooth val="0"/>
        </c:ser>
        <c:ser>
          <c:idx val="5"/>
          <c:order val="5"/>
          <c:tx>
            <c:v>xDelimiter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900" b="0" i="0" u="none" baseline="0">
                        <a:latin typeface="Arial"/>
                        <a:ea typeface="Arial"/>
                        <a:cs typeface="Arial"/>
                      </a:rPr>
                      <a:t>X &lt;=0.15
10%</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latin typeface="Arial"/>
                        <a:ea typeface="Arial"/>
                        <a:cs typeface="Arial"/>
                      </a:rPr>
                      <a:t>X &lt;=0.23
95%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Percent val="0"/>
          </c:dLbls>
          <c:errBars>
            <c:errDir val="y"/>
            <c:errBarType val="plus"/>
            <c:errValType val="fixedVal"/>
            <c:val val="18"/>
            <c:noEndCap val="0"/>
            <c:spPr>
              <a:ln w="25400">
                <a:solidFill>
                  <a:srgbClr val="C0C0C0"/>
                </a:solidFill>
              </a:ln>
            </c:spPr>
          </c:errBars>
          <c:xVal>
            <c:strLit>
              <c:ptCount val="3"/>
              <c:pt idx="0">
                <c:v>0.14982520043849945</c:v>
              </c:pt>
              <c:pt idx="1">
                <c:v>0.22684919834136963</c:v>
              </c:pt>
            </c:strLit>
          </c:xVal>
          <c:yVal>
            <c:numLit>
              <c:ptCount val="3"/>
              <c:pt idx="0">
                <c:v>0</c:v>
              </c:pt>
              <c:pt idx="1">
                <c:v>0</c:v>
              </c:pt>
            </c:numLit>
          </c:yVal>
          <c:smooth val="0"/>
        </c:ser>
        <c:axId val="7377920"/>
        <c:axId val="66401281"/>
      </c:scatterChart>
      <c:valAx>
        <c:axId val="7377920"/>
        <c:scaling>
          <c:orientation val="minMax"/>
          <c:max val="0.28"/>
          <c:min val="0.06"/>
        </c:scaling>
        <c:axPos val="b"/>
        <c:title>
          <c:tx>
            <c:rich>
              <a:bodyPr vert="horz" rot="0" anchor="ctr"/>
              <a:lstStyle/>
              <a:p>
                <a:pPr algn="ctr">
                  <a:defRPr/>
                </a:pPr>
                <a:r>
                  <a:rPr lang="en-US" cap="none" sz="1000" b="1" i="0" u="none" baseline="0">
                    <a:latin typeface="Arial"/>
                    <a:ea typeface="Arial"/>
                    <a:cs typeface="Arial"/>
                  </a:rPr>
                  <a:t>Estimated ERR</a:t>
                </a:r>
              </a:p>
            </c:rich>
          </c:tx>
          <c:layout/>
          <c:overlay val="0"/>
          <c:spPr>
            <a:noFill/>
            <a:ln>
              <a:noFill/>
            </a:ln>
          </c:spPr>
        </c:title>
        <c:delete val="0"/>
        <c:numFmt formatCode="0.0%" sourceLinked="0"/>
        <c:majorTickMark val="cross"/>
        <c:minorTickMark val="none"/>
        <c:tickLblPos val="nextTo"/>
        <c:txPr>
          <a:bodyPr vert="horz" rot="0"/>
          <a:lstStyle/>
          <a:p>
            <a:pPr>
              <a:defRPr lang="en-US" cap="none" sz="1000" b="0" i="0" u="none" baseline="0">
                <a:latin typeface="Arial"/>
                <a:ea typeface="Arial"/>
                <a:cs typeface="Arial"/>
              </a:defRPr>
            </a:pPr>
          </a:p>
        </c:txPr>
        <c:crossAx val="66401281"/>
        <c:crossesAt val="0"/>
        <c:crossBetween val="midCat"/>
        <c:dispUnits/>
        <c:majorUnit val="0.05500000000000001"/>
      </c:valAx>
      <c:valAx>
        <c:axId val="66401281"/>
        <c:scaling>
          <c:orientation val="minMax"/>
          <c:max val="18"/>
          <c:min val="0"/>
        </c:scaling>
        <c:axPos val="l"/>
        <c:title>
          <c:tx>
            <c:rich>
              <a:bodyPr vert="horz" rot="-5400000" anchor="ctr"/>
              <a:lstStyle/>
              <a:p>
                <a:pPr algn="ctr">
                  <a:defRPr/>
                </a:pPr>
                <a:r>
                  <a:rPr lang="en-US" cap="none" sz="1000" b="1" i="0" u="none" baseline="0">
                    <a:latin typeface="Arial"/>
                    <a:ea typeface="Arial"/>
                    <a:cs typeface="Arial"/>
                  </a:rPr>
                  <a:t> </a:t>
                </a:r>
              </a:p>
            </c:rich>
          </c:tx>
          <c:layout/>
          <c:overlay val="0"/>
          <c:spPr>
            <a:noFill/>
            <a:ln>
              <a:noFill/>
            </a:ln>
          </c:spPr>
        </c:title>
        <c:delete val="0"/>
        <c:numFmt formatCode="General" sourceLinked="0"/>
        <c:majorTickMark val="cross"/>
        <c:minorTickMark val="none"/>
        <c:tickLblPos val="nextTo"/>
        <c:txPr>
          <a:bodyPr vert="horz" rot="0"/>
          <a:lstStyle/>
          <a:p>
            <a:pPr>
              <a:defRPr lang="en-US" cap="none" sz="1000" b="0" i="0" u="none" baseline="0">
                <a:latin typeface="Arial"/>
                <a:ea typeface="Arial"/>
                <a:cs typeface="Arial"/>
              </a:defRPr>
            </a:pPr>
          </a:p>
        </c:txPr>
        <c:crossAx val="7377920"/>
        <c:crossesAt val="0.06"/>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Median Monthly Salary by School</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Ulaangom College</c:v>
              </c:pt>
              <c:pt idx="1">
                <c:v>Uvurkhangai's VTC</c:v>
              </c:pt>
              <c:pt idx="2">
                <c:v>Dornod's VTPC</c:v>
              </c:pt>
              <c:pt idx="3">
                <c:v>Darkhan-Urguu College</c:v>
              </c:pt>
              <c:pt idx="4">
                <c:v>Nalaikh's VTPC</c:v>
              </c:pt>
              <c:pt idx="5">
                <c:v>Construction college</c:v>
              </c:pt>
              <c:pt idx="6">
                <c:v>Food technology college</c:v>
              </c:pt>
              <c:pt idx="7">
                <c:v>Dornogovi VTC</c:v>
              </c:pt>
              <c:pt idx="8">
                <c:v>Radjiv Gandi Art college</c:v>
              </c:pt>
              <c:pt idx="9">
                <c:v>Mongolian-Korean college</c:v>
              </c:pt>
              <c:pt idx="10">
                <c:v>ALL SCHOOLS</c:v>
              </c:pt>
            </c:strLit>
          </c:cat>
          <c:val>
            <c:numLit>
              <c:ptCount val="11"/>
              <c:pt idx="0">
                <c:v>74000</c:v>
              </c:pt>
              <c:pt idx="1">
                <c:v>176250</c:v>
              </c:pt>
              <c:pt idx="2">
                <c:v>72500</c:v>
              </c:pt>
              <c:pt idx="3">
                <c:v>167500</c:v>
              </c:pt>
              <c:pt idx="4">
                <c:v>120000</c:v>
              </c:pt>
              <c:pt idx="5">
                <c:v>210000</c:v>
              </c:pt>
              <c:pt idx="6">
                <c:v>130000</c:v>
              </c:pt>
              <c:pt idx="7">
                <c:v>125000</c:v>
              </c:pt>
              <c:pt idx="8">
                <c:v>110000</c:v>
              </c:pt>
              <c:pt idx="9">
                <c:v>190000</c:v>
              </c:pt>
              <c:pt idx="10">
                <c:v>120000</c:v>
              </c:pt>
            </c:numLit>
          </c:val>
        </c:ser>
        <c:axId val="60740618"/>
        <c:axId val="9794651"/>
      </c:barChart>
      <c:catAx>
        <c:axId val="60740618"/>
        <c:scaling>
          <c:orientation val="minMax"/>
        </c:scaling>
        <c:axPos val="b"/>
        <c:title>
          <c:tx>
            <c:rich>
              <a:bodyPr vert="horz" rot="0" anchor="ctr"/>
              <a:lstStyle/>
              <a:p>
                <a:pPr algn="ctr">
                  <a:defRPr/>
                </a:pPr>
                <a:r>
                  <a:rPr lang="en-US" cap="none" sz="1000" b="1" i="0" u="none" baseline="0">
                    <a:latin typeface="Arial"/>
                    <a:ea typeface="Arial"/>
                    <a:cs typeface="Arial"/>
                  </a:rPr>
                  <a:t>School</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794651"/>
        <c:crosses val="autoZero"/>
        <c:auto val="1"/>
        <c:lblOffset val="100"/>
        <c:tickLblSkip val="1"/>
        <c:noMultiLvlLbl val="0"/>
      </c:catAx>
      <c:valAx>
        <c:axId val="9794651"/>
        <c:scaling>
          <c:orientation val="minMax"/>
        </c:scaling>
        <c:axPos val="l"/>
        <c:title>
          <c:tx>
            <c:rich>
              <a:bodyPr vert="horz" rot="-5400000" anchor="ctr"/>
              <a:lstStyle/>
              <a:p>
                <a:pPr algn="ctr">
                  <a:defRPr/>
                </a:pPr>
                <a:r>
                  <a:rPr lang="en-US" cap="none" sz="1000" b="1" i="0" u="none" baseline="0">
                    <a:latin typeface="Arial"/>
                    <a:ea typeface="Arial"/>
                    <a:cs typeface="Arial"/>
                  </a:rPr>
                  <a:t>Tugriks</a:t>
                </a:r>
              </a:p>
            </c:rich>
          </c:tx>
          <c:layout/>
          <c:overlay val="0"/>
          <c:spPr>
            <a:noFill/>
            <a:ln>
              <a:noFill/>
            </a:ln>
          </c:spPr>
        </c:title>
        <c:majorGridlines/>
        <c:delete val="0"/>
        <c:numFmt formatCode="General" sourceLinked="1"/>
        <c:majorTickMark val="out"/>
        <c:minorTickMark val="none"/>
        <c:tickLblPos val="nextTo"/>
        <c:crossAx val="607406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Median Monthly Salary by Year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2006</c:v>
              </c:pt>
              <c:pt idx="1">
                <c:v>2005</c:v>
              </c:pt>
              <c:pt idx="2">
                <c:v>2004</c:v>
              </c:pt>
              <c:pt idx="3">
                <c:v>2003</c:v>
              </c:pt>
              <c:pt idx="4">
                <c:v>2002</c:v>
              </c:pt>
              <c:pt idx="5">
                <c:v>2001</c:v>
              </c:pt>
              <c:pt idx="6">
                <c:v>2000</c:v>
              </c:pt>
              <c:pt idx="7">
                <c:v>1999</c:v>
              </c:pt>
              <c:pt idx="8">
                <c:v>1998</c:v>
              </c:pt>
              <c:pt idx="9">
                <c:v>1997</c:v>
              </c:pt>
              <c:pt idx="10">
                <c:v>Before 97</c:v>
              </c:pt>
            </c:strLit>
          </c:cat>
          <c:val>
            <c:numLit>
              <c:ptCount val="11"/>
              <c:pt idx="0">
                <c:v>105000</c:v>
              </c:pt>
              <c:pt idx="1">
                <c:v>92500</c:v>
              </c:pt>
              <c:pt idx="2">
                <c:v>121000</c:v>
              </c:pt>
              <c:pt idx="3">
                <c:v>85000</c:v>
              </c:pt>
              <c:pt idx="4">
                <c:v>140000</c:v>
              </c:pt>
              <c:pt idx="5">
                <c:v>200000</c:v>
              </c:pt>
              <c:pt idx="6">
                <c:v>120000</c:v>
              </c:pt>
              <c:pt idx="7">
                <c:v>0</c:v>
              </c:pt>
              <c:pt idx="8">
                <c:v>200000</c:v>
              </c:pt>
              <c:pt idx="9">
                <c:v>0</c:v>
              </c:pt>
              <c:pt idx="10">
                <c:v>170000</c:v>
              </c:pt>
            </c:numLit>
          </c:val>
        </c:ser>
        <c:axId val="21042996"/>
        <c:axId val="55169237"/>
      </c:barChart>
      <c:catAx>
        <c:axId val="2104299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169237"/>
        <c:crosses val="autoZero"/>
        <c:auto val="1"/>
        <c:lblOffset val="100"/>
        <c:tickLblSkip val="1"/>
        <c:noMultiLvlLbl val="0"/>
      </c:catAx>
      <c:valAx>
        <c:axId val="55169237"/>
        <c:scaling>
          <c:orientation val="minMax"/>
        </c:scaling>
        <c:axPos val="l"/>
        <c:title>
          <c:tx>
            <c:rich>
              <a:bodyPr vert="horz" rot="-5400000" anchor="ctr"/>
              <a:lstStyle/>
              <a:p>
                <a:pPr algn="ctr">
                  <a:defRPr/>
                </a:pPr>
                <a:r>
                  <a:rPr lang="en-US" cap="none" sz="1000" b="1" i="0" u="none" baseline="0">
                    <a:latin typeface="Arial"/>
                    <a:ea typeface="Arial"/>
                    <a:cs typeface="Arial"/>
                  </a:rPr>
                  <a:t>Tugriks</a:t>
                </a:r>
              </a:p>
            </c:rich>
          </c:tx>
          <c:layout/>
          <c:overlay val="0"/>
          <c:spPr>
            <a:noFill/>
            <a:ln>
              <a:noFill/>
            </a:ln>
          </c:spPr>
        </c:title>
        <c:majorGridlines/>
        <c:delete val="0"/>
        <c:numFmt formatCode="General" sourceLinked="1"/>
        <c:majorTickMark val="out"/>
        <c:minorTickMark val="none"/>
        <c:tickLblPos val="nextTo"/>
        <c:crossAx val="2104299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Monthly Salary by School, Controlling for Years of Experience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Ulaangom College</c:v>
              </c:pt>
              <c:pt idx="1">
                <c:v>Dornod's VTPC</c:v>
              </c:pt>
              <c:pt idx="2">
                <c:v>Darkhan-Urguu College</c:v>
              </c:pt>
              <c:pt idx="3">
                <c:v>Nalaikh's VTPC</c:v>
              </c:pt>
              <c:pt idx="4">
                <c:v>Construction college</c:v>
              </c:pt>
              <c:pt idx="5">
                <c:v>Food technology college</c:v>
              </c:pt>
              <c:pt idx="6">
                <c:v>Dornogovi VTC</c:v>
              </c:pt>
              <c:pt idx="7">
                <c:v>Radjiv Gandi Art college</c:v>
              </c:pt>
              <c:pt idx="8">
                <c:v>Mongolian-Korean college</c:v>
              </c:pt>
            </c:strLit>
          </c:cat>
          <c:val>
            <c:numLit>
              <c:ptCount val="9"/>
              <c:pt idx="0">
                <c:v>69048.1631304471</c:v>
              </c:pt>
              <c:pt idx="1">
                <c:v>72529.28989855689</c:v>
              </c:pt>
              <c:pt idx="2">
                <c:v>104843.12044577798</c:v>
              </c:pt>
              <c:pt idx="3">
                <c:v>135307.06767633482</c:v>
              </c:pt>
              <c:pt idx="4">
                <c:v>221169.69090822502</c:v>
              </c:pt>
              <c:pt idx="5">
                <c:v>138715.28075439326</c:v>
              </c:pt>
              <c:pt idx="6">
                <c:v>118360.49792827544</c:v>
              </c:pt>
              <c:pt idx="7">
                <c:v>108015.10550139376</c:v>
              </c:pt>
              <c:pt idx="8">
                <c:v>206934.5263609088</c:v>
              </c:pt>
            </c:numLit>
          </c:val>
        </c:ser>
        <c:axId val="26761086"/>
        <c:axId val="39523183"/>
      </c:barChart>
      <c:catAx>
        <c:axId val="2676108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523183"/>
        <c:crosses val="autoZero"/>
        <c:auto val="1"/>
        <c:lblOffset val="100"/>
        <c:tickLblSkip val="1"/>
        <c:noMultiLvlLbl val="0"/>
      </c:catAx>
      <c:valAx>
        <c:axId val="39523183"/>
        <c:scaling>
          <c:orientation val="minMax"/>
        </c:scaling>
        <c:axPos val="l"/>
        <c:title>
          <c:tx>
            <c:rich>
              <a:bodyPr vert="horz" rot="-5400000" anchor="ctr"/>
              <a:lstStyle/>
              <a:p>
                <a:pPr algn="ctr">
                  <a:defRPr/>
                </a:pPr>
                <a:r>
                  <a:rPr lang="en-US" cap="none" sz="1000" b="1" i="0" u="none" baseline="0">
                    <a:latin typeface="Arial"/>
                    <a:ea typeface="Arial"/>
                    <a:cs typeface="Arial"/>
                  </a:rPr>
                  <a:t>Tugriks</a:t>
                </a:r>
              </a:p>
            </c:rich>
          </c:tx>
          <c:layout/>
          <c:overlay val="0"/>
          <c:spPr>
            <a:noFill/>
            <a:ln>
              <a:noFill/>
            </a:ln>
          </c:spPr>
        </c:title>
        <c:majorGridlines/>
        <c:delete val="0"/>
        <c:numFmt formatCode="General" sourceLinked="1"/>
        <c:majorTickMark val="out"/>
        <c:minorTickMark val="none"/>
        <c:tickLblPos val="nextTo"/>
        <c:crossAx val="2676108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Expected monthly salary by years of experience</a:t>
            </a:r>
          </a:p>
        </c:rich>
      </c:tx>
      <c:layout/>
      <c:spPr>
        <a:noFill/>
        <a:ln>
          <a:noFill/>
        </a:ln>
      </c:spPr>
    </c:title>
    <c:plotArea>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cat>
            <c:numRef>
              <c:f>Salaries!$AU$54:$BE$54</c:f>
              <c:numCache>
                <c:ptCount val="11"/>
                <c:pt idx="0">
                  <c:v>0</c:v>
                </c:pt>
                <c:pt idx="1">
                  <c:v>1</c:v>
                </c:pt>
                <c:pt idx="2">
                  <c:v>2</c:v>
                </c:pt>
                <c:pt idx="3">
                  <c:v>3</c:v>
                </c:pt>
                <c:pt idx="4">
                  <c:v>4</c:v>
                </c:pt>
                <c:pt idx="5">
                  <c:v>5</c:v>
                </c:pt>
                <c:pt idx="6">
                  <c:v>6</c:v>
                </c:pt>
                <c:pt idx="7">
                  <c:v>7</c:v>
                </c:pt>
                <c:pt idx="8">
                  <c:v>8</c:v>
                </c:pt>
                <c:pt idx="9">
                  <c:v>9</c:v>
                </c:pt>
                <c:pt idx="10">
                  <c:v>10</c:v>
                </c:pt>
              </c:numCache>
            </c:numRef>
          </c:cat>
          <c:val>
            <c:numRef>
              <c:f>Salaries!$AU$56:$BE$56</c:f>
              <c:numCache>
                <c:ptCount val="11"/>
                <c:pt idx="0">
                  <c:v>118765.91354585781</c:v>
                </c:pt>
                <c:pt idx="1">
                  <c:v>122613.22603940986</c:v>
                </c:pt>
                <c:pt idx="2">
                  <c:v>126460.53853296192</c:v>
                </c:pt>
                <c:pt idx="3">
                  <c:v>130307.85102651396</c:v>
                </c:pt>
                <c:pt idx="4">
                  <c:v>134155.163520066</c:v>
                </c:pt>
                <c:pt idx="5">
                  <c:v>138002.47601361806</c:v>
                </c:pt>
                <c:pt idx="6">
                  <c:v>141849.78850717013</c:v>
                </c:pt>
                <c:pt idx="7">
                  <c:v>145697.10100072218</c:v>
                </c:pt>
                <c:pt idx="8">
                  <c:v>149544.41349427422</c:v>
                </c:pt>
                <c:pt idx="9">
                  <c:v>153391.72598782627</c:v>
                </c:pt>
                <c:pt idx="10">
                  <c:v>157239.03848137835</c:v>
                </c:pt>
              </c:numCache>
            </c:numRef>
          </c:val>
          <c:smooth val="0"/>
        </c:ser>
        <c:marker val="1"/>
        <c:axId val="20164328"/>
        <c:axId val="47261225"/>
      </c:lineChart>
      <c:catAx>
        <c:axId val="20164328"/>
        <c:scaling>
          <c:orientation val="minMax"/>
        </c:scaling>
        <c:axPos val="b"/>
        <c:title>
          <c:tx>
            <c:rich>
              <a:bodyPr vert="horz" rot="0" anchor="ctr"/>
              <a:lstStyle/>
              <a:p>
                <a:pPr algn="ctr">
                  <a:defRPr/>
                </a:pPr>
                <a:r>
                  <a:rPr lang="en-US" cap="none" sz="1050" b="1" i="0" u="none" baseline="0">
                    <a:latin typeface="Arial"/>
                    <a:ea typeface="Arial"/>
                    <a:cs typeface="Arial"/>
                  </a:rPr>
                  <a:t>Years of experience</a:t>
                </a:r>
              </a:p>
            </c:rich>
          </c:tx>
          <c:layout/>
          <c:overlay val="0"/>
          <c:spPr>
            <a:noFill/>
            <a:ln>
              <a:noFill/>
            </a:ln>
          </c:spPr>
        </c:title>
        <c:delete val="0"/>
        <c:numFmt formatCode="General" sourceLinked="1"/>
        <c:majorTickMark val="out"/>
        <c:minorTickMark val="none"/>
        <c:tickLblPos val="nextTo"/>
        <c:crossAx val="47261225"/>
        <c:crosses val="autoZero"/>
        <c:auto val="1"/>
        <c:lblOffset val="100"/>
        <c:noMultiLvlLbl val="0"/>
      </c:catAx>
      <c:valAx>
        <c:axId val="47261225"/>
        <c:scaling>
          <c:orientation val="minMax"/>
        </c:scaling>
        <c:axPos val="l"/>
        <c:title>
          <c:tx>
            <c:rich>
              <a:bodyPr vert="horz" rot="-5400000" anchor="ctr"/>
              <a:lstStyle/>
              <a:p>
                <a:pPr algn="ctr">
                  <a:defRPr/>
                </a:pPr>
                <a:r>
                  <a:rPr lang="en-US" cap="none" sz="1050" b="1" i="0" u="none" baseline="0">
                    <a:latin typeface="Arial"/>
                    <a:ea typeface="Arial"/>
                    <a:cs typeface="Arial"/>
                  </a:rPr>
                  <a:t>Expected monthly salary (tugrik)</a:t>
                </a:r>
              </a:p>
            </c:rich>
          </c:tx>
          <c:layout/>
          <c:overlay val="0"/>
          <c:spPr>
            <a:noFill/>
            <a:ln>
              <a:noFill/>
            </a:ln>
          </c:spPr>
        </c:title>
        <c:majorGridlines/>
        <c:delete val="0"/>
        <c:numFmt formatCode="General" sourceLinked="1"/>
        <c:majorTickMark val="out"/>
        <c:minorTickMark val="none"/>
        <c:tickLblPos val="nextTo"/>
        <c:crossAx val="201643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38100</xdr:rowOff>
    </xdr:to>
    <xdr:pic>
      <xdr:nvPicPr>
        <xdr:cNvPr id="1" name="Picture 2"/>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25</xdr:row>
      <xdr:rowOff>47625</xdr:rowOff>
    </xdr:from>
    <xdr:to>
      <xdr:col>1</xdr:col>
      <xdr:colOff>2171700</xdr:colOff>
      <xdr:row>26</xdr:row>
      <xdr:rowOff>38100</xdr:rowOff>
    </xdr:to>
    <xdr:pic>
      <xdr:nvPicPr>
        <xdr:cNvPr id="1" name="Picture 4"/>
        <xdr:cNvPicPr preferRelativeResize="1">
          <a:picLocks noChangeAspect="1"/>
        </xdr:cNvPicPr>
      </xdr:nvPicPr>
      <xdr:blipFill>
        <a:blip r:embed="rId1"/>
        <a:stretch>
          <a:fillRect/>
        </a:stretch>
      </xdr:blipFill>
      <xdr:spPr>
        <a:xfrm>
          <a:off x="390525" y="605790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24</xdr:row>
      <xdr:rowOff>142875</xdr:rowOff>
    </xdr:from>
    <xdr:to>
      <xdr:col>5</xdr:col>
      <xdr:colOff>914400</xdr:colOff>
      <xdr:row>44</xdr:row>
      <xdr:rowOff>95250</xdr:rowOff>
    </xdr:to>
    <xdr:graphicFrame>
      <xdr:nvGraphicFramePr>
        <xdr:cNvPr id="1" name="Chart 1"/>
        <xdr:cNvGraphicFramePr/>
      </xdr:nvGraphicFramePr>
      <xdr:xfrm>
        <a:off x="1609725" y="6543675"/>
        <a:ext cx="7534275" cy="3190875"/>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46</xdr:row>
      <xdr:rowOff>57150</xdr:rowOff>
    </xdr:from>
    <xdr:to>
      <xdr:col>5</xdr:col>
      <xdr:colOff>904875</xdr:colOff>
      <xdr:row>69</xdr:row>
      <xdr:rowOff>47625</xdr:rowOff>
    </xdr:to>
    <xdr:graphicFrame>
      <xdr:nvGraphicFramePr>
        <xdr:cNvPr id="2" name="Chart 2"/>
        <xdr:cNvGraphicFramePr/>
      </xdr:nvGraphicFramePr>
      <xdr:xfrm>
        <a:off x="1619250" y="10020300"/>
        <a:ext cx="7515225" cy="37147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942975</xdr:colOff>
      <xdr:row>1</xdr:row>
      <xdr:rowOff>142875</xdr:rowOff>
    </xdr:from>
    <xdr:to>
      <xdr:col>7</xdr:col>
      <xdr:colOff>19050</xdr:colOff>
      <xdr:row>2</xdr:row>
      <xdr:rowOff>38100</xdr:rowOff>
    </xdr:to>
    <xdr:pic>
      <xdr:nvPicPr>
        <xdr:cNvPr id="3" name="Picture 6"/>
        <xdr:cNvPicPr preferRelativeResize="1">
          <a:picLocks noChangeAspect="1"/>
        </xdr:cNvPicPr>
      </xdr:nvPicPr>
      <xdr:blipFill>
        <a:blip r:embed="rId3"/>
        <a:stretch>
          <a:fillRect/>
        </a:stretch>
      </xdr:blipFill>
      <xdr:spPr>
        <a:xfrm>
          <a:off x="8191500" y="304800"/>
          <a:ext cx="216217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18</xdr:row>
      <xdr:rowOff>95250</xdr:rowOff>
    </xdr:from>
    <xdr:to>
      <xdr:col>17</xdr:col>
      <xdr:colOff>400050</xdr:colOff>
      <xdr:row>46</xdr:row>
      <xdr:rowOff>161925</xdr:rowOff>
    </xdr:to>
    <xdr:graphicFrame>
      <xdr:nvGraphicFramePr>
        <xdr:cNvPr id="1" name="Chart 1"/>
        <xdr:cNvGraphicFramePr/>
      </xdr:nvGraphicFramePr>
      <xdr:xfrm>
        <a:off x="5114925" y="4514850"/>
        <a:ext cx="7153275" cy="5429250"/>
      </xdr:xfrm>
      <a:graphic>
        <a:graphicData uri="http://schemas.openxmlformats.org/drawingml/2006/chart">
          <c:chart xmlns:c="http://schemas.openxmlformats.org/drawingml/2006/chart" r:id="rId1"/>
        </a:graphicData>
      </a:graphic>
    </xdr:graphicFrame>
    <xdr:clientData/>
  </xdr:twoCellAnchor>
  <xdr:twoCellAnchor>
    <xdr:from>
      <xdr:col>20</xdr:col>
      <xdr:colOff>142875</xdr:colOff>
      <xdr:row>18</xdr:row>
      <xdr:rowOff>76200</xdr:rowOff>
    </xdr:from>
    <xdr:to>
      <xdr:col>30</xdr:col>
      <xdr:colOff>514350</xdr:colOff>
      <xdr:row>46</xdr:row>
      <xdr:rowOff>76200</xdr:rowOff>
    </xdr:to>
    <xdr:graphicFrame>
      <xdr:nvGraphicFramePr>
        <xdr:cNvPr id="2" name="Chart 2"/>
        <xdr:cNvGraphicFramePr/>
      </xdr:nvGraphicFramePr>
      <xdr:xfrm>
        <a:off x="14039850" y="4495800"/>
        <a:ext cx="7134225" cy="5362575"/>
      </xdr:xfrm>
      <a:graphic>
        <a:graphicData uri="http://schemas.openxmlformats.org/drawingml/2006/chart">
          <c:chart xmlns:c="http://schemas.openxmlformats.org/drawingml/2006/chart" r:id="rId2"/>
        </a:graphicData>
      </a:graphic>
    </xdr:graphicFrame>
    <xdr:clientData/>
  </xdr:twoCellAnchor>
  <xdr:twoCellAnchor>
    <xdr:from>
      <xdr:col>32</xdr:col>
      <xdr:colOff>19050</xdr:colOff>
      <xdr:row>18</xdr:row>
      <xdr:rowOff>66675</xdr:rowOff>
    </xdr:from>
    <xdr:to>
      <xdr:col>42</xdr:col>
      <xdr:colOff>447675</xdr:colOff>
      <xdr:row>39</xdr:row>
      <xdr:rowOff>133350</xdr:rowOff>
    </xdr:to>
    <xdr:graphicFrame>
      <xdr:nvGraphicFramePr>
        <xdr:cNvPr id="3" name="Chart 3"/>
        <xdr:cNvGraphicFramePr/>
      </xdr:nvGraphicFramePr>
      <xdr:xfrm>
        <a:off x="22031325" y="4486275"/>
        <a:ext cx="7191375" cy="3790950"/>
      </xdr:xfrm>
      <a:graphic>
        <a:graphicData uri="http://schemas.openxmlformats.org/drawingml/2006/chart">
          <c:chart xmlns:c="http://schemas.openxmlformats.org/drawingml/2006/chart" r:id="rId3"/>
        </a:graphicData>
      </a:graphic>
    </xdr:graphicFrame>
    <xdr:clientData/>
  </xdr:twoCellAnchor>
  <xdr:twoCellAnchor>
    <xdr:from>
      <xdr:col>46</xdr:col>
      <xdr:colOff>76200</xdr:colOff>
      <xdr:row>17</xdr:row>
      <xdr:rowOff>38100</xdr:rowOff>
    </xdr:from>
    <xdr:to>
      <xdr:col>56</xdr:col>
      <xdr:colOff>590550</xdr:colOff>
      <xdr:row>39</xdr:row>
      <xdr:rowOff>114300</xdr:rowOff>
    </xdr:to>
    <xdr:graphicFrame>
      <xdr:nvGraphicFramePr>
        <xdr:cNvPr id="4" name="Chart 4"/>
        <xdr:cNvGraphicFramePr/>
      </xdr:nvGraphicFramePr>
      <xdr:xfrm>
        <a:off x="31556325" y="4295775"/>
        <a:ext cx="7277100" cy="39624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golia%20Health%20ERR.IM%20Clean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R &amp; Sensitivity analysis"/>
      <sheetName val="Overview of worksheets"/>
      <sheetName val="ERR Summary"/>
      <sheetName val="Data &amp; Assumptions"/>
      <sheetName val="Hypertension"/>
      <sheetName val="Diabetes"/>
      <sheetName val="Cancer"/>
      <sheetName val="Indicators"/>
    </sheetNames>
    <sheetDataSet>
      <sheetData sheetId="4">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5">
        <row r="25">
          <cell r="C25">
            <v>0.2</v>
          </cell>
        </row>
        <row r="26">
          <cell r="C26">
            <v>0.1</v>
          </cell>
        </row>
        <row r="31">
          <cell r="E3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C53"/>
  <sheetViews>
    <sheetView showGridLines="0" zoomScale="90" zoomScaleNormal="90" workbookViewId="0" topLeftCell="A1">
      <selection activeCell="D26" sqref="D26"/>
    </sheetView>
  </sheetViews>
  <sheetFormatPr defaultColWidth="9.140625" defaultRowHeight="12.75"/>
  <cols>
    <col min="1" max="1" width="39.57421875" style="0" customWidth="1"/>
    <col min="2" max="2" width="106.421875" style="0" customWidth="1"/>
  </cols>
  <sheetData>
    <row r="1" spans="2:3" s="386" customFormat="1" ht="11.25">
      <c r="B1" s="434" t="s">
        <v>575</v>
      </c>
      <c r="C1" s="388"/>
    </row>
    <row r="2" ht="20.25" customHeight="1">
      <c r="B2" s="460" t="s">
        <v>523</v>
      </c>
    </row>
    <row r="3" ht="12.75">
      <c r="B3" s="460"/>
    </row>
    <row r="4" ht="12.75">
      <c r="B4" s="460"/>
    </row>
    <row r="5" ht="12.75">
      <c r="B5" s="460"/>
    </row>
    <row r="6" ht="12.75">
      <c r="B6" s="460"/>
    </row>
    <row r="7" ht="13.5" thickBot="1"/>
    <row r="8" spans="1:2" ht="18" customHeight="1" thickBot="1" thickTop="1">
      <c r="A8" s="365" t="s">
        <v>524</v>
      </c>
      <c r="B8" s="437" t="s">
        <v>525</v>
      </c>
    </row>
    <row r="9" spans="1:2" ht="18" customHeight="1" thickTop="1">
      <c r="A9" s="367" t="s">
        <v>537</v>
      </c>
      <c r="B9" s="427" t="s">
        <v>539</v>
      </c>
    </row>
    <row r="10" spans="1:2" ht="18" customHeight="1">
      <c r="A10" s="368" t="s">
        <v>538</v>
      </c>
      <c r="B10" s="428">
        <v>39310</v>
      </c>
    </row>
    <row r="11" spans="1:2" ht="18" customHeight="1">
      <c r="A11" s="366" t="s">
        <v>526</v>
      </c>
      <c r="B11" s="429" t="s">
        <v>527</v>
      </c>
    </row>
    <row r="12" spans="1:2" ht="127.5" customHeight="1">
      <c r="A12" s="368" t="s">
        <v>532</v>
      </c>
      <c r="B12" s="430" t="s">
        <v>555</v>
      </c>
    </row>
    <row r="13" spans="1:2" ht="18" customHeight="1">
      <c r="A13" s="368" t="s">
        <v>530</v>
      </c>
      <c r="B13" s="430" t="s">
        <v>540</v>
      </c>
    </row>
    <row r="14" spans="1:2" ht="18" customHeight="1">
      <c r="A14" s="461" t="s">
        <v>531</v>
      </c>
      <c r="B14" s="431" t="s">
        <v>534</v>
      </c>
    </row>
    <row r="15" spans="1:2" ht="18" customHeight="1">
      <c r="A15" s="462"/>
      <c r="B15" s="432" t="s">
        <v>535</v>
      </c>
    </row>
    <row r="16" spans="1:2" ht="18.75" customHeight="1">
      <c r="A16" s="368" t="s">
        <v>528</v>
      </c>
      <c r="B16" s="430" t="s">
        <v>529</v>
      </c>
    </row>
    <row r="17" spans="1:2" ht="12.75">
      <c r="A17" s="463" t="s">
        <v>574</v>
      </c>
      <c r="B17" s="363"/>
    </row>
    <row r="18" spans="1:2" ht="12.75">
      <c r="A18" s="464"/>
      <c r="B18" s="374" t="s">
        <v>553</v>
      </c>
    </row>
    <row r="19" spans="1:2" ht="12.75">
      <c r="A19" s="464"/>
      <c r="B19" s="363" t="s">
        <v>554</v>
      </c>
    </row>
    <row r="20" spans="1:2" ht="12.75">
      <c r="A20" s="464"/>
      <c r="B20" s="363"/>
    </row>
    <row r="21" spans="1:2" ht="12.75">
      <c r="A21" s="464"/>
      <c r="B21" s="369" t="s">
        <v>533</v>
      </c>
    </row>
    <row r="22" spans="1:2" ht="12.75">
      <c r="A22" s="464"/>
      <c r="B22" s="364" t="s">
        <v>536</v>
      </c>
    </row>
    <row r="23" spans="1:2" ht="12.75">
      <c r="A23" s="464"/>
      <c r="B23" s="364"/>
    </row>
    <row r="24" spans="1:2" ht="12.75">
      <c r="A24" s="464"/>
      <c r="B24" s="370" t="s">
        <v>0</v>
      </c>
    </row>
    <row r="25" spans="1:2" ht="25.5">
      <c r="A25" s="464"/>
      <c r="B25" s="364" t="s">
        <v>1</v>
      </c>
    </row>
    <row r="26" spans="1:2" ht="12.75">
      <c r="A26" s="464"/>
      <c r="B26" s="364"/>
    </row>
    <row r="27" spans="1:2" ht="12.75">
      <c r="A27" s="464"/>
      <c r="B27" s="370" t="s">
        <v>2</v>
      </c>
    </row>
    <row r="28" spans="1:2" ht="38.25" customHeight="1">
      <c r="A28" s="464"/>
      <c r="B28" s="364" t="s">
        <v>3</v>
      </c>
    </row>
    <row r="29" spans="1:2" ht="12.75">
      <c r="A29" s="464"/>
      <c r="B29" s="364"/>
    </row>
    <row r="30" spans="1:2" ht="12.75">
      <c r="A30" s="464"/>
      <c r="B30" s="370" t="s">
        <v>4</v>
      </c>
    </row>
    <row r="31" spans="1:2" ht="25.5">
      <c r="A31" s="464"/>
      <c r="B31" s="364" t="s">
        <v>8</v>
      </c>
    </row>
    <row r="32" spans="1:2" ht="12.75">
      <c r="A32" s="464"/>
      <c r="B32" s="364"/>
    </row>
    <row r="33" spans="1:2" ht="12.75">
      <c r="A33" s="464"/>
      <c r="B33" s="370" t="s">
        <v>276</v>
      </c>
    </row>
    <row r="34" spans="1:2" ht="25.5">
      <c r="A34" s="464"/>
      <c r="B34" s="364" t="s">
        <v>541</v>
      </c>
    </row>
    <row r="35" spans="1:2" ht="12.75">
      <c r="A35" s="464"/>
      <c r="B35" s="364"/>
    </row>
    <row r="36" spans="1:2" ht="12.75">
      <c r="A36" s="464"/>
      <c r="B36" s="370" t="s">
        <v>9</v>
      </c>
    </row>
    <row r="37" spans="1:2" ht="39.75" customHeight="1">
      <c r="A37" s="464"/>
      <c r="B37" s="364" t="s">
        <v>10</v>
      </c>
    </row>
    <row r="38" spans="1:2" ht="12.75">
      <c r="A38" s="464"/>
      <c r="B38" s="364"/>
    </row>
    <row r="39" spans="1:2" ht="12.75">
      <c r="A39" s="464"/>
      <c r="B39" s="370" t="s">
        <v>424</v>
      </c>
    </row>
    <row r="40" spans="1:2" ht="25.5">
      <c r="A40" s="464"/>
      <c r="B40" s="364" t="s">
        <v>12</v>
      </c>
    </row>
    <row r="41" spans="1:2" ht="12.75">
      <c r="A41" s="464"/>
      <c r="B41" s="364"/>
    </row>
    <row r="42" spans="1:2" ht="12.75">
      <c r="A42" s="464"/>
      <c r="B42" s="370" t="s">
        <v>13</v>
      </c>
    </row>
    <row r="43" spans="1:2" ht="25.5">
      <c r="A43" s="464"/>
      <c r="B43" s="364" t="s">
        <v>14</v>
      </c>
    </row>
    <row r="44" spans="1:2" ht="12.75">
      <c r="A44" s="464"/>
      <c r="B44" s="364"/>
    </row>
    <row r="45" spans="1:2" ht="12.75">
      <c r="A45" s="464"/>
      <c r="B45" s="370" t="s">
        <v>69</v>
      </c>
    </row>
    <row r="46" spans="1:2" ht="12.75">
      <c r="A46" s="464"/>
      <c r="B46" s="364" t="s">
        <v>17</v>
      </c>
    </row>
    <row r="47" spans="1:2" ht="12.75">
      <c r="A47" s="464"/>
      <c r="B47" s="364"/>
    </row>
    <row r="48" spans="1:2" ht="12.75">
      <c r="A48" s="464"/>
      <c r="B48" s="370" t="s">
        <v>15</v>
      </c>
    </row>
    <row r="49" spans="1:2" ht="12.75">
      <c r="A49" s="464"/>
      <c r="B49" s="364" t="s">
        <v>18</v>
      </c>
    </row>
    <row r="50" spans="1:2" ht="12.75">
      <c r="A50" s="464"/>
      <c r="B50" s="364"/>
    </row>
    <row r="51" spans="1:2" ht="12.75">
      <c r="A51" s="464"/>
      <c r="B51" s="370" t="s">
        <v>16</v>
      </c>
    </row>
    <row r="52" spans="1:2" ht="12.75">
      <c r="A52" s="464"/>
      <c r="B52" s="364" t="s">
        <v>19</v>
      </c>
    </row>
    <row r="53" spans="1:2" ht="13.5" thickBot="1">
      <c r="A53" s="465"/>
      <c r="B53" s="438"/>
    </row>
    <row r="54" ht="13.5" thickTop="1"/>
  </sheetData>
  <mergeCells count="3">
    <mergeCell ref="B2:B6"/>
    <mergeCell ref="A14:A15"/>
    <mergeCell ref="A17:A53"/>
  </mergeCells>
  <hyperlinks>
    <hyperlink ref="B21" location="'ERR &amp; Sensitivity analysis'!A1" display="ERR &amp; Sensitivity Analysis"/>
    <hyperlink ref="B24" location="'ERR Summary'!A1" display="ERR Summary"/>
    <hyperlink ref="B27" location="'Benefit-Graduate Income'!A1" display="Benefit-Graduate Income"/>
    <hyperlink ref="B30" location="Cost!A1" display="Cost"/>
    <hyperlink ref="B33" location="Employment!A1" display="Employment"/>
    <hyperlink ref="B36" location="Salaries!A1" display="Salaries"/>
    <hyperlink ref="B39" location="'Wage Increment'!A1" display="Wage Increment"/>
    <hyperlink ref="B42" location="'Additional Wage Estimates'!A1" display="Additional Wage Estimates"/>
    <hyperlink ref="B45" location="Graduates!A1" display="Graduates"/>
    <hyperlink ref="B48" location="'Govt Expenditure'!A1" display="Govt Expenditure"/>
    <hyperlink ref="B51" location="Notes!A1" display="Notes"/>
    <hyperlink ref="B18" location="'Project Description'!A1" display="Project Description"/>
  </hyperlinks>
  <printOptions/>
  <pageMargins left="1.38" right="0.83" top="0.5" bottom="0.5" header="0.5" footer="0.5"/>
  <pageSetup fitToHeight="1" fitToWidth="1" horizontalDpi="600" verticalDpi="600" orientation="landscape" scale="64" r:id="rId2"/>
  <drawing r:id="rId1"/>
</worksheet>
</file>

<file path=xl/worksheets/sheet10.xml><?xml version="1.0" encoding="utf-8"?>
<worksheet xmlns="http://schemas.openxmlformats.org/spreadsheetml/2006/main" xmlns:r="http://schemas.openxmlformats.org/officeDocument/2006/relationships">
  <sheetPr codeName="Sheet10"/>
  <dimension ref="A1:BB72"/>
  <sheetViews>
    <sheetView workbookViewId="0" topLeftCell="A1">
      <selection activeCell="A2" sqref="A2:G2"/>
    </sheetView>
  </sheetViews>
  <sheetFormatPr defaultColWidth="9.140625" defaultRowHeight="12.75"/>
  <cols>
    <col min="1" max="1" width="38.28125" style="236" customWidth="1"/>
    <col min="2" max="2" width="9.140625" style="236" customWidth="1"/>
    <col min="3" max="4" width="10.140625" style="236" customWidth="1"/>
    <col min="5" max="9" width="10.57421875" style="236" customWidth="1"/>
    <col min="10" max="10" width="10.00390625" style="236" customWidth="1"/>
    <col min="11" max="11" width="11.421875" style="236" customWidth="1"/>
    <col min="12" max="12" width="9.8515625" style="236" customWidth="1"/>
    <col min="13" max="13" width="11.140625" style="236" customWidth="1"/>
    <col min="14" max="14" width="12.421875" style="236" customWidth="1"/>
    <col min="15" max="15" width="10.57421875" style="236" customWidth="1"/>
    <col min="16" max="16" width="12.421875" style="236" customWidth="1"/>
    <col min="17" max="17" width="3.140625" style="236" customWidth="1"/>
    <col min="18" max="19" width="10.57421875" style="236" customWidth="1"/>
    <col min="20" max="20" width="12.28125" style="236" customWidth="1"/>
    <col min="21" max="21" width="11.8515625" style="236" customWidth="1"/>
    <col min="22" max="22" width="14.57421875" style="237" customWidth="1"/>
    <col min="23" max="23" width="13.421875" style="286" customWidth="1"/>
    <col min="24" max="24" width="12.7109375" style="239" customWidth="1"/>
    <col min="25" max="25" width="10.28125" style="240" customWidth="1"/>
    <col min="26" max="28" width="9.140625" style="236" customWidth="1"/>
    <col min="29" max="29" width="9.57421875" style="241" bestFit="1" customWidth="1"/>
    <col min="30" max="16384" width="9.140625" style="236" customWidth="1"/>
  </cols>
  <sheetData>
    <row r="1" spans="1:30" s="443" customFormat="1" ht="12.75">
      <c r="A1" s="235" t="s">
        <v>588</v>
      </c>
      <c r="F1" s="444"/>
      <c r="G1" s="444"/>
      <c r="H1" s="444"/>
      <c r="I1" s="445"/>
      <c r="J1" s="445"/>
      <c r="K1" s="445"/>
      <c r="L1" s="446" t="s">
        <v>564</v>
      </c>
      <c r="M1" s="447">
        <v>39310</v>
      </c>
      <c r="N1" s="448"/>
      <c r="O1" s="321"/>
      <c r="P1" s="321"/>
      <c r="Q1" s="321"/>
      <c r="T1" s="322"/>
      <c r="U1" s="321"/>
      <c r="V1" s="321"/>
      <c r="W1" s="323"/>
      <c r="X1" s="449"/>
      <c r="Y1" s="325"/>
      <c r="AA1" s="443" t="s">
        <v>306</v>
      </c>
      <c r="AB1" s="443" t="s">
        <v>307</v>
      </c>
      <c r="AC1" s="450" t="s">
        <v>308</v>
      </c>
      <c r="AD1" s="443" t="s">
        <v>309</v>
      </c>
    </row>
    <row r="2" spans="1:29" s="317" customFormat="1" ht="12.75" customHeight="1">
      <c r="A2" s="491">
        <f>IF('ERR &amp; Sensitivity Analysis'!$I$10="N","Note: Current calculations are based on user input and are not the original MCC estimates.",IF('ERR &amp; Sensitivity Analysis'!$I$11="N","Note: Current calculations are based on user input and are not the original MCC estimates.",0))</f>
        <v>0</v>
      </c>
      <c r="B2" s="491"/>
      <c r="C2" s="491"/>
      <c r="D2" s="491"/>
      <c r="E2" s="491"/>
      <c r="F2" s="491"/>
      <c r="G2" s="491"/>
      <c r="H2" s="457"/>
      <c r="I2" s="319"/>
      <c r="J2" s="319"/>
      <c r="K2" s="319"/>
      <c r="L2" s="454"/>
      <c r="M2" s="455"/>
      <c r="N2" s="320"/>
      <c r="O2" s="319"/>
      <c r="P2" s="319"/>
      <c r="Q2" s="319"/>
      <c r="T2" s="318"/>
      <c r="U2" s="319"/>
      <c r="V2" s="319"/>
      <c r="W2" s="456"/>
      <c r="X2" s="324"/>
      <c r="Y2" s="456"/>
      <c r="AC2" s="326"/>
    </row>
    <row r="3" spans="1:29" s="451" customFormat="1" ht="26.25" customHeight="1">
      <c r="A3" s="486" t="s">
        <v>310</v>
      </c>
      <c r="F3" s="452"/>
      <c r="G3" s="452"/>
      <c r="H3" s="488" t="s">
        <v>311</v>
      </c>
      <c r="I3" s="489"/>
      <c r="J3" s="489"/>
      <c r="K3" s="489"/>
      <c r="L3" s="489"/>
      <c r="M3" s="489"/>
      <c r="N3" s="490"/>
      <c r="O3" s="243"/>
      <c r="P3" s="243"/>
      <c r="Q3" s="243"/>
      <c r="R3" s="498" t="s">
        <v>312</v>
      </c>
      <c r="S3" s="498" t="s">
        <v>313</v>
      </c>
      <c r="T3" s="492" t="s">
        <v>314</v>
      </c>
      <c r="U3" s="493"/>
      <c r="V3" s="493"/>
      <c r="W3" s="493"/>
      <c r="X3" s="494" t="s">
        <v>315</v>
      </c>
      <c r="Y3" s="246"/>
      <c r="AC3" s="453"/>
    </row>
    <row r="4" spans="1:26" ht="84.75" customHeight="1">
      <c r="A4" s="487"/>
      <c r="B4" s="244" t="s">
        <v>316</v>
      </c>
      <c r="C4" s="244" t="s">
        <v>317</v>
      </c>
      <c r="D4" s="244" t="s">
        <v>318</v>
      </c>
      <c r="E4" s="244" t="s">
        <v>319</v>
      </c>
      <c r="F4" s="244" t="s">
        <v>320</v>
      </c>
      <c r="G4" s="244" t="s">
        <v>321</v>
      </c>
      <c r="H4" s="244" t="s">
        <v>322</v>
      </c>
      <c r="I4" s="244" t="s">
        <v>323</v>
      </c>
      <c r="J4" s="201" t="s">
        <v>324</v>
      </c>
      <c r="K4" s="244" t="s">
        <v>325</v>
      </c>
      <c r="L4" s="244" t="s">
        <v>326</v>
      </c>
      <c r="M4" s="244" t="s">
        <v>327</v>
      </c>
      <c r="N4" s="244" t="s">
        <v>328</v>
      </c>
      <c r="O4" s="245" t="s">
        <v>329</v>
      </c>
      <c r="P4" s="248" t="s">
        <v>330</v>
      </c>
      <c r="Q4" s="242"/>
      <c r="R4" s="498"/>
      <c r="S4" s="498"/>
      <c r="T4" s="244" t="s">
        <v>331</v>
      </c>
      <c r="U4" s="244" t="s">
        <v>332</v>
      </c>
      <c r="V4" s="242" t="s">
        <v>333</v>
      </c>
      <c r="W4" s="242" t="s">
        <v>334</v>
      </c>
      <c r="X4" s="494"/>
      <c r="Z4" s="249"/>
    </row>
    <row r="5" spans="1:26" ht="18" customHeight="1">
      <c r="A5" s="247" t="s">
        <v>335</v>
      </c>
      <c r="B5" s="244"/>
      <c r="C5" s="244"/>
      <c r="D5" s="244"/>
      <c r="E5" s="244"/>
      <c r="F5" s="250">
        <v>0.7</v>
      </c>
      <c r="G5" s="250">
        <f>1-F5</f>
        <v>0.30000000000000004</v>
      </c>
      <c r="H5" s="244"/>
      <c r="I5" s="244"/>
      <c r="J5" s="201"/>
      <c r="K5" s="244"/>
      <c r="L5" s="244"/>
      <c r="M5" s="244"/>
      <c r="N5" s="244"/>
      <c r="O5" s="245"/>
      <c r="P5" s="248"/>
      <c r="Q5" s="242"/>
      <c r="R5" s="244"/>
      <c r="S5" s="244"/>
      <c r="T5" s="244"/>
      <c r="U5" s="244"/>
      <c r="V5" s="242"/>
      <c r="W5" s="242"/>
      <c r="X5" s="245"/>
      <c r="Z5" s="249"/>
    </row>
    <row r="6" spans="1:25" ht="18" customHeight="1">
      <c r="A6" s="251" t="s">
        <v>336</v>
      </c>
      <c r="C6" s="252"/>
      <c r="D6" s="252"/>
      <c r="E6" s="252"/>
      <c r="F6" s="252"/>
      <c r="G6" s="252"/>
      <c r="J6" s="327"/>
      <c r="W6" s="237"/>
      <c r="X6" s="236"/>
      <c r="Y6" s="236"/>
    </row>
    <row r="7" spans="1:30" ht="20.25" customHeight="1">
      <c r="A7" s="253" t="s">
        <v>337</v>
      </c>
      <c r="B7" s="254">
        <v>8</v>
      </c>
      <c r="C7" s="254">
        <v>220</v>
      </c>
      <c r="D7" s="255">
        <f>B7*C7</f>
        <v>1760</v>
      </c>
      <c r="E7" s="256">
        <f>D7*O7</f>
        <v>1760</v>
      </c>
      <c r="F7" s="255">
        <f>D7*$F$5</f>
        <v>1232</v>
      </c>
      <c r="G7" s="255">
        <f>D7*$G$5</f>
        <v>528.0000000000001</v>
      </c>
      <c r="H7" s="241">
        <v>60</v>
      </c>
      <c r="I7" s="241">
        <f>H7*D7*12</f>
        <v>1267200</v>
      </c>
      <c r="J7" s="328">
        <f>H7*1.2</f>
        <v>72</v>
      </c>
      <c r="K7" s="241">
        <f>((J7-H7)*F7)*12</f>
        <v>177408</v>
      </c>
      <c r="L7" s="241">
        <f>H7*1.1</f>
        <v>66</v>
      </c>
      <c r="M7" s="241">
        <f>((L7-H7)*G7)*12</f>
        <v>38016.000000000015</v>
      </c>
      <c r="N7" s="257">
        <f>K7+M7</f>
        <v>215424</v>
      </c>
      <c r="O7" s="258">
        <v>1</v>
      </c>
      <c r="P7" s="257">
        <f>O7*N7</f>
        <v>215424</v>
      </c>
      <c r="R7" s="236">
        <v>6</v>
      </c>
      <c r="S7" s="236">
        <f>R7*B7</f>
        <v>48</v>
      </c>
      <c r="T7" s="241">
        <v>9500</v>
      </c>
      <c r="U7" s="241">
        <f>T7*1.3</f>
        <v>12350</v>
      </c>
      <c r="V7" s="259">
        <f>U7-T7</f>
        <v>2850</v>
      </c>
      <c r="W7" s="260">
        <f>V7*B7</f>
        <v>22800</v>
      </c>
      <c r="X7" s="261">
        <f>N7+W7</f>
        <v>238224</v>
      </c>
      <c r="AB7" s="262">
        <f>N7/I7</f>
        <v>0.17</v>
      </c>
      <c r="AC7" s="241">
        <f>F7*H7</f>
        <v>73920</v>
      </c>
      <c r="AD7" s="262">
        <f>K7/AC7/12</f>
        <v>0.19999999999999998</v>
      </c>
    </row>
    <row r="8" spans="1:30" ht="23.25" customHeight="1">
      <c r="A8" s="253" t="s">
        <v>338</v>
      </c>
      <c r="B8" s="263">
        <v>8</v>
      </c>
      <c r="C8" s="263">
        <v>200</v>
      </c>
      <c r="D8" s="255">
        <f>B8*C8</f>
        <v>1600</v>
      </c>
      <c r="E8" s="256">
        <f>D8*O8</f>
        <v>1600</v>
      </c>
      <c r="F8" s="255">
        <f>D8*$F$5</f>
        <v>1120</v>
      </c>
      <c r="G8" s="255">
        <f>D8*$G$5</f>
        <v>480.00000000000006</v>
      </c>
      <c r="H8" s="241">
        <v>60</v>
      </c>
      <c r="I8" s="241">
        <f>H8*D8*12</f>
        <v>1152000</v>
      </c>
      <c r="J8" s="328">
        <f>H8*1.5</f>
        <v>90</v>
      </c>
      <c r="K8" s="241">
        <f>((J8-H8)*F8)*12</f>
        <v>403200</v>
      </c>
      <c r="L8" s="241">
        <f aca="true" t="shared" si="0" ref="L8:L15">H8*1.1</f>
        <v>66</v>
      </c>
      <c r="M8" s="241">
        <f>((L8-H8)*G8)*12</f>
        <v>34560.00000000001</v>
      </c>
      <c r="N8" s="257">
        <f>K8+M8</f>
        <v>437760</v>
      </c>
      <c r="O8" s="258">
        <v>1</v>
      </c>
      <c r="P8" s="257">
        <f>O8*N8</f>
        <v>437760</v>
      </c>
      <c r="R8" s="236">
        <v>8</v>
      </c>
      <c r="S8" s="236">
        <f>R8*B8</f>
        <v>64</v>
      </c>
      <c r="T8" s="241">
        <v>14400</v>
      </c>
      <c r="U8" s="241">
        <f>T8*1.3</f>
        <v>18720</v>
      </c>
      <c r="V8" s="259">
        <f>U8-T8</f>
        <v>4320</v>
      </c>
      <c r="W8" s="260">
        <f>V8*B8</f>
        <v>34560</v>
      </c>
      <c r="X8" s="261">
        <f>N8+W8</f>
        <v>472320</v>
      </c>
      <c r="AB8" s="262">
        <f>N8/I8</f>
        <v>0.38</v>
      </c>
      <c r="AC8" s="241">
        <f>F8*H8</f>
        <v>67200</v>
      </c>
      <c r="AD8" s="262">
        <f>K8/AC8/12</f>
        <v>0.5</v>
      </c>
    </row>
    <row r="9" spans="1:30" ht="23.25" customHeight="1">
      <c r="A9" s="253" t="s">
        <v>339</v>
      </c>
      <c r="B9" s="263"/>
      <c r="C9" s="257">
        <f>SUM(C7:C8)</f>
        <v>420</v>
      </c>
      <c r="D9" s="257">
        <f>SUM(D7:D8)</f>
        <v>3360</v>
      </c>
      <c r="E9" s="257">
        <f>SUM(E7:E8)</f>
        <v>3360</v>
      </c>
      <c r="F9" s="257">
        <f>SUM(F7:F8)</f>
        <v>2352</v>
      </c>
      <c r="G9" s="257">
        <f>SUM(G7:G8)</f>
        <v>1008.0000000000002</v>
      </c>
      <c r="H9" s="241"/>
      <c r="I9" s="241">
        <f>SUM(I7:I8)</f>
        <v>2419200</v>
      </c>
      <c r="J9" s="328"/>
      <c r="K9" s="257">
        <f>SUM(K7:K8)</f>
        <v>580608</v>
      </c>
      <c r="L9" s="264"/>
      <c r="M9" s="257">
        <f>SUM(M7:M8)</f>
        <v>72576.00000000003</v>
      </c>
      <c r="N9" s="257">
        <f>SUM(N7:N8)</f>
        <v>653184</v>
      </c>
      <c r="O9" s="258"/>
      <c r="P9" s="257">
        <f>SUM(P7:P8)</f>
        <v>653184</v>
      </c>
      <c r="T9" s="241"/>
      <c r="U9" s="241"/>
      <c r="V9" s="257">
        <f>SUM(V7:V8)</f>
        <v>7170</v>
      </c>
      <c r="W9" s="257">
        <f>SUM(W7:W8)</f>
        <v>57360</v>
      </c>
      <c r="X9" s="261"/>
      <c r="AA9" s="265">
        <f>P9/E9/12</f>
        <v>16.2</v>
      </c>
      <c r="AB9" s="266">
        <f>N9/I9</f>
        <v>0.27</v>
      </c>
      <c r="AC9" s="257">
        <f>SUM(AC7:AC8)</f>
        <v>141120</v>
      </c>
      <c r="AD9" s="266">
        <f>K9/AC9/12</f>
        <v>0.3428571428571428</v>
      </c>
    </row>
    <row r="10" spans="1:28" ht="15.75" customHeight="1">
      <c r="A10" s="267" t="s">
        <v>340</v>
      </c>
      <c r="B10" s="263"/>
      <c r="C10" s="268"/>
      <c r="D10" s="263"/>
      <c r="F10" s="255">
        <f>D10*0.7</f>
        <v>0</v>
      </c>
      <c r="G10" s="255">
        <f>D10*0.3</f>
        <v>0</v>
      </c>
      <c r="J10" s="327"/>
      <c r="K10" s="495" t="s">
        <v>340</v>
      </c>
      <c r="L10" s="496"/>
      <c r="M10" s="497"/>
      <c r="T10" s="241"/>
      <c r="U10" s="241"/>
      <c r="W10" s="237"/>
      <c r="X10" s="236"/>
      <c r="Y10" s="238"/>
      <c r="AB10" s="262"/>
    </row>
    <row r="11" spans="1:30" ht="15.75" customHeight="1">
      <c r="A11" s="269" t="s">
        <v>341</v>
      </c>
      <c r="B11" s="263">
        <v>8</v>
      </c>
      <c r="C11" s="263">
        <v>50</v>
      </c>
      <c r="D11" s="255">
        <f>B11*C11</f>
        <v>400</v>
      </c>
      <c r="E11" s="256">
        <f>D11*O11</f>
        <v>400</v>
      </c>
      <c r="F11" s="255">
        <f>D11*$F$5</f>
        <v>280</v>
      </c>
      <c r="G11" s="255">
        <f>D11*$G$5</f>
        <v>120.00000000000001</v>
      </c>
      <c r="H11" s="241">
        <v>75</v>
      </c>
      <c r="I11" s="241">
        <f>H11*D11*12</f>
        <v>360000</v>
      </c>
      <c r="J11" s="329">
        <v>130</v>
      </c>
      <c r="K11" s="241">
        <f>((J11-H11)*F11)*12</f>
        <v>184800</v>
      </c>
      <c r="L11" s="241">
        <f t="shared" si="0"/>
        <v>82.5</v>
      </c>
      <c r="M11" s="241">
        <f>((L11-H11)*G11)*12</f>
        <v>10800.000000000002</v>
      </c>
      <c r="N11" s="270">
        <f>K11+M11</f>
        <v>195600</v>
      </c>
      <c r="O11" s="258">
        <v>1</v>
      </c>
      <c r="P11" s="257">
        <f>O11*N11</f>
        <v>195600</v>
      </c>
      <c r="R11" s="236">
        <v>2</v>
      </c>
      <c r="S11" s="236">
        <f>R11*B11</f>
        <v>16</v>
      </c>
      <c r="T11" s="241">
        <f>(2200+1200)*2</f>
        <v>6800</v>
      </c>
      <c r="U11" s="241">
        <f>T11*1.3</f>
        <v>8840</v>
      </c>
      <c r="V11" s="259">
        <f>U11-T11</f>
        <v>2040</v>
      </c>
      <c r="W11" s="260">
        <f>V11*B11</f>
        <v>16320</v>
      </c>
      <c r="X11" s="261">
        <f aca="true" t="shared" si="1" ref="X11:X16">N11+W11</f>
        <v>211920</v>
      </c>
      <c r="AB11" s="262">
        <f aca="true" t="shared" si="2" ref="AB11:AB71">N11/I11</f>
        <v>0.5433333333333333</v>
      </c>
      <c r="AC11" s="241">
        <f>F11*H11</f>
        <v>21000</v>
      </c>
      <c r="AD11" s="262">
        <f aca="true" t="shared" si="3" ref="AD11:AD16">K11/AC11/12</f>
        <v>0.7333333333333334</v>
      </c>
    </row>
    <row r="12" spans="1:30" ht="17.25" customHeight="1">
      <c r="A12" s="269" t="s">
        <v>342</v>
      </c>
      <c r="B12" s="263">
        <v>6</v>
      </c>
      <c r="C12" s="263">
        <v>50</v>
      </c>
      <c r="D12" s="255">
        <f>B12*C12</f>
        <v>300</v>
      </c>
      <c r="E12" s="256">
        <f>D12*O12</f>
        <v>300</v>
      </c>
      <c r="F12" s="255">
        <f>D12*$F$5</f>
        <v>210</v>
      </c>
      <c r="G12" s="255">
        <f>D12*$G$5</f>
        <v>90.00000000000001</v>
      </c>
      <c r="H12" s="241">
        <v>75</v>
      </c>
      <c r="I12" s="241">
        <f>H12*D12*12</f>
        <v>270000</v>
      </c>
      <c r="J12" s="329">
        <v>104</v>
      </c>
      <c r="K12" s="241">
        <f>((J12-H12)*F12)*12</f>
        <v>73080</v>
      </c>
      <c r="L12" s="241">
        <f t="shared" si="0"/>
        <v>82.5</v>
      </c>
      <c r="M12" s="241">
        <f>((L12-H12)*G12)*12</f>
        <v>8100.000000000002</v>
      </c>
      <c r="N12" s="270">
        <f>K12+M12</f>
        <v>81180</v>
      </c>
      <c r="O12" s="258">
        <v>1</v>
      </c>
      <c r="P12" s="257">
        <f>O12*N12</f>
        <v>81180</v>
      </c>
      <c r="R12" s="236">
        <v>2</v>
      </c>
      <c r="S12" s="236">
        <f>R12*B12</f>
        <v>12</v>
      </c>
      <c r="T12" s="241">
        <f>(2200+1200)*2</f>
        <v>6800</v>
      </c>
      <c r="U12" s="241">
        <f>T12*1.3</f>
        <v>8840</v>
      </c>
      <c r="V12" s="259">
        <f>U12-T12</f>
        <v>2040</v>
      </c>
      <c r="W12" s="260">
        <f>V12*B12</f>
        <v>12240</v>
      </c>
      <c r="X12" s="261">
        <f t="shared" si="1"/>
        <v>93420</v>
      </c>
      <c r="AB12" s="262">
        <f t="shared" si="2"/>
        <v>0.3006666666666667</v>
      </c>
      <c r="AC12" s="241">
        <f>F12*H12</f>
        <v>15750</v>
      </c>
      <c r="AD12" s="262">
        <f t="shared" si="3"/>
        <v>0.38666666666666666</v>
      </c>
    </row>
    <row r="13" spans="1:30" ht="15" customHeight="1">
      <c r="A13" s="269" t="s">
        <v>343</v>
      </c>
      <c r="B13" s="263">
        <v>8</v>
      </c>
      <c r="C13" s="263">
        <v>50</v>
      </c>
      <c r="D13" s="255">
        <f>B13*C13</f>
        <v>400</v>
      </c>
      <c r="E13" s="256">
        <f>D13*O13</f>
        <v>400</v>
      </c>
      <c r="F13" s="255">
        <f>D13*$F$5</f>
        <v>280</v>
      </c>
      <c r="G13" s="255">
        <f>D13*$G$5</f>
        <v>120.00000000000001</v>
      </c>
      <c r="H13" s="241">
        <v>75</v>
      </c>
      <c r="I13" s="241">
        <f>H13*D13*12</f>
        <v>360000</v>
      </c>
      <c r="J13" s="329">
        <v>140</v>
      </c>
      <c r="K13" s="241">
        <f>((J13-H13)*F13)*12</f>
        <v>218400</v>
      </c>
      <c r="L13" s="241">
        <f t="shared" si="0"/>
        <v>82.5</v>
      </c>
      <c r="M13" s="241">
        <f>((L13-H13)*G13)*12</f>
        <v>10800.000000000002</v>
      </c>
      <c r="N13" s="270">
        <f>K13+M13</f>
        <v>229200</v>
      </c>
      <c r="O13" s="258">
        <v>1</v>
      </c>
      <c r="P13" s="257">
        <f>O13*N13</f>
        <v>229200</v>
      </c>
      <c r="R13" s="236">
        <v>2</v>
      </c>
      <c r="S13" s="236">
        <f>R13*B13</f>
        <v>16</v>
      </c>
      <c r="T13" s="241">
        <f>(2200+1200)*2</f>
        <v>6800</v>
      </c>
      <c r="U13" s="241">
        <f>T13*1.3</f>
        <v>8840</v>
      </c>
      <c r="V13" s="259">
        <f>U13-T13</f>
        <v>2040</v>
      </c>
      <c r="W13" s="260">
        <f>V13*B13</f>
        <v>16320</v>
      </c>
      <c r="X13" s="261">
        <f t="shared" si="1"/>
        <v>245520</v>
      </c>
      <c r="AB13" s="262">
        <f t="shared" si="2"/>
        <v>0.6366666666666667</v>
      </c>
      <c r="AC13" s="241">
        <f>F13*H13</f>
        <v>21000</v>
      </c>
      <c r="AD13" s="262">
        <f t="shared" si="3"/>
        <v>0.8666666666666667</v>
      </c>
    </row>
    <row r="14" spans="1:30" ht="26.25" customHeight="1">
      <c r="A14" s="271" t="s">
        <v>344</v>
      </c>
      <c r="B14" s="263">
        <v>6</v>
      </c>
      <c r="C14" s="263">
        <v>50</v>
      </c>
      <c r="D14" s="255">
        <f>B14*C14</f>
        <v>300</v>
      </c>
      <c r="E14" s="256">
        <f>D14*O14</f>
        <v>300</v>
      </c>
      <c r="F14" s="255">
        <f>D14*$F$5</f>
        <v>210</v>
      </c>
      <c r="G14" s="255">
        <f>D14*$G$5</f>
        <v>90.00000000000001</v>
      </c>
      <c r="H14" s="241">
        <v>75</v>
      </c>
      <c r="I14" s="241">
        <f>H14*D14*12</f>
        <v>270000</v>
      </c>
      <c r="J14" s="328">
        <f>H14*1.3</f>
        <v>97.5</v>
      </c>
      <c r="K14" s="241">
        <f>((J14-H14)*F14)*12</f>
        <v>56700</v>
      </c>
      <c r="L14" s="241">
        <f t="shared" si="0"/>
        <v>82.5</v>
      </c>
      <c r="M14" s="241">
        <f>((L14-H14)*G14)*12</f>
        <v>8100.000000000002</v>
      </c>
      <c r="N14" s="270">
        <f>K14+M14</f>
        <v>64800</v>
      </c>
      <c r="O14" s="258">
        <v>1</v>
      </c>
      <c r="P14" s="257">
        <f>O14*N14</f>
        <v>64800</v>
      </c>
      <c r="R14" s="236">
        <v>2</v>
      </c>
      <c r="S14" s="236">
        <f>R14*B14</f>
        <v>12</v>
      </c>
      <c r="T14" s="241">
        <f>(2200+1200)*2</f>
        <v>6800</v>
      </c>
      <c r="U14" s="241">
        <f>T14*1.3</f>
        <v>8840</v>
      </c>
      <c r="V14" s="259">
        <f>U14-T14</f>
        <v>2040</v>
      </c>
      <c r="W14" s="260">
        <f>V14*B14</f>
        <v>12240</v>
      </c>
      <c r="X14" s="261">
        <f t="shared" si="1"/>
        <v>77040</v>
      </c>
      <c r="AB14" s="262">
        <f t="shared" si="2"/>
        <v>0.24</v>
      </c>
      <c r="AC14" s="241">
        <f>F14*H14</f>
        <v>15750</v>
      </c>
      <c r="AD14" s="262">
        <f t="shared" si="3"/>
        <v>0.3</v>
      </c>
    </row>
    <row r="15" spans="1:30" ht="18" customHeight="1">
      <c r="A15" s="269" t="s">
        <v>345</v>
      </c>
      <c r="B15" s="263">
        <v>6</v>
      </c>
      <c r="C15" s="263">
        <v>50</v>
      </c>
      <c r="D15" s="255">
        <f>B15*C15</f>
        <v>300</v>
      </c>
      <c r="E15" s="256">
        <f>D15*O15</f>
        <v>300</v>
      </c>
      <c r="F15" s="255">
        <f>D15*$F$5</f>
        <v>210</v>
      </c>
      <c r="G15" s="255">
        <f>D15*$G$5</f>
        <v>90.00000000000001</v>
      </c>
      <c r="H15" s="241">
        <v>75</v>
      </c>
      <c r="I15" s="241">
        <f>H15*D15*12</f>
        <v>270000</v>
      </c>
      <c r="J15" s="327">
        <v>100</v>
      </c>
      <c r="K15" s="241">
        <f>((J15-H15)*F15)*12</f>
        <v>63000</v>
      </c>
      <c r="L15" s="241">
        <f t="shared" si="0"/>
        <v>82.5</v>
      </c>
      <c r="M15" s="241">
        <f>((L15-H15)*G15)*12</f>
        <v>8100.000000000002</v>
      </c>
      <c r="N15" s="270">
        <f>K15+M15</f>
        <v>71100</v>
      </c>
      <c r="O15" s="258">
        <v>1</v>
      </c>
      <c r="P15" s="257">
        <f>O15*N15</f>
        <v>71100</v>
      </c>
      <c r="R15" s="236">
        <v>2</v>
      </c>
      <c r="S15" s="236">
        <f>R15*B15</f>
        <v>12</v>
      </c>
      <c r="T15" s="241">
        <f>(2200+1200)*2</f>
        <v>6800</v>
      </c>
      <c r="U15" s="241">
        <f>T15*1.3</f>
        <v>8840</v>
      </c>
      <c r="V15" s="259">
        <f>U15-T15</f>
        <v>2040</v>
      </c>
      <c r="W15" s="260">
        <f>V15*B15</f>
        <v>12240</v>
      </c>
      <c r="X15" s="261">
        <f t="shared" si="1"/>
        <v>83340</v>
      </c>
      <c r="AB15" s="262">
        <f t="shared" si="2"/>
        <v>0.2633333333333333</v>
      </c>
      <c r="AC15" s="241">
        <f>F15*H15</f>
        <v>15750</v>
      </c>
      <c r="AD15" s="262">
        <f t="shared" si="3"/>
        <v>0.3333333333333333</v>
      </c>
    </row>
    <row r="16" spans="1:30" s="276" customFormat="1" ht="18" customHeight="1">
      <c r="A16" s="272" t="s">
        <v>346</v>
      </c>
      <c r="B16" s="273"/>
      <c r="C16" s="273">
        <f>SUM(C11:C15)</f>
        <v>250</v>
      </c>
      <c r="D16" s="274">
        <f>SUM(D11:D15)</f>
        <v>1700</v>
      </c>
      <c r="E16" s="274">
        <f>SUM(E11:E15)</f>
        <v>1700</v>
      </c>
      <c r="F16" s="275">
        <f>SUM(F11:F15)</f>
        <v>1190</v>
      </c>
      <c r="G16" s="275">
        <f>SUM(G11:G15)</f>
        <v>510.00000000000006</v>
      </c>
      <c r="I16" s="277">
        <f>SUM(I11:I15)</f>
        <v>1530000</v>
      </c>
      <c r="J16" s="202"/>
      <c r="K16" s="278">
        <f>SUM(K11:K15)</f>
        <v>595980</v>
      </c>
      <c r="M16" s="278">
        <f>SUM(M11:M15)</f>
        <v>45900.00000000001</v>
      </c>
      <c r="N16" s="257">
        <f>SUM(N11:N15)</f>
        <v>641880</v>
      </c>
      <c r="O16" s="257"/>
      <c r="P16" s="257">
        <f>SUM(P11:P15)</f>
        <v>641880</v>
      </c>
      <c r="R16" s="236"/>
      <c r="S16" s="275">
        <f>SUM(S11:S15)</f>
        <v>68</v>
      </c>
      <c r="T16" s="277">
        <f>SUM(T11:T15)</f>
        <v>34000</v>
      </c>
      <c r="U16" s="277">
        <f>SUM(U11:U15)</f>
        <v>44200</v>
      </c>
      <c r="V16" s="277">
        <f>SUM(V11:V15)</f>
        <v>10200</v>
      </c>
      <c r="W16" s="279">
        <f>SUM(W11:W15)</f>
        <v>69360</v>
      </c>
      <c r="X16" s="277">
        <f t="shared" si="1"/>
        <v>711240</v>
      </c>
      <c r="Y16" s="280"/>
      <c r="AA16" s="265">
        <f>P16/E16/12</f>
        <v>31.46470588235294</v>
      </c>
      <c r="AB16" s="266">
        <f t="shared" si="2"/>
        <v>0.4195294117647059</v>
      </c>
      <c r="AC16" s="279">
        <f>SUM(AC11:AC15)</f>
        <v>89250</v>
      </c>
      <c r="AD16" s="266">
        <f t="shared" si="3"/>
        <v>0.5564705882352942</v>
      </c>
    </row>
    <row r="17" spans="1:28" ht="17.25" customHeight="1">
      <c r="A17" s="281" t="s">
        <v>298</v>
      </c>
      <c r="B17" s="282"/>
      <c r="C17" s="282"/>
      <c r="D17" s="282"/>
      <c r="F17" s="252"/>
      <c r="G17" s="252"/>
      <c r="H17" s="252"/>
      <c r="I17" s="252"/>
      <c r="J17" s="327"/>
      <c r="L17" s="236" t="s">
        <v>347</v>
      </c>
      <c r="W17" s="237"/>
      <c r="X17" s="236"/>
      <c r="Y17" s="238"/>
      <c r="AB17" s="262"/>
    </row>
    <row r="18" spans="1:30" ht="35.25" customHeight="1">
      <c r="A18" s="271" t="s">
        <v>512</v>
      </c>
      <c r="B18" s="254">
        <v>1</v>
      </c>
      <c r="C18" s="254">
        <v>50</v>
      </c>
      <c r="D18" s="283">
        <f>B18*C18</f>
        <v>50</v>
      </c>
      <c r="E18" s="256">
        <f>D18*O18</f>
        <v>50</v>
      </c>
      <c r="F18" s="255">
        <f>D18*$F$5</f>
        <v>35</v>
      </c>
      <c r="G18" s="255">
        <f>D18*$G$5</f>
        <v>15.000000000000002</v>
      </c>
      <c r="H18" s="284">
        <v>70</v>
      </c>
      <c r="I18" s="241">
        <f>H18*D18*12</f>
        <v>42000</v>
      </c>
      <c r="J18" s="328">
        <f>H18*1.3</f>
        <v>91</v>
      </c>
      <c r="K18" s="241">
        <f>((J18-H18)*F18)*12</f>
        <v>8820</v>
      </c>
      <c r="L18" s="241">
        <f>H18*1.1</f>
        <v>77</v>
      </c>
      <c r="M18" s="241">
        <f>((L18-H18)*G18)*12</f>
        <v>1260.0000000000002</v>
      </c>
      <c r="N18" s="270">
        <f>K18+M18</f>
        <v>10080</v>
      </c>
      <c r="O18" s="258">
        <v>1</v>
      </c>
      <c r="P18" s="257">
        <f>O18*N18</f>
        <v>10080</v>
      </c>
      <c r="R18" s="236">
        <v>50</v>
      </c>
      <c r="S18" s="236">
        <f>R18*B18</f>
        <v>50</v>
      </c>
      <c r="T18" s="241">
        <f>S18*2000</f>
        <v>100000</v>
      </c>
      <c r="U18" s="241">
        <f>T18*1.2</f>
        <v>120000</v>
      </c>
      <c r="V18" s="259">
        <f>U18-T18</f>
        <v>20000</v>
      </c>
      <c r="W18" s="260">
        <f>V18*B18</f>
        <v>20000</v>
      </c>
      <c r="X18" s="261">
        <f>N18+W18</f>
        <v>30080</v>
      </c>
      <c r="AB18" s="262">
        <f t="shared" si="2"/>
        <v>0.24</v>
      </c>
      <c r="AC18" s="241">
        <f aca="true" t="shared" si="4" ref="AC18:AC27">F18*H18</f>
        <v>2450</v>
      </c>
      <c r="AD18" s="262">
        <f aca="true" t="shared" si="5" ref="AD18:AD28">K18/AC18/12</f>
        <v>0.3</v>
      </c>
    </row>
    <row r="19" spans="1:30" ht="15.75" customHeight="1">
      <c r="A19" s="271" t="s">
        <v>348</v>
      </c>
      <c r="B19" s="254">
        <v>1</v>
      </c>
      <c r="C19" s="254">
        <v>50</v>
      </c>
      <c r="D19" s="283">
        <f>B19*C19</f>
        <v>50</v>
      </c>
      <c r="E19" s="256">
        <f>D19*O19</f>
        <v>50</v>
      </c>
      <c r="F19" s="255">
        <f>D19*$F$5</f>
        <v>35</v>
      </c>
      <c r="G19" s="255">
        <f>D19*$G$5</f>
        <v>15.000000000000002</v>
      </c>
      <c r="H19" s="284"/>
      <c r="I19" s="241">
        <f>H19*D19*12</f>
        <v>0</v>
      </c>
      <c r="J19" s="328"/>
      <c r="K19" s="241">
        <f>((J19-H19)*F19)*12</f>
        <v>0</v>
      </c>
      <c r="L19" s="241"/>
      <c r="M19" s="241">
        <f>((L19-H19)*G19)*12</f>
        <v>0</v>
      </c>
      <c r="N19" s="270">
        <f>K19+M19</f>
        <v>0</v>
      </c>
      <c r="O19" s="258">
        <v>1</v>
      </c>
      <c r="P19" s="257">
        <f>O19*N19</f>
        <v>0</v>
      </c>
      <c r="R19" s="236">
        <v>50</v>
      </c>
      <c r="S19" s="236">
        <f>R19*B19</f>
        <v>50</v>
      </c>
      <c r="T19" s="241">
        <f>S19*2000</f>
        <v>100000</v>
      </c>
      <c r="U19" s="241">
        <f>T19*1.2</f>
        <v>120000</v>
      </c>
      <c r="V19" s="259">
        <f>U19-T19</f>
        <v>20000</v>
      </c>
      <c r="W19" s="260">
        <f>V19*B19</f>
        <v>20000</v>
      </c>
      <c r="X19" s="261">
        <f>N19+W19</f>
        <v>20000</v>
      </c>
      <c r="AB19" s="262" t="e">
        <f t="shared" si="2"/>
        <v>#DIV/0!</v>
      </c>
      <c r="AC19" s="241">
        <f t="shared" si="4"/>
        <v>0</v>
      </c>
      <c r="AD19" s="262" t="e">
        <f t="shared" si="5"/>
        <v>#DIV/0!</v>
      </c>
    </row>
    <row r="20" spans="1:30" ht="26.25" customHeight="1">
      <c r="A20" s="271" t="s">
        <v>349</v>
      </c>
      <c r="B20" s="254">
        <v>1</v>
      </c>
      <c r="C20" s="254">
        <v>100</v>
      </c>
      <c r="D20" s="283">
        <f>B20*C20</f>
        <v>100</v>
      </c>
      <c r="E20" s="256">
        <f>D20*O20</f>
        <v>100</v>
      </c>
      <c r="F20" s="255">
        <f>D20*$F$5</f>
        <v>70</v>
      </c>
      <c r="G20" s="255">
        <f>D20*$G$5</f>
        <v>30.000000000000004</v>
      </c>
      <c r="H20" s="284"/>
      <c r="I20" s="241">
        <f>H20*D20*12</f>
        <v>0</v>
      </c>
      <c r="J20" s="328"/>
      <c r="K20" s="241">
        <f>((J20-H20)*F20)*12</f>
        <v>0</v>
      </c>
      <c r="L20" s="241"/>
      <c r="M20" s="241">
        <f>((L20-H20)*G20)*12</f>
        <v>0</v>
      </c>
      <c r="N20" s="270">
        <f>K20+M20</f>
        <v>0</v>
      </c>
      <c r="O20" s="258">
        <v>1</v>
      </c>
      <c r="P20" s="257">
        <f>O20*N20</f>
        <v>0</v>
      </c>
      <c r="R20" s="236">
        <v>100</v>
      </c>
      <c r="S20" s="236">
        <f>R20*B20</f>
        <v>100</v>
      </c>
      <c r="T20" s="241">
        <f>S20*2000</f>
        <v>200000</v>
      </c>
      <c r="U20" s="241">
        <f>T20*1.2</f>
        <v>240000</v>
      </c>
      <c r="V20" s="259">
        <f>U20-T20</f>
        <v>40000</v>
      </c>
      <c r="W20" s="260">
        <f>V20*B20</f>
        <v>40000</v>
      </c>
      <c r="X20" s="261">
        <f>N20+W20</f>
        <v>40000</v>
      </c>
      <c r="AB20" s="262" t="e">
        <f t="shared" si="2"/>
        <v>#DIV/0!</v>
      </c>
      <c r="AC20" s="241">
        <f t="shared" si="4"/>
        <v>0</v>
      </c>
      <c r="AD20" s="262" t="e">
        <f t="shared" si="5"/>
        <v>#DIV/0!</v>
      </c>
    </row>
    <row r="21" spans="1:30" ht="22.5" customHeight="1">
      <c r="A21" s="271" t="s">
        <v>350</v>
      </c>
      <c r="B21" s="254">
        <v>1</v>
      </c>
      <c r="C21" s="254">
        <v>30</v>
      </c>
      <c r="D21" s="285">
        <f>B21*C21</f>
        <v>30</v>
      </c>
      <c r="E21" s="256">
        <f>D21*O21</f>
        <v>30</v>
      </c>
      <c r="F21" s="255">
        <f>D21*$F$5</f>
        <v>21</v>
      </c>
      <c r="G21" s="255">
        <f>D21*$G$5</f>
        <v>9.000000000000002</v>
      </c>
      <c r="H21" s="284">
        <v>70</v>
      </c>
      <c r="I21" s="241">
        <f>H21*D21*12</f>
        <v>25200</v>
      </c>
      <c r="J21" s="328">
        <f>H21*1.3</f>
        <v>91</v>
      </c>
      <c r="K21" s="241">
        <f>((J21-H21)*F21)*12</f>
        <v>5292</v>
      </c>
      <c r="L21" s="241">
        <f>H21*1.1</f>
        <v>77</v>
      </c>
      <c r="M21" s="241">
        <f>((L21-H21)*G21)*12</f>
        <v>756.0000000000002</v>
      </c>
      <c r="N21" s="270">
        <f>K21+M21</f>
        <v>6048</v>
      </c>
      <c r="O21" s="258">
        <v>1</v>
      </c>
      <c r="P21" s="257">
        <f>O21*N21</f>
        <v>6048</v>
      </c>
      <c r="R21" s="236">
        <v>30</v>
      </c>
      <c r="S21" s="236">
        <f>R21*B21</f>
        <v>30</v>
      </c>
      <c r="T21" s="241">
        <f>S21*2000</f>
        <v>60000</v>
      </c>
      <c r="U21" s="241">
        <f>T21*1.2</f>
        <v>72000</v>
      </c>
      <c r="V21" s="259">
        <f>U21-T21</f>
        <v>12000</v>
      </c>
      <c r="W21" s="260">
        <f>V21*B21</f>
        <v>12000</v>
      </c>
      <c r="X21" s="261">
        <f>N21+W21</f>
        <v>18048</v>
      </c>
      <c r="AB21" s="262">
        <f t="shared" si="2"/>
        <v>0.24</v>
      </c>
      <c r="AC21" s="241">
        <f t="shared" si="4"/>
        <v>1470</v>
      </c>
      <c r="AD21" s="262">
        <f t="shared" si="5"/>
        <v>0.3</v>
      </c>
    </row>
    <row r="22" spans="1:30" ht="15.75" customHeight="1">
      <c r="A22" s="269" t="s">
        <v>351</v>
      </c>
      <c r="B22" s="254" t="s">
        <v>352</v>
      </c>
      <c r="C22" s="254"/>
      <c r="D22" s="285"/>
      <c r="F22" s="285"/>
      <c r="G22" s="285"/>
      <c r="H22" s="285"/>
      <c r="I22" s="285"/>
      <c r="J22" s="327"/>
      <c r="U22" s="241"/>
      <c r="V22" s="236"/>
      <c r="W22" s="237"/>
      <c r="X22" s="236"/>
      <c r="AB22" s="262" t="e">
        <f t="shared" si="2"/>
        <v>#DIV/0!</v>
      </c>
      <c r="AC22" s="241">
        <f t="shared" si="4"/>
        <v>0</v>
      </c>
      <c r="AD22" s="262" t="e">
        <f t="shared" si="5"/>
        <v>#DIV/0!</v>
      </c>
    </row>
    <row r="23" spans="1:30" ht="16.5" customHeight="1">
      <c r="A23" s="271" t="s">
        <v>353</v>
      </c>
      <c r="B23" s="254">
        <v>3</v>
      </c>
      <c r="C23" s="254">
        <v>50</v>
      </c>
      <c r="D23" s="283">
        <f>B23*C23</f>
        <v>150</v>
      </c>
      <c r="E23" s="256">
        <f>D23*O23</f>
        <v>150</v>
      </c>
      <c r="F23" s="255">
        <f>D23*$F$5</f>
        <v>105</v>
      </c>
      <c r="G23" s="255">
        <f>D23*$G$5</f>
        <v>45.00000000000001</v>
      </c>
      <c r="H23" s="284">
        <v>70</v>
      </c>
      <c r="I23" s="241">
        <f>H23*D23*12</f>
        <v>126000</v>
      </c>
      <c r="J23" s="328">
        <f>H23*1.3</f>
        <v>91</v>
      </c>
      <c r="K23" s="241">
        <f>((J23-H23)*F23)*12</f>
        <v>26460</v>
      </c>
      <c r="L23" s="241">
        <f>H23*1.1</f>
        <v>77</v>
      </c>
      <c r="M23" s="270">
        <f>((L23-H23)*G23)*12</f>
        <v>3780.000000000001</v>
      </c>
      <c r="N23" s="270">
        <f>K23+M23</f>
        <v>30240</v>
      </c>
      <c r="O23" s="258">
        <v>1</v>
      </c>
      <c r="P23" s="257">
        <f>O23*N23</f>
        <v>30240</v>
      </c>
      <c r="R23" s="236">
        <v>2</v>
      </c>
      <c r="S23" s="236">
        <f>R23*B23</f>
        <v>6</v>
      </c>
      <c r="T23" s="241">
        <f>(2000+1200)*2</f>
        <v>6400</v>
      </c>
      <c r="U23" s="241">
        <f>T23*1.2</f>
        <v>7680</v>
      </c>
      <c r="V23" s="259">
        <f>U23-T23</f>
        <v>1280</v>
      </c>
      <c r="W23" s="260">
        <f>V23*B23</f>
        <v>3840</v>
      </c>
      <c r="X23" s="261">
        <f>N23+W23</f>
        <v>34080</v>
      </c>
      <c r="AB23" s="262">
        <f t="shared" si="2"/>
        <v>0.24</v>
      </c>
      <c r="AC23" s="241">
        <f t="shared" si="4"/>
        <v>7350</v>
      </c>
      <c r="AD23" s="262">
        <f t="shared" si="5"/>
        <v>0.3</v>
      </c>
    </row>
    <row r="24" spans="1:30" ht="18.75" customHeight="1">
      <c r="A24" s="269" t="s">
        <v>354</v>
      </c>
      <c r="B24" s="254">
        <v>2</v>
      </c>
      <c r="C24" s="254">
        <v>50</v>
      </c>
      <c r="D24" s="283">
        <f>B24*C24</f>
        <v>100</v>
      </c>
      <c r="E24" s="256">
        <f>D24*O24</f>
        <v>100</v>
      </c>
      <c r="F24" s="255">
        <f>D24*$F$5</f>
        <v>70</v>
      </c>
      <c r="G24" s="255">
        <f>D24*$G$5</f>
        <v>30.000000000000004</v>
      </c>
      <c r="H24" s="284">
        <v>70</v>
      </c>
      <c r="I24" s="241">
        <f>H24*D24*12</f>
        <v>84000</v>
      </c>
      <c r="J24" s="328">
        <f>H24*1.3</f>
        <v>91</v>
      </c>
      <c r="K24" s="241">
        <f>((J24-H24)*F24)*12</f>
        <v>17640</v>
      </c>
      <c r="L24" s="241">
        <f>H24*1.1</f>
        <v>77</v>
      </c>
      <c r="M24" s="270">
        <f>((L24-H24)*G24)*12</f>
        <v>2520.0000000000005</v>
      </c>
      <c r="N24" s="270">
        <f>K24+M24</f>
        <v>20160</v>
      </c>
      <c r="O24" s="258">
        <v>1</v>
      </c>
      <c r="P24" s="257">
        <f>O24*N24</f>
        <v>20160</v>
      </c>
      <c r="R24" s="236">
        <v>2</v>
      </c>
      <c r="S24" s="236">
        <f>R24*B24</f>
        <v>4</v>
      </c>
      <c r="T24" s="241">
        <f>(2000+1200)*2</f>
        <v>6400</v>
      </c>
      <c r="U24" s="241">
        <f>T24*1.2</f>
        <v>7680</v>
      </c>
      <c r="V24" s="259">
        <f>U24-T24</f>
        <v>1280</v>
      </c>
      <c r="W24" s="260">
        <f>V24*B24</f>
        <v>2560</v>
      </c>
      <c r="X24" s="261">
        <f>N24+W24</f>
        <v>22720</v>
      </c>
      <c r="AB24" s="262">
        <f t="shared" si="2"/>
        <v>0.24</v>
      </c>
      <c r="AC24" s="241">
        <f t="shared" si="4"/>
        <v>4900</v>
      </c>
      <c r="AD24" s="262">
        <f t="shared" si="5"/>
        <v>0.3</v>
      </c>
    </row>
    <row r="25" spans="1:30" ht="16.5" customHeight="1">
      <c r="A25" s="269" t="s">
        <v>355</v>
      </c>
      <c r="B25" s="254" t="s">
        <v>352</v>
      </c>
      <c r="C25" s="254"/>
      <c r="D25" s="283"/>
      <c r="F25" s="241"/>
      <c r="G25" s="241"/>
      <c r="H25" s="285"/>
      <c r="I25" s="285"/>
      <c r="J25" s="328"/>
      <c r="K25" s="241"/>
      <c r="U25" s="241"/>
      <c r="X25" s="236"/>
      <c r="AB25" s="262" t="e">
        <f t="shared" si="2"/>
        <v>#DIV/0!</v>
      </c>
      <c r="AC25" s="241">
        <f t="shared" si="4"/>
        <v>0</v>
      </c>
      <c r="AD25" s="262" t="e">
        <f t="shared" si="5"/>
        <v>#DIV/0!</v>
      </c>
    </row>
    <row r="26" spans="1:30" ht="24.75" customHeight="1">
      <c r="A26" s="271" t="s">
        <v>356</v>
      </c>
      <c r="B26" s="254">
        <v>4</v>
      </c>
      <c r="C26" s="254">
        <v>50</v>
      </c>
      <c r="D26" s="283">
        <f>B26*C26</f>
        <v>200</v>
      </c>
      <c r="E26" s="256">
        <f>D26*O26</f>
        <v>200</v>
      </c>
      <c r="F26" s="255">
        <f>D26*$F$5</f>
        <v>140</v>
      </c>
      <c r="G26" s="255">
        <f>D26*$G$5</f>
        <v>60.00000000000001</v>
      </c>
      <c r="H26" s="284">
        <v>70</v>
      </c>
      <c r="I26" s="241">
        <f>H26*D26*12</f>
        <v>168000</v>
      </c>
      <c r="J26" s="328">
        <f>H26*1.3</f>
        <v>91</v>
      </c>
      <c r="K26" s="241">
        <f>((J26-H26)*F26)*12</f>
        <v>35280</v>
      </c>
      <c r="L26" s="241">
        <f>H26*1.1</f>
        <v>77</v>
      </c>
      <c r="M26" s="270">
        <f>((L26-H26)*G26)*12</f>
        <v>5040.000000000001</v>
      </c>
      <c r="N26" s="270">
        <f>K26+M26</f>
        <v>40320</v>
      </c>
      <c r="O26" s="258">
        <v>1</v>
      </c>
      <c r="P26" s="257">
        <f>O26*N26</f>
        <v>40320</v>
      </c>
      <c r="R26" s="236">
        <v>2</v>
      </c>
      <c r="S26" s="236">
        <f>R26*B26</f>
        <v>8</v>
      </c>
      <c r="T26" s="241">
        <f>(2200+1200)*2</f>
        <v>6800</v>
      </c>
      <c r="U26" s="241">
        <f>T26*1.2</f>
        <v>8160</v>
      </c>
      <c r="V26" s="259">
        <f>U26-T26</f>
        <v>1360</v>
      </c>
      <c r="W26" s="260">
        <f>V26*B26</f>
        <v>5440</v>
      </c>
      <c r="X26" s="261">
        <f>N26+W26</f>
        <v>45760</v>
      </c>
      <c r="AB26" s="262">
        <f t="shared" si="2"/>
        <v>0.24</v>
      </c>
      <c r="AC26" s="241">
        <f t="shared" si="4"/>
        <v>9800</v>
      </c>
      <c r="AD26" s="262">
        <f t="shared" si="5"/>
        <v>0.3</v>
      </c>
    </row>
    <row r="27" spans="1:30" ht="20.25" customHeight="1">
      <c r="A27" s="269" t="s">
        <v>357</v>
      </c>
      <c r="B27" s="254" t="s">
        <v>352</v>
      </c>
      <c r="C27" s="254"/>
      <c r="D27" s="285"/>
      <c r="F27" s="287"/>
      <c r="G27" s="288"/>
      <c r="H27" s="288"/>
      <c r="I27" s="288"/>
      <c r="J27" s="330"/>
      <c r="K27" s="288"/>
      <c r="X27" s="236"/>
      <c r="AB27" s="262" t="e">
        <f t="shared" si="2"/>
        <v>#DIV/0!</v>
      </c>
      <c r="AC27" s="241">
        <f t="shared" si="4"/>
        <v>0</v>
      </c>
      <c r="AD27" s="262" t="e">
        <f t="shared" si="5"/>
        <v>#DIV/0!</v>
      </c>
    </row>
    <row r="28" spans="1:54" s="276" customFormat="1" ht="20.25" customHeight="1">
      <c r="A28" s="272" t="s">
        <v>358</v>
      </c>
      <c r="B28" s="289"/>
      <c r="C28" s="289">
        <f>SUM(C18:C27)</f>
        <v>380</v>
      </c>
      <c r="D28" s="290">
        <f>SUM(D18:D27)</f>
        <v>680</v>
      </c>
      <c r="E28" s="291">
        <f>SUM(E18:E27)</f>
        <v>680</v>
      </c>
      <c r="F28" s="291">
        <f>SUM(F18:F27)</f>
        <v>476</v>
      </c>
      <c r="G28" s="291">
        <f>SUM(G18:G27)</f>
        <v>204.00000000000003</v>
      </c>
      <c r="I28" s="277">
        <f>SUM(I18:I27)</f>
        <v>445200</v>
      </c>
      <c r="J28" s="202"/>
      <c r="K28" s="292">
        <f>SUM(K18:K27)</f>
        <v>93492</v>
      </c>
      <c r="M28" s="278">
        <f>SUM(M23:M27)</f>
        <v>11340.000000000004</v>
      </c>
      <c r="N28" s="292">
        <f>SUM(N18:N27)</f>
        <v>106848</v>
      </c>
      <c r="O28" s="293"/>
      <c r="P28" s="292">
        <f>SUM(P18:P27)</f>
        <v>106848</v>
      </c>
      <c r="S28" s="275">
        <f>SUM(S18:S27)</f>
        <v>248</v>
      </c>
      <c r="T28" s="277">
        <f>SUM(T18:T27)</f>
        <v>479600</v>
      </c>
      <c r="U28" s="277">
        <f>SUM(U18:U27)</f>
        <v>575520</v>
      </c>
      <c r="V28" s="277">
        <f>SUM(V18:V27)</f>
        <v>95920</v>
      </c>
      <c r="W28" s="279">
        <f>SUM(W18:W27)</f>
        <v>103840</v>
      </c>
      <c r="X28" s="277">
        <f>N28+W28</f>
        <v>210688</v>
      </c>
      <c r="Y28" s="240"/>
      <c r="Z28" s="236"/>
      <c r="AA28" s="265">
        <f>P28/E28/12</f>
        <v>13.094117647058823</v>
      </c>
      <c r="AB28" s="266">
        <f t="shared" si="2"/>
        <v>0.24</v>
      </c>
      <c r="AC28" s="279">
        <f>SUM(AC18:AC27)</f>
        <v>25970</v>
      </c>
      <c r="AD28" s="266">
        <f t="shared" si="5"/>
        <v>0.3</v>
      </c>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row>
    <row r="29" spans="1:54" ht="16.5" customHeight="1">
      <c r="A29" s="294" t="s">
        <v>297</v>
      </c>
      <c r="C29" s="254"/>
      <c r="D29" s="285"/>
      <c r="F29" s="285"/>
      <c r="G29" s="285"/>
      <c r="H29" s="252"/>
      <c r="I29" s="252"/>
      <c r="J29" s="331"/>
      <c r="K29" s="288"/>
      <c r="L29" s="285" t="s">
        <v>359</v>
      </c>
      <c r="M29" s="285"/>
      <c r="N29" s="285"/>
      <c r="O29" s="285"/>
      <c r="P29" s="285"/>
      <c r="R29" s="285"/>
      <c r="S29" s="285"/>
      <c r="W29" s="237"/>
      <c r="X29" s="276"/>
      <c r="Y29" s="280"/>
      <c r="Z29" s="276"/>
      <c r="AA29" s="276"/>
      <c r="AB29" s="295"/>
      <c r="AC29" s="277"/>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row>
    <row r="30" spans="1:30" ht="14.25" customHeight="1">
      <c r="A30" s="269" t="s">
        <v>360</v>
      </c>
      <c r="B30" s="254" t="s">
        <v>352</v>
      </c>
      <c r="C30" s="254"/>
      <c r="D30" s="285"/>
      <c r="F30" s="285"/>
      <c r="G30" s="285"/>
      <c r="J30" s="327"/>
      <c r="K30" s="241"/>
      <c r="X30" s="236"/>
      <c r="Y30" s="238"/>
      <c r="AB30" s="262" t="e">
        <f t="shared" si="2"/>
        <v>#DIV/0!</v>
      </c>
      <c r="AC30" s="241">
        <f aca="true" t="shared" si="6" ref="AC30:AC35">F30*H30</f>
        <v>0</v>
      </c>
      <c r="AD30" s="262" t="e">
        <f aca="true" t="shared" si="7" ref="AD30:AD36">K30/AC30/12</f>
        <v>#DIV/0!</v>
      </c>
    </row>
    <row r="31" spans="1:30" ht="18.75" customHeight="1">
      <c r="A31" s="269" t="s">
        <v>361</v>
      </c>
      <c r="B31" s="254" t="s">
        <v>362</v>
      </c>
      <c r="C31" s="254"/>
      <c r="D31" s="283"/>
      <c r="F31" s="283"/>
      <c r="G31" s="283"/>
      <c r="J31" s="327"/>
      <c r="K31" s="241"/>
      <c r="X31" s="236"/>
      <c r="AB31" s="262" t="e">
        <f t="shared" si="2"/>
        <v>#DIV/0!</v>
      </c>
      <c r="AC31" s="241">
        <f t="shared" si="6"/>
        <v>0</v>
      </c>
      <c r="AD31" s="262" t="e">
        <f t="shared" si="7"/>
        <v>#DIV/0!</v>
      </c>
    </row>
    <row r="32" spans="1:30" ht="22.5" customHeight="1">
      <c r="A32" s="271" t="s">
        <v>513</v>
      </c>
      <c r="B32" s="254">
        <v>2</v>
      </c>
      <c r="C32" s="254">
        <v>50</v>
      </c>
      <c r="D32" s="283">
        <f>B32*C32</f>
        <v>100</v>
      </c>
      <c r="E32" s="256">
        <f>D32*O32</f>
        <v>100</v>
      </c>
      <c r="F32" s="255">
        <f>D32*$F$5</f>
        <v>70</v>
      </c>
      <c r="G32" s="255">
        <f>D32*$G$5</f>
        <v>30.000000000000004</v>
      </c>
      <c r="H32" s="241">
        <v>75</v>
      </c>
      <c r="I32" s="241">
        <f>H32*D32*12</f>
        <v>90000</v>
      </c>
      <c r="J32" s="328">
        <f aca="true" t="shared" si="8" ref="J32:J40">H32*1.3</f>
        <v>97.5</v>
      </c>
      <c r="K32" s="241">
        <f>((J32-H32)*F32)*12</f>
        <v>18900</v>
      </c>
      <c r="L32" s="241">
        <f>H32*1.1</f>
        <v>82.5</v>
      </c>
      <c r="M32" s="241">
        <f>((L32-H32)*G32)*12</f>
        <v>2700.0000000000005</v>
      </c>
      <c r="N32" s="241">
        <f>K32+M32</f>
        <v>21600</v>
      </c>
      <c r="O32" s="258">
        <v>1</v>
      </c>
      <c r="P32" s="270">
        <f>O32*N32</f>
        <v>21600</v>
      </c>
      <c r="R32" s="236">
        <v>2</v>
      </c>
      <c r="S32" s="236">
        <f>R32*B32</f>
        <v>4</v>
      </c>
      <c r="T32" s="241">
        <f>(2200+1200)*2</f>
        <v>6800</v>
      </c>
      <c r="U32" s="241">
        <f>T32*1.3</f>
        <v>8840</v>
      </c>
      <c r="V32" s="259">
        <f>U32-T32</f>
        <v>2040</v>
      </c>
      <c r="W32" s="260">
        <f>V32*B32</f>
        <v>4080</v>
      </c>
      <c r="X32" s="261">
        <f>N32+W32</f>
        <v>25680</v>
      </c>
      <c r="AB32" s="262">
        <f t="shared" si="2"/>
        <v>0.24</v>
      </c>
      <c r="AC32" s="241">
        <f t="shared" si="6"/>
        <v>5250</v>
      </c>
      <c r="AD32" s="262">
        <f t="shared" si="7"/>
        <v>0.3</v>
      </c>
    </row>
    <row r="33" spans="1:54" ht="20.25" customHeight="1">
      <c r="A33" s="269" t="s">
        <v>363</v>
      </c>
      <c r="B33" s="254">
        <v>2</v>
      </c>
      <c r="C33" s="254">
        <v>50</v>
      </c>
      <c r="D33" s="283">
        <f>B33*C33</f>
        <v>100</v>
      </c>
      <c r="E33" s="256">
        <f>D33*O33</f>
        <v>100</v>
      </c>
      <c r="F33" s="255">
        <f>D33*$F$5</f>
        <v>70</v>
      </c>
      <c r="G33" s="255">
        <f>D33*$G$5</f>
        <v>30.000000000000004</v>
      </c>
      <c r="H33" s="241">
        <v>75</v>
      </c>
      <c r="I33" s="241">
        <f>H33*D33*12</f>
        <v>90000</v>
      </c>
      <c r="J33" s="328">
        <f t="shared" si="8"/>
        <v>97.5</v>
      </c>
      <c r="K33" s="241">
        <f>((J33-H33)*F33)*12</f>
        <v>18900</v>
      </c>
      <c r="L33" s="241">
        <f>H33*1.1</f>
        <v>82.5</v>
      </c>
      <c r="M33" s="241">
        <f>((L33-H33)*G33)*12</f>
        <v>2700.0000000000005</v>
      </c>
      <c r="N33" s="241">
        <f>K33+M33</f>
        <v>21600</v>
      </c>
      <c r="O33" s="258">
        <v>1</v>
      </c>
      <c r="P33" s="270">
        <f>O33*N33</f>
        <v>21600</v>
      </c>
      <c r="R33" s="236">
        <v>2</v>
      </c>
      <c r="S33" s="236">
        <f>R33*B33</f>
        <v>4</v>
      </c>
      <c r="T33" s="241">
        <f>(2200+1200)*2</f>
        <v>6800</v>
      </c>
      <c r="U33" s="241">
        <f>T33*1.3</f>
        <v>8840</v>
      </c>
      <c r="V33" s="259">
        <f>U33-T33</f>
        <v>2040</v>
      </c>
      <c r="W33" s="260">
        <f>V33*B33</f>
        <v>4080</v>
      </c>
      <c r="X33" s="261">
        <f>N33+W33</f>
        <v>25680</v>
      </c>
      <c r="Y33" s="280"/>
      <c r="Z33" s="276"/>
      <c r="AA33" s="276"/>
      <c r="AB33" s="262">
        <f t="shared" si="2"/>
        <v>0.24</v>
      </c>
      <c r="AC33" s="241">
        <f t="shared" si="6"/>
        <v>5250</v>
      </c>
      <c r="AD33" s="262">
        <f t="shared" si="7"/>
        <v>0.3</v>
      </c>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row>
    <row r="34" spans="1:30" ht="22.5" customHeight="1">
      <c r="A34" s="271" t="s">
        <v>364</v>
      </c>
      <c r="B34" s="254">
        <v>2</v>
      </c>
      <c r="C34" s="254">
        <v>50</v>
      </c>
      <c r="D34" s="283">
        <f>B34*C34</f>
        <v>100</v>
      </c>
      <c r="E34" s="256">
        <f>D34*O34</f>
        <v>100</v>
      </c>
      <c r="F34" s="255">
        <f>D34*$F$5</f>
        <v>70</v>
      </c>
      <c r="G34" s="255">
        <f>D34*$G$5</f>
        <v>30.000000000000004</v>
      </c>
      <c r="H34" s="241">
        <v>75</v>
      </c>
      <c r="I34" s="241">
        <f>H34*D34*12</f>
        <v>90000</v>
      </c>
      <c r="J34" s="328">
        <f t="shared" si="8"/>
        <v>97.5</v>
      </c>
      <c r="K34" s="241">
        <f>((J34-H34)*F34)*12</f>
        <v>18900</v>
      </c>
      <c r="L34" s="241">
        <f>H34*1.1</f>
        <v>82.5</v>
      </c>
      <c r="M34" s="241">
        <f>((L34-H34)*G34)*12</f>
        <v>2700.0000000000005</v>
      </c>
      <c r="N34" s="241">
        <f>K34+M34</f>
        <v>21600</v>
      </c>
      <c r="O34" s="258">
        <v>1</v>
      </c>
      <c r="P34" s="270">
        <f>O34*N34</f>
        <v>21600</v>
      </c>
      <c r="R34" s="236">
        <v>2</v>
      </c>
      <c r="S34" s="236">
        <f>R34*B34</f>
        <v>4</v>
      </c>
      <c r="T34" s="241">
        <f>(2200+1200)*2</f>
        <v>6800</v>
      </c>
      <c r="U34" s="241">
        <f>T34*1.3</f>
        <v>8840</v>
      </c>
      <c r="V34" s="259">
        <f>U34-T34</f>
        <v>2040</v>
      </c>
      <c r="W34" s="260">
        <f>V34*B34</f>
        <v>4080</v>
      </c>
      <c r="X34" s="261">
        <f>N34+W34</f>
        <v>25680</v>
      </c>
      <c r="Y34" s="238"/>
      <c r="AB34" s="262">
        <f t="shared" si="2"/>
        <v>0.24</v>
      </c>
      <c r="AC34" s="241">
        <f t="shared" si="6"/>
        <v>5250</v>
      </c>
      <c r="AD34" s="262">
        <f t="shared" si="7"/>
        <v>0.3</v>
      </c>
    </row>
    <row r="35" spans="1:30" ht="21.75" customHeight="1">
      <c r="A35" s="271" t="s">
        <v>365</v>
      </c>
      <c r="B35" s="254">
        <v>2</v>
      </c>
      <c r="C35" s="254">
        <v>50</v>
      </c>
      <c r="D35" s="283">
        <f>B35*C35</f>
        <v>100</v>
      </c>
      <c r="E35" s="256">
        <f>D35*O35</f>
        <v>100</v>
      </c>
      <c r="F35" s="255">
        <f>D35*$F$5</f>
        <v>70</v>
      </c>
      <c r="G35" s="255">
        <f>D35*$G$5</f>
        <v>30.000000000000004</v>
      </c>
      <c r="H35" s="241">
        <v>75</v>
      </c>
      <c r="I35" s="241">
        <f>H35*D35*12</f>
        <v>90000</v>
      </c>
      <c r="J35" s="328">
        <f t="shared" si="8"/>
        <v>97.5</v>
      </c>
      <c r="K35" s="241">
        <f>((J35-H35)*F35)*12</f>
        <v>18900</v>
      </c>
      <c r="L35" s="241">
        <f>H35*1.1</f>
        <v>82.5</v>
      </c>
      <c r="M35" s="241">
        <f>((L35-H35)*G35)*12</f>
        <v>2700.0000000000005</v>
      </c>
      <c r="N35" s="241">
        <f>K35+M35</f>
        <v>21600</v>
      </c>
      <c r="O35" s="258">
        <v>1</v>
      </c>
      <c r="P35" s="270">
        <f>O35*N35</f>
        <v>21600</v>
      </c>
      <c r="R35" s="236">
        <v>2</v>
      </c>
      <c r="S35" s="236">
        <f>R35*B35</f>
        <v>4</v>
      </c>
      <c r="T35" s="241">
        <f>(2200+1200)*2</f>
        <v>6800</v>
      </c>
      <c r="U35" s="241">
        <f>T35*1.3</f>
        <v>8840</v>
      </c>
      <c r="V35" s="259">
        <f>U35-T35</f>
        <v>2040</v>
      </c>
      <c r="W35" s="260">
        <f>V35*B35</f>
        <v>4080</v>
      </c>
      <c r="X35" s="261">
        <f>N35+W35</f>
        <v>25680</v>
      </c>
      <c r="AB35" s="262">
        <f t="shared" si="2"/>
        <v>0.24</v>
      </c>
      <c r="AC35" s="241">
        <f t="shared" si="6"/>
        <v>5250</v>
      </c>
      <c r="AD35" s="262">
        <f t="shared" si="7"/>
        <v>0.3</v>
      </c>
    </row>
    <row r="36" spans="1:54" s="276" customFormat="1" ht="21.75" customHeight="1">
      <c r="A36" s="296" t="s">
        <v>366</v>
      </c>
      <c r="B36" s="289"/>
      <c r="C36" s="289">
        <f>SUM(C30:C35)</f>
        <v>200</v>
      </c>
      <c r="D36" s="290">
        <f>SUM(D30:D35)</f>
        <v>400</v>
      </c>
      <c r="E36" s="290">
        <f>SUM(E30:E35)</f>
        <v>400</v>
      </c>
      <c r="F36" s="297">
        <f>D36*0.7</f>
        <v>280</v>
      </c>
      <c r="G36" s="255">
        <f>D36*0.3</f>
        <v>120</v>
      </c>
      <c r="H36" s="241">
        <v>75</v>
      </c>
      <c r="I36" s="241">
        <f>SUM(I32:I35)</f>
        <v>360000</v>
      </c>
      <c r="J36" s="328">
        <f t="shared" si="8"/>
        <v>97.5</v>
      </c>
      <c r="K36" s="241">
        <f>SUM(K32:K35)</f>
        <v>75600</v>
      </c>
      <c r="L36" s="241">
        <f>H36*1.1</f>
        <v>82.5</v>
      </c>
      <c r="M36" s="241">
        <f>SUM(M32:M35)</f>
        <v>10800.000000000002</v>
      </c>
      <c r="N36" s="241">
        <f>SUM(N32:N35)</f>
        <v>86400</v>
      </c>
      <c r="O36" s="241"/>
      <c r="P36" s="298">
        <f>SUM(P32:P35)</f>
        <v>86400</v>
      </c>
      <c r="S36" s="275">
        <f>SUM(S32:S35)</f>
        <v>16</v>
      </c>
      <c r="T36" s="277">
        <f>SUM(T32:T35)</f>
        <v>27200</v>
      </c>
      <c r="U36" s="277">
        <f>SUM(U32:U35)</f>
        <v>35360</v>
      </c>
      <c r="V36" s="277">
        <f>SUM(V32:V35)</f>
        <v>8160</v>
      </c>
      <c r="W36" s="279">
        <f>SUM(W30:W35)</f>
        <v>16320</v>
      </c>
      <c r="X36" s="277">
        <f>N36+W36</f>
        <v>102720</v>
      </c>
      <c r="Y36" s="240"/>
      <c r="Z36" s="236"/>
      <c r="AA36" s="265">
        <f>P36/E36/12</f>
        <v>18</v>
      </c>
      <c r="AB36" s="266">
        <f t="shared" si="2"/>
        <v>0.24</v>
      </c>
      <c r="AC36" s="279">
        <f>SUM(AC30:AC35)</f>
        <v>21000</v>
      </c>
      <c r="AD36" s="266">
        <f t="shared" si="7"/>
        <v>0.3</v>
      </c>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row>
    <row r="37" spans="1:28" ht="19.5" customHeight="1">
      <c r="A37" s="299" t="s">
        <v>296</v>
      </c>
      <c r="B37" s="254"/>
      <c r="C37" s="254"/>
      <c r="D37" s="300"/>
      <c r="F37" s="300"/>
      <c r="G37" s="300"/>
      <c r="J37" s="327"/>
      <c r="K37" s="241"/>
      <c r="M37" s="241"/>
      <c r="N37" s="241"/>
      <c r="O37" s="241"/>
      <c r="P37" s="241"/>
      <c r="W37" s="237"/>
      <c r="X37" s="237"/>
      <c r="AB37" s="262"/>
    </row>
    <row r="38" spans="1:30" ht="24.75" customHeight="1">
      <c r="A38" s="271" t="s">
        <v>367</v>
      </c>
      <c r="B38" s="254">
        <v>4</v>
      </c>
      <c r="C38" s="254">
        <v>50</v>
      </c>
      <c r="D38" s="301">
        <f>B38*C38</f>
        <v>200</v>
      </c>
      <c r="E38" s="256">
        <f>D38*O38</f>
        <v>200</v>
      </c>
      <c r="F38" s="255">
        <f>D38*$F$5</f>
        <v>140</v>
      </c>
      <c r="G38" s="255">
        <f>D38*$G$5</f>
        <v>60.00000000000001</v>
      </c>
      <c r="H38" s="241">
        <v>75</v>
      </c>
      <c r="I38" s="241">
        <f>H38*D38*12</f>
        <v>180000</v>
      </c>
      <c r="J38" s="328">
        <f t="shared" si="8"/>
        <v>97.5</v>
      </c>
      <c r="K38" s="241">
        <f aca="true" t="shared" si="9" ref="K38:K54">((J38-H38)*F38)*12</f>
        <v>37800</v>
      </c>
      <c r="L38" s="241">
        <f>H38*1.1</f>
        <v>82.5</v>
      </c>
      <c r="M38" s="241">
        <f>((L38-H38)*G38)*12</f>
        <v>5400.000000000001</v>
      </c>
      <c r="N38" s="241">
        <f>K38+M38</f>
        <v>43200</v>
      </c>
      <c r="O38" s="258">
        <v>1</v>
      </c>
      <c r="P38" s="270">
        <f>O38*N38</f>
        <v>43200</v>
      </c>
      <c r="R38" s="236">
        <v>2</v>
      </c>
      <c r="S38" s="236">
        <f>R38*B38</f>
        <v>8</v>
      </c>
      <c r="T38" s="241">
        <f>(2200+1200)*2</f>
        <v>6800</v>
      </c>
      <c r="U38" s="241">
        <f>T38*1.3</f>
        <v>8840</v>
      </c>
      <c r="V38" s="259">
        <f>U38-T38</f>
        <v>2040</v>
      </c>
      <c r="W38" s="260">
        <f>V38*B38</f>
        <v>8160</v>
      </c>
      <c r="X38" s="261">
        <f>N38+W38</f>
        <v>51360</v>
      </c>
      <c r="AB38" s="262">
        <f t="shared" si="2"/>
        <v>0.24</v>
      </c>
      <c r="AC38" s="241">
        <f>F38*H38</f>
        <v>10500</v>
      </c>
      <c r="AD38" s="262">
        <f>K38/AC38/12</f>
        <v>0.3</v>
      </c>
    </row>
    <row r="39" spans="1:30" ht="15.75" customHeight="1">
      <c r="A39" s="269" t="s">
        <v>368</v>
      </c>
      <c r="B39" s="254">
        <v>4</v>
      </c>
      <c r="C39" s="254">
        <v>50</v>
      </c>
      <c r="D39" s="301">
        <f>B39*C39</f>
        <v>200</v>
      </c>
      <c r="E39" s="256">
        <f>D39*O39</f>
        <v>200</v>
      </c>
      <c r="F39" s="255">
        <f>D39*$F$5</f>
        <v>140</v>
      </c>
      <c r="G39" s="255">
        <f>D39*$G$5</f>
        <v>60.00000000000001</v>
      </c>
      <c r="H39" s="241">
        <v>75</v>
      </c>
      <c r="I39" s="241">
        <f>H39*D39*12</f>
        <v>180000</v>
      </c>
      <c r="J39" s="328">
        <f t="shared" si="8"/>
        <v>97.5</v>
      </c>
      <c r="K39" s="241">
        <f t="shared" si="9"/>
        <v>37800</v>
      </c>
      <c r="L39" s="241">
        <f>H39*1.1</f>
        <v>82.5</v>
      </c>
      <c r="M39" s="241">
        <f>((L39-H39)*G39)*12</f>
        <v>5400.000000000001</v>
      </c>
      <c r="N39" s="241">
        <f>K39+M39</f>
        <v>43200</v>
      </c>
      <c r="O39" s="258">
        <v>1</v>
      </c>
      <c r="P39" s="270">
        <f>O39*N39</f>
        <v>43200</v>
      </c>
      <c r="R39" s="236">
        <v>2</v>
      </c>
      <c r="S39" s="236">
        <f>R39*B39</f>
        <v>8</v>
      </c>
      <c r="T39" s="241">
        <f>(2200+1200)*2</f>
        <v>6800</v>
      </c>
      <c r="U39" s="241">
        <f>T39*1.3</f>
        <v>8840</v>
      </c>
      <c r="V39" s="259">
        <f>U39-T39</f>
        <v>2040</v>
      </c>
      <c r="W39" s="260">
        <f>V39*B39</f>
        <v>8160</v>
      </c>
      <c r="X39" s="261">
        <f>N39+W39</f>
        <v>51360</v>
      </c>
      <c r="AB39" s="262">
        <f t="shared" si="2"/>
        <v>0.24</v>
      </c>
      <c r="AC39" s="241">
        <f>F39*H39</f>
        <v>10500</v>
      </c>
      <c r="AD39" s="262">
        <f>K39/AC39/12</f>
        <v>0.3</v>
      </c>
    </row>
    <row r="40" spans="1:54" s="276" customFormat="1" ht="15.75" customHeight="1">
      <c r="A40" s="272" t="s">
        <v>369</v>
      </c>
      <c r="B40" s="289"/>
      <c r="C40" s="289">
        <f>SUM(C38:C39)</f>
        <v>100</v>
      </c>
      <c r="D40" s="290">
        <f>SUM(D38:D39)</f>
        <v>400</v>
      </c>
      <c r="E40" s="290">
        <f>SUM(E38:E39)</f>
        <v>400</v>
      </c>
      <c r="F40" s="297">
        <f>D40*0.7</f>
        <v>280</v>
      </c>
      <c r="G40" s="255">
        <f>D40*0.3</f>
        <v>120</v>
      </c>
      <c r="H40" s="241">
        <v>75</v>
      </c>
      <c r="I40" s="241">
        <f>SUM(I38:I39)</f>
        <v>360000</v>
      </c>
      <c r="J40" s="328">
        <f t="shared" si="8"/>
        <v>97.5</v>
      </c>
      <c r="K40" s="241">
        <f>SUM(K38:K39)</f>
        <v>75600</v>
      </c>
      <c r="L40" s="241">
        <f>H40*1.1</f>
        <v>82.5</v>
      </c>
      <c r="M40" s="241">
        <f>SUM(M38:M39)</f>
        <v>10800.000000000002</v>
      </c>
      <c r="N40" s="241">
        <f>SUM(N38:N39)</f>
        <v>86400</v>
      </c>
      <c r="O40" s="241"/>
      <c r="P40" s="298">
        <f>SUM(P38:P39)</f>
        <v>86400</v>
      </c>
      <c r="T40" s="277">
        <f>SUM(T36:T39)</f>
        <v>40800</v>
      </c>
      <c r="U40" s="277">
        <f>SUM(U36:U39)</f>
        <v>53040</v>
      </c>
      <c r="V40" s="277">
        <f>SUM(V36:V39)</f>
        <v>12240</v>
      </c>
      <c r="W40" s="279">
        <f>SUM(W38:W39)</f>
        <v>16320</v>
      </c>
      <c r="X40" s="277">
        <f>N40+W40</f>
        <v>102720</v>
      </c>
      <c r="Y40" s="240"/>
      <c r="Z40" s="236"/>
      <c r="AA40" s="265">
        <f>P40/E40/12</f>
        <v>18</v>
      </c>
      <c r="AB40" s="266">
        <f t="shared" si="2"/>
        <v>0.24</v>
      </c>
      <c r="AC40" s="279">
        <f>SUM(AC38:AC39)</f>
        <v>21000</v>
      </c>
      <c r="AD40" s="266">
        <f>K40/AC40/12</f>
        <v>0.3</v>
      </c>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row>
    <row r="41" spans="1:28" ht="18.75" customHeight="1">
      <c r="A41" s="294" t="s">
        <v>295</v>
      </c>
      <c r="C41" s="254"/>
      <c r="D41" s="285"/>
      <c r="F41" s="285"/>
      <c r="G41" s="285"/>
      <c r="J41" s="327"/>
      <c r="K41" s="241"/>
      <c r="M41" s="241"/>
      <c r="N41" s="241"/>
      <c r="O41" s="241"/>
      <c r="P41" s="241"/>
      <c r="W41" s="237"/>
      <c r="X41" s="237"/>
      <c r="AB41" s="262"/>
    </row>
    <row r="42" spans="1:30" ht="20.25" customHeight="1">
      <c r="A42" s="269" t="s">
        <v>370</v>
      </c>
      <c r="B42" s="254">
        <v>1</v>
      </c>
      <c r="C42" s="254">
        <v>50</v>
      </c>
      <c r="D42" s="283">
        <f aca="true" t="shared" si="10" ref="D42:D48">B42*C42</f>
        <v>50</v>
      </c>
      <c r="E42" s="256">
        <f aca="true" t="shared" si="11" ref="E42:E48">D42*O42</f>
        <v>50</v>
      </c>
      <c r="F42" s="255">
        <f aca="true" t="shared" si="12" ref="F42:F48">D42*$F$5</f>
        <v>35</v>
      </c>
      <c r="G42" s="255">
        <f aca="true" t="shared" si="13" ref="G42:G48">D42*$G$5</f>
        <v>15.000000000000002</v>
      </c>
      <c r="H42" s="241">
        <v>135</v>
      </c>
      <c r="I42" s="241">
        <f aca="true" t="shared" si="14" ref="I42:I48">H42*D42*12</f>
        <v>81000</v>
      </c>
      <c r="J42" s="327">
        <v>210</v>
      </c>
      <c r="K42" s="241">
        <f t="shared" si="9"/>
        <v>31500</v>
      </c>
      <c r="L42" s="241">
        <f aca="true" t="shared" si="15" ref="L42:L49">H42*1.1</f>
        <v>148.5</v>
      </c>
      <c r="M42" s="241">
        <f aca="true" t="shared" si="16" ref="M42:M48">((L42-H42)*G42)*12</f>
        <v>2430.0000000000005</v>
      </c>
      <c r="N42" s="241">
        <f aca="true" t="shared" si="17" ref="N42:N48">K42+M42</f>
        <v>33930</v>
      </c>
      <c r="O42" s="258">
        <v>1</v>
      </c>
      <c r="P42" s="241">
        <f aca="true" t="shared" si="18" ref="P42:P54">N42/O42</f>
        <v>33930</v>
      </c>
      <c r="R42" s="236">
        <v>4</v>
      </c>
      <c r="S42" s="236">
        <f aca="true" t="shared" si="19" ref="S42:S48">R42*B42</f>
        <v>4</v>
      </c>
      <c r="T42" s="241">
        <f>(2250*2)+(1400*2)</f>
        <v>7300</v>
      </c>
      <c r="U42" s="241">
        <f>(4175*2)+(1400*2*1.3)</f>
        <v>11990</v>
      </c>
      <c r="V42" s="259">
        <f aca="true" t="shared" si="20" ref="V42:V48">U42-T42</f>
        <v>4690</v>
      </c>
      <c r="W42" s="260">
        <f aca="true" t="shared" si="21" ref="W42:W48">V42*B42</f>
        <v>4690</v>
      </c>
      <c r="X42" s="261">
        <f aca="true" t="shared" si="22" ref="X42:X49">N42+W42</f>
        <v>38620</v>
      </c>
      <c r="AB42" s="262">
        <f t="shared" si="2"/>
        <v>0.41888888888888887</v>
      </c>
      <c r="AC42" s="241">
        <f aca="true" t="shared" si="23" ref="AC42:AC48">F42*H42</f>
        <v>4725</v>
      </c>
      <c r="AD42" s="262">
        <f aca="true" t="shared" si="24" ref="AD42:AD49">K42/AC42/12</f>
        <v>0.5555555555555556</v>
      </c>
    </row>
    <row r="43" spans="1:54" ht="24" customHeight="1">
      <c r="A43" s="271" t="s">
        <v>371</v>
      </c>
      <c r="B43" s="254">
        <v>2</v>
      </c>
      <c r="C43" s="254">
        <v>50</v>
      </c>
      <c r="D43" s="283">
        <f t="shared" si="10"/>
        <v>100</v>
      </c>
      <c r="E43" s="256">
        <f t="shared" si="11"/>
        <v>100</v>
      </c>
      <c r="F43" s="255">
        <f t="shared" si="12"/>
        <v>70</v>
      </c>
      <c r="G43" s="255">
        <f t="shared" si="13"/>
        <v>30.000000000000004</v>
      </c>
      <c r="H43" s="241">
        <v>135</v>
      </c>
      <c r="I43" s="241">
        <f t="shared" si="14"/>
        <v>162000</v>
      </c>
      <c r="J43" s="327">
        <v>210</v>
      </c>
      <c r="K43" s="241">
        <f t="shared" si="9"/>
        <v>63000</v>
      </c>
      <c r="L43" s="241">
        <f t="shared" si="15"/>
        <v>148.5</v>
      </c>
      <c r="M43" s="241">
        <f t="shared" si="16"/>
        <v>4860.000000000001</v>
      </c>
      <c r="N43" s="241">
        <f t="shared" si="17"/>
        <v>67860</v>
      </c>
      <c r="O43" s="258">
        <v>1</v>
      </c>
      <c r="P43" s="241">
        <f t="shared" si="18"/>
        <v>67860</v>
      </c>
      <c r="R43" s="236">
        <v>4</v>
      </c>
      <c r="S43" s="236">
        <f t="shared" si="19"/>
        <v>8</v>
      </c>
      <c r="T43" s="241">
        <f aca="true" t="shared" si="25" ref="T43:T48">(2250*2)+(1400*2)</f>
        <v>7300</v>
      </c>
      <c r="U43" s="241">
        <f aca="true" t="shared" si="26" ref="U43:U48">(4175*2)+(1400*2*1.3)</f>
        <v>11990</v>
      </c>
      <c r="V43" s="259">
        <f t="shared" si="20"/>
        <v>4690</v>
      </c>
      <c r="W43" s="260">
        <f t="shared" si="21"/>
        <v>9380</v>
      </c>
      <c r="X43" s="261">
        <f t="shared" si="22"/>
        <v>77240</v>
      </c>
      <c r="Y43" s="280"/>
      <c r="Z43" s="276"/>
      <c r="AA43" s="276"/>
      <c r="AB43" s="262">
        <f t="shared" si="2"/>
        <v>0.41888888888888887</v>
      </c>
      <c r="AC43" s="241">
        <f t="shared" si="23"/>
        <v>9450</v>
      </c>
      <c r="AD43" s="262">
        <f t="shared" si="24"/>
        <v>0.5555555555555556</v>
      </c>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row>
    <row r="44" spans="1:30" ht="21" customHeight="1">
      <c r="A44" s="269" t="s">
        <v>372</v>
      </c>
      <c r="B44" s="254">
        <v>2</v>
      </c>
      <c r="C44" s="254">
        <v>50</v>
      </c>
      <c r="D44" s="283">
        <f t="shared" si="10"/>
        <v>100</v>
      </c>
      <c r="E44" s="256">
        <f t="shared" si="11"/>
        <v>100</v>
      </c>
      <c r="F44" s="255">
        <f t="shared" si="12"/>
        <v>70</v>
      </c>
      <c r="G44" s="255">
        <f t="shared" si="13"/>
        <v>30.000000000000004</v>
      </c>
      <c r="H44" s="241">
        <v>135</v>
      </c>
      <c r="I44" s="241">
        <f t="shared" si="14"/>
        <v>162000</v>
      </c>
      <c r="J44" s="327">
        <v>210</v>
      </c>
      <c r="K44" s="241">
        <f t="shared" si="9"/>
        <v>63000</v>
      </c>
      <c r="L44" s="241">
        <f t="shared" si="15"/>
        <v>148.5</v>
      </c>
      <c r="M44" s="241">
        <f t="shared" si="16"/>
        <v>4860.000000000001</v>
      </c>
      <c r="N44" s="241">
        <f t="shared" si="17"/>
        <v>67860</v>
      </c>
      <c r="O44" s="258">
        <v>1</v>
      </c>
      <c r="P44" s="241">
        <f t="shared" si="18"/>
        <v>67860</v>
      </c>
      <c r="R44" s="236">
        <v>4</v>
      </c>
      <c r="S44" s="236">
        <f t="shared" si="19"/>
        <v>8</v>
      </c>
      <c r="T44" s="241">
        <f t="shared" si="25"/>
        <v>7300</v>
      </c>
      <c r="U44" s="241">
        <f t="shared" si="26"/>
        <v>11990</v>
      </c>
      <c r="V44" s="259">
        <f t="shared" si="20"/>
        <v>4690</v>
      </c>
      <c r="W44" s="260">
        <f t="shared" si="21"/>
        <v>9380</v>
      </c>
      <c r="X44" s="261">
        <f t="shared" si="22"/>
        <v>77240</v>
      </c>
      <c r="Y44" s="238"/>
      <c r="AB44" s="262">
        <f t="shared" si="2"/>
        <v>0.41888888888888887</v>
      </c>
      <c r="AC44" s="241">
        <f t="shared" si="23"/>
        <v>9450</v>
      </c>
      <c r="AD44" s="262">
        <f t="shared" si="24"/>
        <v>0.5555555555555556</v>
      </c>
    </row>
    <row r="45" spans="1:30" ht="19.5" customHeight="1">
      <c r="A45" s="269" t="s">
        <v>373</v>
      </c>
      <c r="B45" s="254">
        <v>2</v>
      </c>
      <c r="C45" s="254">
        <v>50</v>
      </c>
      <c r="D45" s="283">
        <f t="shared" si="10"/>
        <v>100</v>
      </c>
      <c r="E45" s="256">
        <f t="shared" si="11"/>
        <v>100</v>
      </c>
      <c r="F45" s="255">
        <f t="shared" si="12"/>
        <v>70</v>
      </c>
      <c r="G45" s="255">
        <f t="shared" si="13"/>
        <v>30.000000000000004</v>
      </c>
      <c r="H45" s="241">
        <v>135</v>
      </c>
      <c r="I45" s="241">
        <f t="shared" si="14"/>
        <v>162000</v>
      </c>
      <c r="J45" s="327">
        <v>210</v>
      </c>
      <c r="K45" s="241">
        <f t="shared" si="9"/>
        <v>63000</v>
      </c>
      <c r="L45" s="241">
        <f t="shared" si="15"/>
        <v>148.5</v>
      </c>
      <c r="M45" s="241">
        <f t="shared" si="16"/>
        <v>4860.000000000001</v>
      </c>
      <c r="N45" s="241">
        <f t="shared" si="17"/>
        <v>67860</v>
      </c>
      <c r="O45" s="258">
        <v>1</v>
      </c>
      <c r="P45" s="241">
        <f t="shared" si="18"/>
        <v>67860</v>
      </c>
      <c r="R45" s="236">
        <v>4</v>
      </c>
      <c r="S45" s="236">
        <f t="shared" si="19"/>
        <v>8</v>
      </c>
      <c r="T45" s="241">
        <f t="shared" si="25"/>
        <v>7300</v>
      </c>
      <c r="U45" s="241">
        <f t="shared" si="26"/>
        <v>11990</v>
      </c>
      <c r="V45" s="259">
        <f t="shared" si="20"/>
        <v>4690</v>
      </c>
      <c r="W45" s="260">
        <f t="shared" si="21"/>
        <v>9380</v>
      </c>
      <c r="X45" s="261">
        <f t="shared" si="22"/>
        <v>77240</v>
      </c>
      <c r="AB45" s="262">
        <f t="shared" si="2"/>
        <v>0.41888888888888887</v>
      </c>
      <c r="AC45" s="241">
        <f t="shared" si="23"/>
        <v>9450</v>
      </c>
      <c r="AD45" s="262">
        <f t="shared" si="24"/>
        <v>0.5555555555555556</v>
      </c>
    </row>
    <row r="46" spans="1:30" ht="20.25" customHeight="1">
      <c r="A46" s="269" t="s">
        <v>374</v>
      </c>
      <c r="B46" s="254">
        <v>2</v>
      </c>
      <c r="C46" s="254">
        <v>50</v>
      </c>
      <c r="D46" s="283">
        <f t="shared" si="10"/>
        <v>100</v>
      </c>
      <c r="E46" s="256">
        <f t="shared" si="11"/>
        <v>100</v>
      </c>
      <c r="F46" s="255">
        <f t="shared" si="12"/>
        <v>70</v>
      </c>
      <c r="G46" s="255">
        <f t="shared" si="13"/>
        <v>30.000000000000004</v>
      </c>
      <c r="H46" s="241">
        <v>135</v>
      </c>
      <c r="I46" s="241">
        <f t="shared" si="14"/>
        <v>162000</v>
      </c>
      <c r="J46" s="327">
        <v>210</v>
      </c>
      <c r="K46" s="241">
        <f t="shared" si="9"/>
        <v>63000</v>
      </c>
      <c r="L46" s="241">
        <f t="shared" si="15"/>
        <v>148.5</v>
      </c>
      <c r="M46" s="241">
        <f t="shared" si="16"/>
        <v>4860.000000000001</v>
      </c>
      <c r="N46" s="241">
        <f t="shared" si="17"/>
        <v>67860</v>
      </c>
      <c r="O46" s="258">
        <v>1</v>
      </c>
      <c r="P46" s="241">
        <f t="shared" si="18"/>
        <v>67860</v>
      </c>
      <c r="R46" s="236">
        <v>4</v>
      </c>
      <c r="S46" s="236">
        <f t="shared" si="19"/>
        <v>8</v>
      </c>
      <c r="T46" s="241">
        <f t="shared" si="25"/>
        <v>7300</v>
      </c>
      <c r="U46" s="241">
        <f t="shared" si="26"/>
        <v>11990</v>
      </c>
      <c r="V46" s="259">
        <f t="shared" si="20"/>
        <v>4690</v>
      </c>
      <c r="W46" s="260">
        <f t="shared" si="21"/>
        <v>9380</v>
      </c>
      <c r="X46" s="261">
        <f t="shared" si="22"/>
        <v>77240</v>
      </c>
      <c r="AB46" s="262">
        <f t="shared" si="2"/>
        <v>0.41888888888888887</v>
      </c>
      <c r="AC46" s="241">
        <f t="shared" si="23"/>
        <v>9450</v>
      </c>
      <c r="AD46" s="262">
        <f t="shared" si="24"/>
        <v>0.5555555555555556</v>
      </c>
    </row>
    <row r="47" spans="1:30" ht="22.5" customHeight="1">
      <c r="A47" s="269" t="s">
        <v>375</v>
      </c>
      <c r="B47" s="254">
        <v>2</v>
      </c>
      <c r="C47" s="254">
        <v>50</v>
      </c>
      <c r="D47" s="283">
        <f t="shared" si="10"/>
        <v>100</v>
      </c>
      <c r="E47" s="256">
        <f t="shared" si="11"/>
        <v>100</v>
      </c>
      <c r="F47" s="255">
        <f t="shared" si="12"/>
        <v>70</v>
      </c>
      <c r="G47" s="255">
        <f t="shared" si="13"/>
        <v>30.000000000000004</v>
      </c>
      <c r="H47" s="241">
        <v>135</v>
      </c>
      <c r="I47" s="241">
        <f t="shared" si="14"/>
        <v>162000</v>
      </c>
      <c r="J47" s="327">
        <v>210</v>
      </c>
      <c r="K47" s="241">
        <f t="shared" si="9"/>
        <v>63000</v>
      </c>
      <c r="L47" s="241">
        <f t="shared" si="15"/>
        <v>148.5</v>
      </c>
      <c r="M47" s="241">
        <f t="shared" si="16"/>
        <v>4860.000000000001</v>
      </c>
      <c r="N47" s="241">
        <f t="shared" si="17"/>
        <v>67860</v>
      </c>
      <c r="O47" s="258">
        <v>1</v>
      </c>
      <c r="P47" s="241">
        <f t="shared" si="18"/>
        <v>67860</v>
      </c>
      <c r="R47" s="236">
        <v>4</v>
      </c>
      <c r="S47" s="236">
        <f t="shared" si="19"/>
        <v>8</v>
      </c>
      <c r="T47" s="241">
        <f t="shared" si="25"/>
        <v>7300</v>
      </c>
      <c r="U47" s="241">
        <f t="shared" si="26"/>
        <v>11990</v>
      </c>
      <c r="V47" s="259">
        <f t="shared" si="20"/>
        <v>4690</v>
      </c>
      <c r="W47" s="260">
        <f t="shared" si="21"/>
        <v>9380</v>
      </c>
      <c r="X47" s="261">
        <f t="shared" si="22"/>
        <v>77240</v>
      </c>
      <c r="AB47" s="262">
        <f t="shared" si="2"/>
        <v>0.41888888888888887</v>
      </c>
      <c r="AC47" s="241">
        <f t="shared" si="23"/>
        <v>9450</v>
      </c>
      <c r="AD47" s="262">
        <f t="shared" si="24"/>
        <v>0.5555555555555556</v>
      </c>
    </row>
    <row r="48" spans="1:30" ht="19.5" customHeight="1">
      <c r="A48" s="269" t="s">
        <v>376</v>
      </c>
      <c r="B48" s="254">
        <v>2</v>
      </c>
      <c r="C48" s="254">
        <v>50</v>
      </c>
      <c r="D48" s="283">
        <f t="shared" si="10"/>
        <v>100</v>
      </c>
      <c r="E48" s="256">
        <f t="shared" si="11"/>
        <v>100</v>
      </c>
      <c r="F48" s="255">
        <f t="shared" si="12"/>
        <v>70</v>
      </c>
      <c r="G48" s="255">
        <f t="shared" si="13"/>
        <v>30.000000000000004</v>
      </c>
      <c r="H48" s="241">
        <v>135</v>
      </c>
      <c r="I48" s="241">
        <f t="shared" si="14"/>
        <v>162000</v>
      </c>
      <c r="J48" s="327">
        <v>210</v>
      </c>
      <c r="K48" s="241">
        <f t="shared" si="9"/>
        <v>63000</v>
      </c>
      <c r="L48" s="241">
        <f t="shared" si="15"/>
        <v>148.5</v>
      </c>
      <c r="M48" s="241">
        <f t="shared" si="16"/>
        <v>4860.000000000001</v>
      </c>
      <c r="N48" s="241">
        <f t="shared" si="17"/>
        <v>67860</v>
      </c>
      <c r="O48" s="258">
        <v>1</v>
      </c>
      <c r="P48" s="241">
        <f t="shared" si="18"/>
        <v>67860</v>
      </c>
      <c r="R48" s="236">
        <v>4</v>
      </c>
      <c r="S48" s="236">
        <f t="shared" si="19"/>
        <v>8</v>
      </c>
      <c r="T48" s="241">
        <f t="shared" si="25"/>
        <v>7300</v>
      </c>
      <c r="U48" s="241">
        <f t="shared" si="26"/>
        <v>11990</v>
      </c>
      <c r="V48" s="259">
        <f t="shared" si="20"/>
        <v>4690</v>
      </c>
      <c r="W48" s="260">
        <f t="shared" si="21"/>
        <v>9380</v>
      </c>
      <c r="X48" s="261">
        <f t="shared" si="22"/>
        <v>77240</v>
      </c>
      <c r="AB48" s="262">
        <f t="shared" si="2"/>
        <v>0.41888888888888887</v>
      </c>
      <c r="AC48" s="241">
        <f t="shared" si="23"/>
        <v>9450</v>
      </c>
      <c r="AD48" s="262">
        <f t="shared" si="24"/>
        <v>0.5555555555555556</v>
      </c>
    </row>
    <row r="49" spans="1:54" s="276" customFormat="1" ht="25.5" customHeight="1">
      <c r="A49" s="296" t="s">
        <v>377</v>
      </c>
      <c r="B49" s="289"/>
      <c r="C49" s="289">
        <f>SUM(C42:C48)</f>
        <v>350</v>
      </c>
      <c r="D49" s="290">
        <f>SUM(D42:D48)</f>
        <v>650</v>
      </c>
      <c r="E49" s="290">
        <f>SUM(E42:E48)</f>
        <v>650</v>
      </c>
      <c r="F49" s="297">
        <f>D49*0.7</f>
        <v>454.99999999999994</v>
      </c>
      <c r="G49" s="255">
        <f>D49*0.3</f>
        <v>195</v>
      </c>
      <c r="H49" s="241">
        <v>135</v>
      </c>
      <c r="I49" s="241">
        <f>SUM(I42:I48)</f>
        <v>1053000</v>
      </c>
      <c r="J49" s="327">
        <v>210</v>
      </c>
      <c r="K49" s="241">
        <f>SUM(K42:K48)</f>
        <v>409500</v>
      </c>
      <c r="L49" s="241">
        <f t="shared" si="15"/>
        <v>148.5</v>
      </c>
      <c r="M49" s="241">
        <f>SUM(M42:M48)</f>
        <v>31590.000000000004</v>
      </c>
      <c r="N49" s="241">
        <f>SUM(N42:N48)</f>
        <v>441090</v>
      </c>
      <c r="O49" s="241"/>
      <c r="P49" s="241">
        <f>SUM(P42:P48)</f>
        <v>441090</v>
      </c>
      <c r="S49" s="302">
        <f>SUM(S42:S48)</f>
        <v>52</v>
      </c>
      <c r="T49" s="277">
        <f>SUM(T42:T48)</f>
        <v>51100</v>
      </c>
      <c r="U49" s="277">
        <f>SUM(U42:U48)</f>
        <v>83930</v>
      </c>
      <c r="V49" s="277">
        <f>SUM(V42:V48)</f>
        <v>32830</v>
      </c>
      <c r="W49" s="279">
        <f>SUM(W42:W48)</f>
        <v>60970</v>
      </c>
      <c r="X49" s="277">
        <f t="shared" si="22"/>
        <v>502060</v>
      </c>
      <c r="Y49" s="238"/>
      <c r="Z49" s="236"/>
      <c r="AA49" s="265">
        <f>P49/E49/12</f>
        <v>56.550000000000004</v>
      </c>
      <c r="AB49" s="266">
        <f t="shared" si="2"/>
        <v>0.41888888888888887</v>
      </c>
      <c r="AC49" s="279">
        <f>SUM(AC42:AC48)</f>
        <v>61425</v>
      </c>
      <c r="AD49" s="266">
        <f t="shared" si="24"/>
        <v>0.5555555555555556</v>
      </c>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row>
    <row r="50" spans="1:28" ht="28.5" customHeight="1">
      <c r="A50" s="299" t="s">
        <v>294</v>
      </c>
      <c r="C50" s="254"/>
      <c r="D50" s="285"/>
      <c r="F50" s="285"/>
      <c r="G50" s="285"/>
      <c r="J50" s="327"/>
      <c r="K50" s="241"/>
      <c r="M50" s="241"/>
      <c r="N50" s="241"/>
      <c r="O50" s="241"/>
      <c r="P50" s="241"/>
      <c r="W50" s="237"/>
      <c r="AB50" s="262"/>
    </row>
    <row r="51" spans="1:30" ht="18" customHeight="1">
      <c r="A51" s="269" t="s">
        <v>378</v>
      </c>
      <c r="B51" s="254">
        <v>8</v>
      </c>
      <c r="C51" s="254">
        <v>50</v>
      </c>
      <c r="D51" s="283">
        <f>B51*C51</f>
        <v>400</v>
      </c>
      <c r="E51" s="256">
        <f>D51*O51</f>
        <v>400</v>
      </c>
      <c r="F51" s="255">
        <f>D51*$F$5</f>
        <v>280</v>
      </c>
      <c r="G51" s="255">
        <f>D51*$G$5</f>
        <v>120.00000000000001</v>
      </c>
      <c r="H51" s="241">
        <v>70</v>
      </c>
      <c r="I51" s="241">
        <f>H51*D51*12</f>
        <v>336000</v>
      </c>
      <c r="J51" s="327">
        <v>150</v>
      </c>
      <c r="K51" s="241">
        <f t="shared" si="9"/>
        <v>268800</v>
      </c>
      <c r="L51" s="241">
        <f>H51*1.1</f>
        <v>77</v>
      </c>
      <c r="M51" s="241">
        <f>((L51-H51)*G51)*12</f>
        <v>10080.000000000002</v>
      </c>
      <c r="N51" s="241">
        <f>K51+M51</f>
        <v>278880</v>
      </c>
      <c r="O51" s="258">
        <v>1</v>
      </c>
      <c r="P51" s="241">
        <f t="shared" si="18"/>
        <v>278880</v>
      </c>
      <c r="R51" s="236">
        <v>2</v>
      </c>
      <c r="S51" s="236">
        <f>R51*B51</f>
        <v>16</v>
      </c>
      <c r="T51" s="241">
        <f>(2200*2)+(1400*2)</f>
        <v>7200</v>
      </c>
      <c r="U51" s="241">
        <f>T51*1.3</f>
        <v>9360</v>
      </c>
      <c r="V51" s="259">
        <f>U51-T51</f>
        <v>2160</v>
      </c>
      <c r="W51" s="260">
        <f>V51*B51</f>
        <v>17280</v>
      </c>
      <c r="X51" s="261">
        <f>N51+W51</f>
        <v>296160</v>
      </c>
      <c r="AB51" s="262">
        <f t="shared" si="2"/>
        <v>0.83</v>
      </c>
      <c r="AC51" s="241">
        <f>F51*H51</f>
        <v>19600</v>
      </c>
      <c r="AD51" s="262">
        <f>K51/AC51/12</f>
        <v>1.1428571428571428</v>
      </c>
    </row>
    <row r="52" spans="1:30" ht="16.5" customHeight="1">
      <c r="A52" s="269" t="s">
        <v>379</v>
      </c>
      <c r="B52" s="254">
        <v>8</v>
      </c>
      <c r="C52" s="254">
        <v>50</v>
      </c>
      <c r="D52" s="283">
        <f>B52*C52</f>
        <v>400</v>
      </c>
      <c r="E52" s="256">
        <f>D52*O52</f>
        <v>400</v>
      </c>
      <c r="F52" s="255">
        <f>D52*$F$5</f>
        <v>280</v>
      </c>
      <c r="G52" s="255">
        <f>D52*$G$5</f>
        <v>120.00000000000001</v>
      </c>
      <c r="H52" s="241">
        <v>70</v>
      </c>
      <c r="I52" s="241">
        <f>H52*D52*12</f>
        <v>336000</v>
      </c>
      <c r="J52" s="327">
        <v>150</v>
      </c>
      <c r="K52" s="241">
        <f t="shared" si="9"/>
        <v>268800</v>
      </c>
      <c r="L52" s="241">
        <f>H52*1.1</f>
        <v>77</v>
      </c>
      <c r="M52" s="241">
        <f>((L52-H52)*G52)*12</f>
        <v>10080.000000000002</v>
      </c>
      <c r="N52" s="241">
        <f>K52+M52</f>
        <v>278880</v>
      </c>
      <c r="O52" s="258">
        <v>1</v>
      </c>
      <c r="P52" s="241">
        <f t="shared" si="18"/>
        <v>278880</v>
      </c>
      <c r="R52" s="236">
        <v>4</v>
      </c>
      <c r="S52" s="236">
        <f>R52*B52</f>
        <v>32</v>
      </c>
      <c r="T52" s="241">
        <f>(2200*2)+(1400*2)</f>
        <v>7200</v>
      </c>
      <c r="U52" s="241">
        <f>T52*1.3</f>
        <v>9360</v>
      </c>
      <c r="V52" s="259">
        <f>U52-T52</f>
        <v>2160</v>
      </c>
      <c r="W52" s="260">
        <f>V52*B52</f>
        <v>17280</v>
      </c>
      <c r="X52" s="261">
        <f>N52+W52</f>
        <v>296160</v>
      </c>
      <c r="AB52" s="262">
        <f t="shared" si="2"/>
        <v>0.83</v>
      </c>
      <c r="AC52" s="241">
        <f>F52*H52</f>
        <v>19600</v>
      </c>
      <c r="AD52" s="262">
        <f>K52/AC52/12</f>
        <v>1.1428571428571428</v>
      </c>
    </row>
    <row r="53" spans="1:30" ht="17.25" customHeight="1">
      <c r="A53" s="269" t="s">
        <v>380</v>
      </c>
      <c r="B53" s="254">
        <v>8</v>
      </c>
      <c r="C53" s="254">
        <v>50</v>
      </c>
      <c r="D53" s="283">
        <f>B53*C53</f>
        <v>400</v>
      </c>
      <c r="E53" s="256">
        <f>D53*O53</f>
        <v>400</v>
      </c>
      <c r="F53" s="255">
        <f>D53*$F$5</f>
        <v>280</v>
      </c>
      <c r="G53" s="255">
        <f>D53*$G$5</f>
        <v>120.00000000000001</v>
      </c>
      <c r="H53" s="241">
        <v>70</v>
      </c>
      <c r="I53" s="241">
        <f>H53*D53*12</f>
        <v>336000</v>
      </c>
      <c r="J53" s="327">
        <v>150</v>
      </c>
      <c r="K53" s="241">
        <f t="shared" si="9"/>
        <v>268800</v>
      </c>
      <c r="L53" s="241">
        <f>H53*1.1</f>
        <v>77</v>
      </c>
      <c r="M53" s="241">
        <f>((L53-H53)*G53)*12</f>
        <v>10080.000000000002</v>
      </c>
      <c r="N53" s="241">
        <f>K53+M53</f>
        <v>278880</v>
      </c>
      <c r="O53" s="258">
        <v>1</v>
      </c>
      <c r="P53" s="241">
        <f t="shared" si="18"/>
        <v>278880</v>
      </c>
      <c r="R53" s="236">
        <v>2</v>
      </c>
      <c r="S53" s="236">
        <f>R53*B53</f>
        <v>16</v>
      </c>
      <c r="T53" s="241">
        <f>(2200*2)+(1400*2)</f>
        <v>7200</v>
      </c>
      <c r="U53" s="241">
        <f>T53*1.3</f>
        <v>9360</v>
      </c>
      <c r="V53" s="259">
        <f>U53-T53</f>
        <v>2160</v>
      </c>
      <c r="W53" s="260">
        <f>V53*B53</f>
        <v>17280</v>
      </c>
      <c r="X53" s="261">
        <f>N53+W53</f>
        <v>296160</v>
      </c>
      <c r="AB53" s="262">
        <f t="shared" si="2"/>
        <v>0.83</v>
      </c>
      <c r="AC53" s="241">
        <f>F53*H53</f>
        <v>19600</v>
      </c>
      <c r="AD53" s="262">
        <f>K53/AC53/12</f>
        <v>1.1428571428571428</v>
      </c>
    </row>
    <row r="54" spans="1:54" ht="15.75" customHeight="1">
      <c r="A54" s="269" t="s">
        <v>381</v>
      </c>
      <c r="B54" s="254">
        <v>8</v>
      </c>
      <c r="C54" s="254">
        <v>50</v>
      </c>
      <c r="D54" s="283">
        <f>B54*C54</f>
        <v>400</v>
      </c>
      <c r="E54" s="256">
        <f>D54*O54</f>
        <v>400</v>
      </c>
      <c r="F54" s="255">
        <f>D54*$F$5</f>
        <v>280</v>
      </c>
      <c r="G54" s="255">
        <f>D54*$G$5</f>
        <v>120.00000000000001</v>
      </c>
      <c r="H54" s="241">
        <v>70</v>
      </c>
      <c r="I54" s="241">
        <f>H54*D54*12</f>
        <v>336000</v>
      </c>
      <c r="J54" s="327">
        <v>150</v>
      </c>
      <c r="K54" s="241">
        <f t="shared" si="9"/>
        <v>268800</v>
      </c>
      <c r="L54" s="241">
        <f>H54*1.1</f>
        <v>77</v>
      </c>
      <c r="M54" s="241">
        <f>((L54-H54)*G54)*12</f>
        <v>10080.000000000002</v>
      </c>
      <c r="N54" s="241">
        <f>K54+M54</f>
        <v>278880</v>
      </c>
      <c r="O54" s="258">
        <v>1</v>
      </c>
      <c r="P54" s="241">
        <f t="shared" si="18"/>
        <v>278880</v>
      </c>
      <c r="R54" s="236">
        <v>4</v>
      </c>
      <c r="S54" s="236">
        <f>R54*B54</f>
        <v>32</v>
      </c>
      <c r="T54" s="241">
        <f>(2200*2)+(1400*2)</f>
        <v>7200</v>
      </c>
      <c r="U54" s="241">
        <f>T54*1.3</f>
        <v>9360</v>
      </c>
      <c r="V54" s="259">
        <f>U54-T54</f>
        <v>2160</v>
      </c>
      <c r="W54" s="260">
        <f>V54*B54</f>
        <v>17280</v>
      </c>
      <c r="X54" s="261">
        <f>N54+W54</f>
        <v>296160</v>
      </c>
      <c r="Y54" s="280"/>
      <c r="Z54" s="276"/>
      <c r="AA54" s="276"/>
      <c r="AB54" s="262">
        <f t="shared" si="2"/>
        <v>0.83</v>
      </c>
      <c r="AC54" s="241">
        <f>F54*H54</f>
        <v>19600</v>
      </c>
      <c r="AD54" s="262">
        <f>K54/AC54/12</f>
        <v>1.1428571428571428</v>
      </c>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row>
    <row r="55" spans="1:54" s="276" customFormat="1" ht="17.25" customHeight="1">
      <c r="A55" s="272" t="s">
        <v>382</v>
      </c>
      <c r="B55" s="289"/>
      <c r="C55" s="289">
        <f>SUM(C51:C54)</f>
        <v>200</v>
      </c>
      <c r="D55" s="303">
        <f>SUM(D51:D54)</f>
        <v>1600</v>
      </c>
      <c r="E55" s="303">
        <f>SUM(E51:E54)</f>
        <v>1600</v>
      </c>
      <c r="F55" s="297">
        <f>D55*0.7</f>
        <v>1120</v>
      </c>
      <c r="G55" s="255">
        <f>D55*0.3</f>
        <v>480</v>
      </c>
      <c r="H55" s="241">
        <v>70</v>
      </c>
      <c r="I55" s="241">
        <f>SUM(I51:I54)</f>
        <v>1344000</v>
      </c>
      <c r="J55" s="327">
        <v>150</v>
      </c>
      <c r="K55" s="241">
        <f>SUM(K51:K54)</f>
        <v>1075200</v>
      </c>
      <c r="L55" s="241">
        <f>H55*1.1</f>
        <v>77</v>
      </c>
      <c r="M55" s="241">
        <f>SUM(M51:M54)</f>
        <v>40320.00000000001</v>
      </c>
      <c r="N55" s="241">
        <f>SUM(N51:N54)</f>
        <v>1115520</v>
      </c>
      <c r="O55" s="241"/>
      <c r="P55" s="241">
        <f>SUM(P51:P54)</f>
        <v>1115520</v>
      </c>
      <c r="S55" s="302">
        <f>SUM(S51:S54)</f>
        <v>96</v>
      </c>
      <c r="T55" s="277">
        <f>SUM(T51:T54)</f>
        <v>28800</v>
      </c>
      <c r="U55" s="277">
        <f>SUM(U51:U54)</f>
        <v>37440</v>
      </c>
      <c r="V55" s="277">
        <f>SUM(V51:V54)</f>
        <v>8640</v>
      </c>
      <c r="W55" s="279">
        <f>SUM(W51:W54)</f>
        <v>69120</v>
      </c>
      <c r="X55" s="277">
        <f>N55+W55</f>
        <v>1184640</v>
      </c>
      <c r="Y55" s="238"/>
      <c r="Z55" s="236"/>
      <c r="AA55" s="265">
        <f>P55/E55/12</f>
        <v>58.1</v>
      </c>
      <c r="AB55" s="266">
        <f t="shared" si="2"/>
        <v>0.83</v>
      </c>
      <c r="AC55" s="279">
        <f>SUM(AC51:AC54)</f>
        <v>78400</v>
      </c>
      <c r="AD55" s="266">
        <f>K55/AC55/12</f>
        <v>1.1428571428571428</v>
      </c>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row>
    <row r="56" spans="1:28" ht="19.5" customHeight="1">
      <c r="A56" s="294" t="s">
        <v>383</v>
      </c>
      <c r="B56" s="254"/>
      <c r="C56" s="254"/>
      <c r="J56" s="327"/>
      <c r="M56" s="241"/>
      <c r="N56" s="241"/>
      <c r="O56" s="241"/>
      <c r="P56" s="241"/>
      <c r="V56" s="236"/>
      <c r="W56" s="237"/>
      <c r="AB56" s="262"/>
    </row>
    <row r="57" spans="1:30" ht="16.5" customHeight="1">
      <c r="A57" s="269" t="s">
        <v>384</v>
      </c>
      <c r="B57" s="254">
        <v>1</v>
      </c>
      <c r="C57" s="254">
        <v>25</v>
      </c>
      <c r="D57" s="283">
        <f>B57*C57</f>
        <v>25</v>
      </c>
      <c r="E57" s="256">
        <f>D57*O57</f>
        <v>25</v>
      </c>
      <c r="F57" s="255"/>
      <c r="G57" s="283"/>
      <c r="I57" s="241">
        <f>H57*D57*12</f>
        <v>0</v>
      </c>
      <c r="J57" s="327"/>
      <c r="K57" s="241"/>
      <c r="M57" s="241"/>
      <c r="N57" s="241"/>
      <c r="O57" s="258">
        <v>1</v>
      </c>
      <c r="P57" s="241">
        <f>N57/O57</f>
        <v>0</v>
      </c>
      <c r="R57" s="236">
        <v>25</v>
      </c>
      <c r="S57" s="236">
        <f>R57*B57</f>
        <v>25</v>
      </c>
      <c r="T57" s="241">
        <v>2500</v>
      </c>
      <c r="U57" s="241">
        <f>T57*1.3</f>
        <v>3250</v>
      </c>
      <c r="V57" s="259">
        <f>U57-T57</f>
        <v>750</v>
      </c>
      <c r="W57" s="260">
        <f>V57*B57</f>
        <v>750</v>
      </c>
      <c r="X57" s="261">
        <f>N57+W57</f>
        <v>750</v>
      </c>
      <c r="AB57" s="262" t="e">
        <f t="shared" si="2"/>
        <v>#DIV/0!</v>
      </c>
      <c r="AC57" s="241">
        <f>F57*H57</f>
        <v>0</v>
      </c>
      <c r="AD57" s="262" t="e">
        <f>K57/AC57/12</f>
        <v>#DIV/0!</v>
      </c>
    </row>
    <row r="58" spans="1:30" ht="23.25" customHeight="1">
      <c r="A58" s="271" t="s">
        <v>514</v>
      </c>
      <c r="B58" s="254">
        <v>1</v>
      </c>
      <c r="C58" s="254">
        <v>25</v>
      </c>
      <c r="D58" s="283">
        <f>B58*C58</f>
        <v>25</v>
      </c>
      <c r="E58" s="256">
        <f>D58*O58</f>
        <v>25</v>
      </c>
      <c r="F58" s="283"/>
      <c r="G58" s="283"/>
      <c r="I58" s="241">
        <f>H58*D58*12</f>
        <v>0</v>
      </c>
      <c r="J58" s="327"/>
      <c r="K58" s="241"/>
      <c r="M58" s="241"/>
      <c r="N58" s="241"/>
      <c r="O58" s="258">
        <v>1</v>
      </c>
      <c r="P58" s="241">
        <f>N58/O58</f>
        <v>0</v>
      </c>
      <c r="R58" s="236">
        <v>25</v>
      </c>
      <c r="S58" s="236">
        <f>R58*B58</f>
        <v>25</v>
      </c>
      <c r="T58" s="241">
        <v>2500</v>
      </c>
      <c r="U58" s="241">
        <f>T58*1.3</f>
        <v>3250</v>
      </c>
      <c r="V58" s="259">
        <f>U58-T58</f>
        <v>750</v>
      </c>
      <c r="W58" s="260">
        <f>V58*B58</f>
        <v>750</v>
      </c>
      <c r="X58" s="261">
        <f>N58+W58</f>
        <v>750</v>
      </c>
      <c r="AB58" s="262" t="e">
        <f t="shared" si="2"/>
        <v>#DIV/0!</v>
      </c>
      <c r="AC58" s="241">
        <f>F58*H58</f>
        <v>0</v>
      </c>
      <c r="AD58" s="262" t="e">
        <f>K58/AC58/12</f>
        <v>#DIV/0!</v>
      </c>
    </row>
    <row r="59" spans="1:30" ht="18.75" customHeight="1">
      <c r="A59" s="269" t="s">
        <v>385</v>
      </c>
      <c r="B59" s="254">
        <v>1</v>
      </c>
      <c r="C59" s="254">
        <v>25</v>
      </c>
      <c r="D59" s="283">
        <f>B59*C59</f>
        <v>25</v>
      </c>
      <c r="E59" s="256">
        <f>D59*O59</f>
        <v>25</v>
      </c>
      <c r="F59" s="283"/>
      <c r="G59" s="283"/>
      <c r="I59" s="241">
        <f>H59*D59*12</f>
        <v>0</v>
      </c>
      <c r="J59" s="327"/>
      <c r="K59" s="241"/>
      <c r="M59" s="241"/>
      <c r="N59" s="241"/>
      <c r="O59" s="258">
        <v>1</v>
      </c>
      <c r="P59" s="241">
        <f>N59/O59</f>
        <v>0</v>
      </c>
      <c r="R59" s="236">
        <v>25</v>
      </c>
      <c r="S59" s="236">
        <f>R59*B59</f>
        <v>25</v>
      </c>
      <c r="T59" s="241">
        <v>2500</v>
      </c>
      <c r="U59" s="241">
        <f>T59*1.3</f>
        <v>3250</v>
      </c>
      <c r="V59" s="259">
        <f>U59-T59</f>
        <v>750</v>
      </c>
      <c r="W59" s="260">
        <f>V59*B59</f>
        <v>750</v>
      </c>
      <c r="X59" s="261">
        <f>N59+W59</f>
        <v>750</v>
      </c>
      <c r="AB59" s="262" t="e">
        <f t="shared" si="2"/>
        <v>#DIV/0!</v>
      </c>
      <c r="AC59" s="241">
        <f>F59*H59</f>
        <v>0</v>
      </c>
      <c r="AD59" s="262" t="e">
        <f>K59/AC59/12</f>
        <v>#DIV/0!</v>
      </c>
    </row>
    <row r="60" spans="1:30" ht="12.75">
      <c r="A60" s="269" t="s">
        <v>386</v>
      </c>
      <c r="B60" s="254">
        <v>8</v>
      </c>
      <c r="C60" s="254">
        <v>25</v>
      </c>
      <c r="D60" s="283">
        <f>B60*C60</f>
        <v>200</v>
      </c>
      <c r="E60" s="256">
        <f>D60*O60</f>
        <v>200</v>
      </c>
      <c r="F60" s="255">
        <f>D60*$F$5</f>
        <v>140</v>
      </c>
      <c r="G60" s="255">
        <f>D60*$G$5</f>
        <v>60.00000000000001</v>
      </c>
      <c r="H60" s="241">
        <v>70</v>
      </c>
      <c r="I60" s="241">
        <f>H60*D60*12</f>
        <v>168000</v>
      </c>
      <c r="J60" s="328">
        <v>140</v>
      </c>
      <c r="K60" s="241">
        <f>((J60-H60)*F60)*12</f>
        <v>117600</v>
      </c>
      <c r="L60" s="236">
        <f>H60*1.1</f>
        <v>77</v>
      </c>
      <c r="M60" s="241">
        <f>((L60-H60)*G60)*12</f>
        <v>5040.000000000001</v>
      </c>
      <c r="N60" s="241">
        <f>K60+M60</f>
        <v>122640</v>
      </c>
      <c r="O60" s="258">
        <v>1</v>
      </c>
      <c r="P60" s="241">
        <f>N60/O60</f>
        <v>122640</v>
      </c>
      <c r="R60" s="236">
        <v>2</v>
      </c>
      <c r="S60" s="236">
        <f>R60*B60</f>
        <v>16</v>
      </c>
      <c r="T60" s="241">
        <f>2200+1400</f>
        <v>3600</v>
      </c>
      <c r="U60" s="241">
        <f>T60*1.3</f>
        <v>4680</v>
      </c>
      <c r="V60" s="259">
        <f>U60-T60</f>
        <v>1080</v>
      </c>
      <c r="W60" s="260">
        <f>V60*B60</f>
        <v>8640</v>
      </c>
      <c r="X60" s="261">
        <f>N60+W60</f>
        <v>131280</v>
      </c>
      <c r="AB60" s="262">
        <f t="shared" si="2"/>
        <v>0.73</v>
      </c>
      <c r="AC60" s="241">
        <f>F60*H60</f>
        <v>9800</v>
      </c>
      <c r="AD60" s="262">
        <f>K60/AC60/12</f>
        <v>1</v>
      </c>
    </row>
    <row r="61" spans="1:54" s="276" customFormat="1" ht="16.5" customHeight="1">
      <c r="A61" s="272" t="s">
        <v>387</v>
      </c>
      <c r="B61" s="289"/>
      <c r="C61" s="289">
        <f>SUM(C57:C60)</f>
        <v>100</v>
      </c>
      <c r="D61" s="290">
        <f>SUM(D57:D60)</f>
        <v>275</v>
      </c>
      <c r="E61" s="290">
        <f>SUM(E57:E60)</f>
        <v>275</v>
      </c>
      <c r="F61" s="304">
        <f>SUM(F57:F60)</f>
        <v>140</v>
      </c>
      <c r="G61" s="304">
        <f>SUM(G57:G60)</f>
        <v>60.00000000000001</v>
      </c>
      <c r="H61" s="241">
        <v>70</v>
      </c>
      <c r="I61" s="241">
        <f>SUM(I57:I60)</f>
        <v>168000</v>
      </c>
      <c r="J61" s="203">
        <v>140</v>
      </c>
      <c r="K61" s="241">
        <f>SUM(K57:K60)</f>
        <v>117600</v>
      </c>
      <c r="L61" s="236">
        <f>H61*1.1</f>
        <v>77</v>
      </c>
      <c r="M61" s="241">
        <f>SUM(M57:M60)</f>
        <v>5040.000000000001</v>
      </c>
      <c r="N61" s="241">
        <f>SUM(N57:N60)</f>
        <v>122640</v>
      </c>
      <c r="O61" s="241"/>
      <c r="P61" s="241">
        <f>SUM(P57:P60)</f>
        <v>122640</v>
      </c>
      <c r="S61" s="302">
        <f>SUM(S57:S60)</f>
        <v>91</v>
      </c>
      <c r="T61" s="277">
        <f>SUM(T57:T60)</f>
        <v>11100</v>
      </c>
      <c r="U61" s="277">
        <f>SUM(U57:U60)</f>
        <v>14430</v>
      </c>
      <c r="V61" s="277">
        <f>SUM(V57:V60)</f>
        <v>3330</v>
      </c>
      <c r="W61" s="279">
        <f>SUM(W57:W60)</f>
        <v>10890</v>
      </c>
      <c r="X61" s="261">
        <f>N61+W61</f>
        <v>133530</v>
      </c>
      <c r="Y61" s="240"/>
      <c r="Z61" s="236"/>
      <c r="AA61" s="265">
        <f>P61/E61/12</f>
        <v>37.163636363636364</v>
      </c>
      <c r="AB61" s="266">
        <f t="shared" si="2"/>
        <v>0.73</v>
      </c>
      <c r="AC61" s="279">
        <f>SUM(AC57:AC60)</f>
        <v>9800</v>
      </c>
      <c r="AD61" s="266">
        <f>K61/AC61/12</f>
        <v>1</v>
      </c>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row>
    <row r="62" spans="1:28" ht="17.25" customHeight="1">
      <c r="A62" s="294" t="s">
        <v>388</v>
      </c>
      <c r="B62" s="254"/>
      <c r="C62" s="285"/>
      <c r="J62" s="327"/>
      <c r="M62" s="241"/>
      <c r="N62" s="241"/>
      <c r="O62" s="241"/>
      <c r="P62" s="241"/>
      <c r="V62" s="236"/>
      <c r="W62" s="237"/>
      <c r="X62" s="237"/>
      <c r="AB62" s="262"/>
    </row>
    <row r="63" spans="1:30" ht="16.5" customHeight="1">
      <c r="A63" s="305" t="s">
        <v>389</v>
      </c>
      <c r="B63" s="254">
        <v>3</v>
      </c>
      <c r="C63" s="254">
        <v>30</v>
      </c>
      <c r="D63" s="283">
        <f aca="true" t="shared" si="27" ref="D63:D70">B63*C63</f>
        <v>90</v>
      </c>
      <c r="E63" s="256">
        <f aca="true" t="shared" si="28" ref="E63:E70">D63*O63</f>
        <v>90</v>
      </c>
      <c r="F63" s="255">
        <f aca="true" t="shared" si="29" ref="F63:F70">D63*$F$5</f>
        <v>62.99999999999999</v>
      </c>
      <c r="G63" s="255">
        <f aca="true" t="shared" si="30" ref="G63:G70">D63*$G$5</f>
        <v>27.000000000000004</v>
      </c>
      <c r="H63" s="236">
        <v>80</v>
      </c>
      <c r="I63" s="241">
        <f aca="true" t="shared" si="31" ref="I63:I70">H63*D63*12</f>
        <v>86400</v>
      </c>
      <c r="J63" s="327">
        <f>H63*1.3</f>
        <v>104</v>
      </c>
      <c r="K63" s="241">
        <f aca="true" t="shared" si="32" ref="K63:K68">((J63-H63)*F63)*12</f>
        <v>18143.999999999996</v>
      </c>
      <c r="L63" s="241">
        <f aca="true" t="shared" si="33" ref="L63:L70">H63*1.1</f>
        <v>88</v>
      </c>
      <c r="M63" s="241">
        <f aca="true" t="shared" si="34" ref="M63:M70">((L63-H63)*G63)*12</f>
        <v>2592.0000000000005</v>
      </c>
      <c r="N63" s="241">
        <f aca="true" t="shared" si="35" ref="N63:N70">K63+M63</f>
        <v>20735.999999999996</v>
      </c>
      <c r="O63" s="258">
        <v>1</v>
      </c>
      <c r="P63" s="241">
        <f aca="true" t="shared" si="36" ref="P63:P70">N63/O63</f>
        <v>20735.999999999996</v>
      </c>
      <c r="R63" s="236">
        <v>2</v>
      </c>
      <c r="S63" s="236">
        <f aca="true" t="shared" si="37" ref="S63:S70">R63*B63</f>
        <v>6</v>
      </c>
      <c r="T63" s="241">
        <f>2200+1500</f>
        <v>3700</v>
      </c>
      <c r="U63" s="241">
        <f>T63*1.3</f>
        <v>4810</v>
      </c>
      <c r="V63" s="259">
        <f aca="true" t="shared" si="38" ref="V63:V70">U63-T63</f>
        <v>1110</v>
      </c>
      <c r="W63" s="260">
        <f aca="true" t="shared" si="39" ref="W63:W70">V63*B63</f>
        <v>3330</v>
      </c>
      <c r="X63" s="261">
        <f aca="true" t="shared" si="40" ref="X63:X71">N63+W63</f>
        <v>24065.999999999996</v>
      </c>
      <c r="AB63" s="262">
        <f t="shared" si="2"/>
        <v>0.23999999999999996</v>
      </c>
      <c r="AC63" s="241">
        <f aca="true" t="shared" si="41" ref="AC63:AC70">F63*H63</f>
        <v>5039.999999999999</v>
      </c>
      <c r="AD63" s="262">
        <f aca="true" t="shared" si="42" ref="AD63:AD71">K63/AC63/12</f>
        <v>0.3</v>
      </c>
    </row>
    <row r="64" spans="1:54" ht="17.25" customHeight="1">
      <c r="A64" s="305" t="s">
        <v>390</v>
      </c>
      <c r="B64" s="254">
        <v>3</v>
      </c>
      <c r="C64" s="254">
        <v>30</v>
      </c>
      <c r="D64" s="283">
        <f t="shared" si="27"/>
        <v>90</v>
      </c>
      <c r="E64" s="256">
        <f t="shared" si="28"/>
        <v>90</v>
      </c>
      <c r="F64" s="255">
        <f t="shared" si="29"/>
        <v>62.99999999999999</v>
      </c>
      <c r="G64" s="255">
        <f t="shared" si="30"/>
        <v>27.000000000000004</v>
      </c>
      <c r="H64" s="236">
        <v>80</v>
      </c>
      <c r="I64" s="241">
        <f t="shared" si="31"/>
        <v>86400</v>
      </c>
      <c r="J64" s="327">
        <f aca="true" t="shared" si="43" ref="J64:J70">H64*1.3</f>
        <v>104</v>
      </c>
      <c r="K64" s="241">
        <f t="shared" si="32"/>
        <v>18143.999999999996</v>
      </c>
      <c r="L64" s="241">
        <f t="shared" si="33"/>
        <v>88</v>
      </c>
      <c r="M64" s="241">
        <f t="shared" si="34"/>
        <v>2592.0000000000005</v>
      </c>
      <c r="N64" s="241">
        <f t="shared" si="35"/>
        <v>20735.999999999996</v>
      </c>
      <c r="O64" s="258">
        <v>1</v>
      </c>
      <c r="P64" s="241">
        <f t="shared" si="36"/>
        <v>20735.999999999996</v>
      </c>
      <c r="R64" s="236">
        <v>2</v>
      </c>
      <c r="S64" s="236">
        <f t="shared" si="37"/>
        <v>6</v>
      </c>
      <c r="T64" s="241">
        <f>2200+1500</f>
        <v>3700</v>
      </c>
      <c r="U64" s="241">
        <f aca="true" t="shared" si="44" ref="U64:U70">T64*1.3</f>
        <v>4810</v>
      </c>
      <c r="V64" s="259">
        <f t="shared" si="38"/>
        <v>1110</v>
      </c>
      <c r="W64" s="260">
        <f t="shared" si="39"/>
        <v>3330</v>
      </c>
      <c r="X64" s="261">
        <f t="shared" si="40"/>
        <v>24065.999999999996</v>
      </c>
      <c r="Y64" s="306"/>
      <c r="Z64" s="307"/>
      <c r="AA64" s="307"/>
      <c r="AB64" s="262">
        <f t="shared" si="2"/>
        <v>0.23999999999999996</v>
      </c>
      <c r="AC64" s="241">
        <f t="shared" si="41"/>
        <v>5039.999999999999</v>
      </c>
      <c r="AD64" s="262">
        <f t="shared" si="42"/>
        <v>0.3</v>
      </c>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row>
    <row r="65" spans="1:30" ht="16.5" customHeight="1">
      <c r="A65" s="305" t="s">
        <v>391</v>
      </c>
      <c r="B65" s="254">
        <v>3</v>
      </c>
      <c r="C65" s="254">
        <v>30</v>
      </c>
      <c r="D65" s="283">
        <f t="shared" si="27"/>
        <v>90</v>
      </c>
      <c r="E65" s="256">
        <f t="shared" si="28"/>
        <v>90</v>
      </c>
      <c r="F65" s="255">
        <f t="shared" si="29"/>
        <v>62.99999999999999</v>
      </c>
      <c r="G65" s="255">
        <f t="shared" si="30"/>
        <v>27.000000000000004</v>
      </c>
      <c r="H65" s="236">
        <v>80</v>
      </c>
      <c r="I65" s="241">
        <f t="shared" si="31"/>
        <v>86400</v>
      </c>
      <c r="J65" s="327">
        <f t="shared" si="43"/>
        <v>104</v>
      </c>
      <c r="K65" s="241">
        <f t="shared" si="32"/>
        <v>18143.999999999996</v>
      </c>
      <c r="L65" s="241">
        <f t="shared" si="33"/>
        <v>88</v>
      </c>
      <c r="M65" s="241">
        <f t="shared" si="34"/>
        <v>2592.0000000000005</v>
      </c>
      <c r="N65" s="241">
        <f t="shared" si="35"/>
        <v>20735.999999999996</v>
      </c>
      <c r="O65" s="258">
        <v>1</v>
      </c>
      <c r="P65" s="241">
        <f t="shared" si="36"/>
        <v>20735.999999999996</v>
      </c>
      <c r="R65" s="236">
        <v>2</v>
      </c>
      <c r="S65" s="236">
        <f t="shared" si="37"/>
        <v>6</v>
      </c>
      <c r="T65" s="241">
        <f>2200+1500</f>
        <v>3700</v>
      </c>
      <c r="U65" s="241">
        <f t="shared" si="44"/>
        <v>4810</v>
      </c>
      <c r="V65" s="259">
        <f t="shared" si="38"/>
        <v>1110</v>
      </c>
      <c r="W65" s="260">
        <f t="shared" si="39"/>
        <v>3330</v>
      </c>
      <c r="X65" s="261">
        <f t="shared" si="40"/>
        <v>24065.999999999996</v>
      </c>
      <c r="AB65" s="262">
        <f t="shared" si="2"/>
        <v>0.23999999999999996</v>
      </c>
      <c r="AC65" s="241">
        <f t="shared" si="41"/>
        <v>5039.999999999999</v>
      </c>
      <c r="AD65" s="262">
        <f t="shared" si="42"/>
        <v>0.3</v>
      </c>
    </row>
    <row r="66" spans="1:30" ht="17.25" customHeight="1">
      <c r="A66" s="305" t="s">
        <v>392</v>
      </c>
      <c r="B66" s="254">
        <v>3</v>
      </c>
      <c r="C66" s="254">
        <v>30</v>
      </c>
      <c r="D66" s="283">
        <f t="shared" si="27"/>
        <v>90</v>
      </c>
      <c r="E66" s="256">
        <f t="shared" si="28"/>
        <v>90</v>
      </c>
      <c r="F66" s="255">
        <f t="shared" si="29"/>
        <v>62.99999999999999</v>
      </c>
      <c r="G66" s="255">
        <f t="shared" si="30"/>
        <v>27.000000000000004</v>
      </c>
      <c r="H66" s="236">
        <v>80</v>
      </c>
      <c r="I66" s="241">
        <f t="shared" si="31"/>
        <v>86400</v>
      </c>
      <c r="J66" s="327">
        <f t="shared" si="43"/>
        <v>104</v>
      </c>
      <c r="K66" s="241">
        <f t="shared" si="32"/>
        <v>18143.999999999996</v>
      </c>
      <c r="L66" s="241">
        <f t="shared" si="33"/>
        <v>88</v>
      </c>
      <c r="M66" s="241">
        <f t="shared" si="34"/>
        <v>2592.0000000000005</v>
      </c>
      <c r="N66" s="241">
        <f t="shared" si="35"/>
        <v>20735.999999999996</v>
      </c>
      <c r="O66" s="258">
        <v>1</v>
      </c>
      <c r="P66" s="241">
        <f t="shared" si="36"/>
        <v>20735.999999999996</v>
      </c>
      <c r="R66" s="236">
        <v>4</v>
      </c>
      <c r="S66" s="236">
        <f t="shared" si="37"/>
        <v>12</v>
      </c>
      <c r="T66" s="241">
        <f>(2400+1500)*2</f>
        <v>7800</v>
      </c>
      <c r="U66" s="241">
        <f t="shared" si="44"/>
        <v>10140</v>
      </c>
      <c r="V66" s="259">
        <f t="shared" si="38"/>
        <v>2340</v>
      </c>
      <c r="W66" s="260">
        <f t="shared" si="39"/>
        <v>7020</v>
      </c>
      <c r="X66" s="261">
        <f t="shared" si="40"/>
        <v>27755.999999999996</v>
      </c>
      <c r="AB66" s="262">
        <f t="shared" si="2"/>
        <v>0.23999999999999996</v>
      </c>
      <c r="AC66" s="241">
        <f t="shared" si="41"/>
        <v>5039.999999999999</v>
      </c>
      <c r="AD66" s="262">
        <f t="shared" si="42"/>
        <v>0.3</v>
      </c>
    </row>
    <row r="67" spans="1:30" ht="16.5" customHeight="1">
      <c r="A67" s="305" t="s">
        <v>393</v>
      </c>
      <c r="B67" s="254">
        <v>3</v>
      </c>
      <c r="C67" s="254">
        <v>30</v>
      </c>
      <c r="D67" s="283">
        <f t="shared" si="27"/>
        <v>90</v>
      </c>
      <c r="E67" s="256">
        <f t="shared" si="28"/>
        <v>90</v>
      </c>
      <c r="F67" s="255">
        <f t="shared" si="29"/>
        <v>62.99999999999999</v>
      </c>
      <c r="G67" s="255">
        <f t="shared" si="30"/>
        <v>27.000000000000004</v>
      </c>
      <c r="H67" s="236">
        <v>80</v>
      </c>
      <c r="I67" s="241">
        <f t="shared" si="31"/>
        <v>86400</v>
      </c>
      <c r="J67" s="327">
        <f t="shared" si="43"/>
        <v>104</v>
      </c>
      <c r="K67" s="241">
        <f t="shared" si="32"/>
        <v>18143.999999999996</v>
      </c>
      <c r="L67" s="241">
        <f t="shared" si="33"/>
        <v>88</v>
      </c>
      <c r="M67" s="241">
        <f t="shared" si="34"/>
        <v>2592.0000000000005</v>
      </c>
      <c r="N67" s="241">
        <f t="shared" si="35"/>
        <v>20735.999999999996</v>
      </c>
      <c r="O67" s="258">
        <v>1</v>
      </c>
      <c r="P67" s="241">
        <f t="shared" si="36"/>
        <v>20735.999999999996</v>
      </c>
      <c r="R67" s="236">
        <v>2</v>
      </c>
      <c r="S67" s="236">
        <f t="shared" si="37"/>
        <v>6</v>
      </c>
      <c r="T67" s="241">
        <f>2200+1500</f>
        <v>3700</v>
      </c>
      <c r="U67" s="241">
        <f t="shared" si="44"/>
        <v>4810</v>
      </c>
      <c r="V67" s="259">
        <f t="shared" si="38"/>
        <v>1110</v>
      </c>
      <c r="W67" s="260">
        <f t="shared" si="39"/>
        <v>3330</v>
      </c>
      <c r="X67" s="261">
        <f t="shared" si="40"/>
        <v>24065.999999999996</v>
      </c>
      <c r="AB67" s="262">
        <f t="shared" si="2"/>
        <v>0.23999999999999996</v>
      </c>
      <c r="AC67" s="241">
        <f t="shared" si="41"/>
        <v>5039.999999999999</v>
      </c>
      <c r="AD67" s="262">
        <f t="shared" si="42"/>
        <v>0.3</v>
      </c>
    </row>
    <row r="68" spans="1:30" ht="17.25" customHeight="1">
      <c r="A68" s="308" t="s">
        <v>394</v>
      </c>
      <c r="B68" s="254">
        <v>3</v>
      </c>
      <c r="C68" s="254">
        <v>30</v>
      </c>
      <c r="D68" s="283">
        <f t="shared" si="27"/>
        <v>90</v>
      </c>
      <c r="E68" s="256">
        <f t="shared" si="28"/>
        <v>90</v>
      </c>
      <c r="F68" s="255">
        <f t="shared" si="29"/>
        <v>62.99999999999999</v>
      </c>
      <c r="G68" s="255">
        <f t="shared" si="30"/>
        <v>27.000000000000004</v>
      </c>
      <c r="H68" s="236">
        <v>80</v>
      </c>
      <c r="I68" s="241">
        <f t="shared" si="31"/>
        <v>86400</v>
      </c>
      <c r="J68" s="327">
        <f t="shared" si="43"/>
        <v>104</v>
      </c>
      <c r="K68" s="241">
        <f t="shared" si="32"/>
        <v>18143.999999999996</v>
      </c>
      <c r="L68" s="241">
        <f t="shared" si="33"/>
        <v>88</v>
      </c>
      <c r="M68" s="241">
        <f t="shared" si="34"/>
        <v>2592.0000000000005</v>
      </c>
      <c r="N68" s="241">
        <f t="shared" si="35"/>
        <v>20735.999999999996</v>
      </c>
      <c r="O68" s="258">
        <v>1</v>
      </c>
      <c r="P68" s="241">
        <f t="shared" si="36"/>
        <v>20735.999999999996</v>
      </c>
      <c r="R68" s="236">
        <v>2</v>
      </c>
      <c r="S68" s="236">
        <f t="shared" si="37"/>
        <v>6</v>
      </c>
      <c r="T68" s="241">
        <f>2200+1500</f>
        <v>3700</v>
      </c>
      <c r="U68" s="241">
        <f t="shared" si="44"/>
        <v>4810</v>
      </c>
      <c r="V68" s="259">
        <f t="shared" si="38"/>
        <v>1110</v>
      </c>
      <c r="W68" s="260">
        <f t="shared" si="39"/>
        <v>3330</v>
      </c>
      <c r="X68" s="261">
        <f t="shared" si="40"/>
        <v>24065.999999999996</v>
      </c>
      <c r="AB68" s="262">
        <f t="shared" si="2"/>
        <v>0.23999999999999996</v>
      </c>
      <c r="AC68" s="241">
        <f t="shared" si="41"/>
        <v>5039.999999999999</v>
      </c>
      <c r="AD68" s="262">
        <f t="shared" si="42"/>
        <v>0.3</v>
      </c>
    </row>
    <row r="69" spans="1:30" ht="36">
      <c r="A69" s="308" t="s">
        <v>395</v>
      </c>
      <c r="B69" s="254">
        <v>3</v>
      </c>
      <c r="C69" s="263">
        <v>50</v>
      </c>
      <c r="D69" s="301">
        <f t="shared" si="27"/>
        <v>150</v>
      </c>
      <c r="E69" s="256">
        <f t="shared" si="28"/>
        <v>150</v>
      </c>
      <c r="F69" s="255">
        <f t="shared" si="29"/>
        <v>105</v>
      </c>
      <c r="G69" s="255">
        <f t="shared" si="30"/>
        <v>45.00000000000001</v>
      </c>
      <c r="H69" s="236">
        <v>60</v>
      </c>
      <c r="I69" s="241">
        <f t="shared" si="31"/>
        <v>108000</v>
      </c>
      <c r="J69" s="327">
        <f t="shared" si="43"/>
        <v>78</v>
      </c>
      <c r="K69" s="241">
        <f>((J69-H69)*F69)*12</f>
        <v>22680</v>
      </c>
      <c r="L69" s="241">
        <f t="shared" si="33"/>
        <v>66</v>
      </c>
      <c r="M69" s="241">
        <f t="shared" si="34"/>
        <v>3240.000000000001</v>
      </c>
      <c r="N69" s="241">
        <f t="shared" si="35"/>
        <v>25920</v>
      </c>
      <c r="O69" s="258">
        <v>1</v>
      </c>
      <c r="P69" s="241">
        <f t="shared" si="36"/>
        <v>25920</v>
      </c>
      <c r="R69" s="236">
        <v>2</v>
      </c>
      <c r="S69" s="236">
        <f t="shared" si="37"/>
        <v>6</v>
      </c>
      <c r="T69" s="241">
        <f>2200+1500</f>
        <v>3700</v>
      </c>
      <c r="U69" s="241">
        <f t="shared" si="44"/>
        <v>4810</v>
      </c>
      <c r="V69" s="259">
        <f t="shared" si="38"/>
        <v>1110</v>
      </c>
      <c r="W69" s="260">
        <f t="shared" si="39"/>
        <v>3330</v>
      </c>
      <c r="X69" s="261">
        <f t="shared" si="40"/>
        <v>29250</v>
      </c>
      <c r="AB69" s="262">
        <f t="shared" si="2"/>
        <v>0.24</v>
      </c>
      <c r="AC69" s="241">
        <f t="shared" si="41"/>
        <v>6300</v>
      </c>
      <c r="AD69" s="262">
        <f t="shared" si="42"/>
        <v>0.3</v>
      </c>
    </row>
    <row r="70" spans="1:30" ht="16.5" customHeight="1">
      <c r="A70" s="305" t="s">
        <v>396</v>
      </c>
      <c r="B70" s="254">
        <v>1</v>
      </c>
      <c r="C70" s="254">
        <v>30</v>
      </c>
      <c r="D70" s="283">
        <f t="shared" si="27"/>
        <v>30</v>
      </c>
      <c r="E70" s="256">
        <f t="shared" si="28"/>
        <v>30</v>
      </c>
      <c r="F70" s="255">
        <f t="shared" si="29"/>
        <v>21</v>
      </c>
      <c r="G70" s="255">
        <f t="shared" si="30"/>
        <v>9.000000000000002</v>
      </c>
      <c r="H70" s="236">
        <v>110</v>
      </c>
      <c r="I70" s="241">
        <f t="shared" si="31"/>
        <v>39600</v>
      </c>
      <c r="J70" s="327">
        <f t="shared" si="43"/>
        <v>143</v>
      </c>
      <c r="K70" s="241">
        <f>((J70-H70)*F70)*12</f>
        <v>8316</v>
      </c>
      <c r="L70" s="241">
        <f t="shared" si="33"/>
        <v>121.00000000000001</v>
      </c>
      <c r="M70" s="241">
        <f t="shared" si="34"/>
        <v>1188.0000000000018</v>
      </c>
      <c r="N70" s="241">
        <f t="shared" si="35"/>
        <v>9504.000000000002</v>
      </c>
      <c r="O70" s="258">
        <v>1</v>
      </c>
      <c r="P70" s="241">
        <f t="shared" si="36"/>
        <v>9504.000000000002</v>
      </c>
      <c r="R70" s="236">
        <v>2</v>
      </c>
      <c r="S70" s="236">
        <f t="shared" si="37"/>
        <v>2</v>
      </c>
      <c r="T70" s="241">
        <f>2200+1500</f>
        <v>3700</v>
      </c>
      <c r="U70" s="241">
        <f t="shared" si="44"/>
        <v>4810</v>
      </c>
      <c r="V70" s="259">
        <f t="shared" si="38"/>
        <v>1110</v>
      </c>
      <c r="W70" s="260">
        <f t="shared" si="39"/>
        <v>1110</v>
      </c>
      <c r="X70" s="261">
        <f t="shared" si="40"/>
        <v>10614.000000000002</v>
      </c>
      <c r="AB70" s="262">
        <f t="shared" si="2"/>
        <v>0.24000000000000005</v>
      </c>
      <c r="AC70" s="241">
        <f t="shared" si="41"/>
        <v>2310</v>
      </c>
      <c r="AD70" s="262">
        <f t="shared" si="42"/>
        <v>0.3</v>
      </c>
    </row>
    <row r="71" spans="1:54" s="307" customFormat="1" ht="24" customHeight="1">
      <c r="A71" s="276" t="s">
        <v>397</v>
      </c>
      <c r="B71" s="289"/>
      <c r="C71" s="289">
        <f>SUM(C63:C70)</f>
        <v>260</v>
      </c>
      <c r="D71" s="290">
        <f>SUM(D63:D70)</f>
        <v>720</v>
      </c>
      <c r="E71" s="290">
        <f>SUM(E63:E70)</f>
        <v>720</v>
      </c>
      <c r="F71" s="309">
        <f>D71*0.7</f>
        <v>503.99999999999994</v>
      </c>
      <c r="G71" s="310">
        <f>D71*0.3</f>
        <v>216</v>
      </c>
      <c r="H71" s="311">
        <v>80</v>
      </c>
      <c r="I71" s="298">
        <f>SUM(I63:I70)</f>
        <v>666000</v>
      </c>
      <c r="J71" s="204">
        <f>H71*1.3</f>
        <v>104</v>
      </c>
      <c r="K71" s="298">
        <f>SUM(K63:K70)</f>
        <v>139860</v>
      </c>
      <c r="L71" s="298"/>
      <c r="M71" s="298">
        <f>SUM(M63:M70)</f>
        <v>19980.000000000007</v>
      </c>
      <c r="N71" s="298">
        <f>SUM(N63:N70)</f>
        <v>159840</v>
      </c>
      <c r="O71" s="298"/>
      <c r="P71" s="298">
        <f>SUM(P63:P70)</f>
        <v>159840</v>
      </c>
      <c r="S71" s="302">
        <f>SUM(S63:S70)</f>
        <v>50</v>
      </c>
      <c r="T71" s="277">
        <f>SUM(T63:T70)</f>
        <v>33700</v>
      </c>
      <c r="U71" s="277">
        <f>SUM(U63:U70)</f>
        <v>43810</v>
      </c>
      <c r="V71" s="277">
        <f>SUM(V63:V70)</f>
        <v>10110</v>
      </c>
      <c r="W71" s="279">
        <f>SUM(W63:W70)</f>
        <v>28110</v>
      </c>
      <c r="X71" s="277">
        <f t="shared" si="40"/>
        <v>187950</v>
      </c>
      <c r="Y71" s="240"/>
      <c r="Z71" s="236"/>
      <c r="AA71" s="265">
        <f>P71/E71/12</f>
        <v>18.5</v>
      </c>
      <c r="AB71" s="266">
        <f t="shared" si="2"/>
        <v>0.24</v>
      </c>
      <c r="AC71" s="279">
        <f>SUM(AC63:AC70)</f>
        <v>38850</v>
      </c>
      <c r="AD71" s="266">
        <f t="shared" si="42"/>
        <v>0.3</v>
      </c>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row>
    <row r="72" spans="1:28" ht="22.5" customHeight="1">
      <c r="A72" s="312" t="s">
        <v>398</v>
      </c>
      <c r="B72" s="312"/>
      <c r="C72" s="313"/>
      <c r="D72" s="313">
        <f>D7+D8+D16+D28+D36+D40+D49+D55+D61+D71</f>
        <v>9785</v>
      </c>
      <c r="E72" s="313">
        <f>E7+E8+E16+E28+E36+E40+E49+E55+E61+E71</f>
        <v>9785</v>
      </c>
      <c r="F72" s="313">
        <f>F7+F8+F16+F28+F36+F40+F49+F55+F61+F71</f>
        <v>6797</v>
      </c>
      <c r="G72" s="313">
        <f>G7+G8+G16+G28+G36+G40+G49+G55+G61+G71</f>
        <v>2913</v>
      </c>
      <c r="H72" s="261">
        <f>AVERAGE(H7:H70)</f>
        <v>85.23255813953489</v>
      </c>
      <c r="I72" s="313">
        <f>I9+I16+I28+I36+I40+I49+I55+I61+I71</f>
        <v>8345400</v>
      </c>
      <c r="J72" s="205"/>
      <c r="K72" s="313">
        <f>K7+K8+K16+K28+K36+K40+K49+K55+K61+K71</f>
        <v>3163440</v>
      </c>
      <c r="L72" s="261"/>
      <c r="M72" s="314">
        <f>M7+M8+M16+M28+M36+M40+M49+M55+M61+M71</f>
        <v>248346.00000000003</v>
      </c>
      <c r="N72" s="293">
        <f>N7+N8+N16+N28+N36+N40+N49+N55+N61+N71</f>
        <v>3413802</v>
      </c>
      <c r="O72" s="293"/>
      <c r="P72" s="293">
        <f>P7+P8+P16+P28+P36+P40+P49+P55+P61+P71</f>
        <v>3413802</v>
      </c>
      <c r="Q72" s="239"/>
      <c r="R72" s="239"/>
      <c r="S72" s="315">
        <f>S7+S8+S16+S28+S36+S40+S49+S55+S61+S71</f>
        <v>733</v>
      </c>
      <c r="T72" s="315">
        <f>T7+T8+T16+T28+T36+T40+T49+T55+T61+T71</f>
        <v>730200</v>
      </c>
      <c r="U72" s="315">
        <f>U7+U8+U16+U28+U36+U40+U49+U55+U61+U71</f>
        <v>918800</v>
      </c>
      <c r="V72" s="315">
        <f>V7+V8+V16+V28+V36+V40+V49+V55+V61+V71</f>
        <v>188600</v>
      </c>
      <c r="W72" s="316">
        <f>W7+W8+W16+W28+W36+W40+W49+W55+W61+W71</f>
        <v>432290</v>
      </c>
      <c r="X72" s="293">
        <f>P72+W72</f>
        <v>3846092</v>
      </c>
      <c r="AB72" s="262"/>
    </row>
    <row r="73" ht="12.75"/>
    <row r="74" ht="12.75"/>
    <row r="75" ht="12.75"/>
    <row r="76" ht="12.75"/>
    <row r="77" ht="12.75"/>
    <row r="78" ht="12.75"/>
    <row r="79" ht="12.75"/>
    <row r="80" ht="12.75"/>
  </sheetData>
  <mergeCells count="8">
    <mergeCell ref="X3:X4"/>
    <mergeCell ref="K10:M10"/>
    <mergeCell ref="R3:R4"/>
    <mergeCell ref="S3:S4"/>
    <mergeCell ref="A3:A4"/>
    <mergeCell ref="H3:N3"/>
    <mergeCell ref="A2:G2"/>
    <mergeCell ref="T3:W3"/>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1"/>
  <dimension ref="A1:H43"/>
  <sheetViews>
    <sheetView workbookViewId="0" topLeftCell="A1">
      <selection activeCell="M12" sqref="M12"/>
    </sheetView>
  </sheetViews>
  <sheetFormatPr defaultColWidth="9.140625" defaultRowHeight="12.75"/>
  <cols>
    <col min="1" max="1" width="43.00390625" style="0" bestFit="1" customWidth="1"/>
    <col min="2" max="2" width="44.8515625" style="0" hidden="1" customWidth="1"/>
  </cols>
  <sheetData>
    <row r="1" spans="6:7" ht="12.75">
      <c r="F1" s="387" t="s">
        <v>564</v>
      </c>
      <c r="G1" s="388">
        <v>39310</v>
      </c>
    </row>
    <row r="2" spans="1:8" ht="12.75" customHeight="1">
      <c r="A2" s="468">
        <f>IF('ERR &amp; Sensitivity Analysis'!$I$10="N","Note: Current calculations are based on user input and are not the original MCC estimates.",IF('ERR &amp; Sensitivity Analysis'!$I$11="N","Note: Current calculations are based on user input and are not the original MCC estimates.",0))</f>
        <v>0</v>
      </c>
      <c r="B2" s="468"/>
      <c r="C2" s="468"/>
      <c r="D2" s="468"/>
      <c r="E2" s="468"/>
      <c r="F2" s="468"/>
      <c r="G2" s="468"/>
      <c r="H2" s="458"/>
    </row>
    <row r="3" spans="1:7" ht="12.75">
      <c r="A3" s="3" t="s">
        <v>69</v>
      </c>
      <c r="B3" s="3"/>
      <c r="C3" s="3"/>
      <c r="D3" s="3"/>
      <c r="E3" s="3"/>
      <c r="F3" s="3"/>
      <c r="G3" s="3"/>
    </row>
    <row r="4" spans="1:7" ht="12.75">
      <c r="A4" s="3"/>
      <c r="B4" s="3"/>
      <c r="C4" s="3">
        <v>2001</v>
      </c>
      <c r="D4" s="3">
        <v>20002</v>
      </c>
      <c r="E4" s="3">
        <v>2003</v>
      </c>
      <c r="F4" s="3">
        <v>2004</v>
      </c>
      <c r="G4" s="3">
        <v>2005</v>
      </c>
    </row>
    <row r="5" spans="1:7" ht="12.75">
      <c r="A5" t="s">
        <v>57</v>
      </c>
      <c r="B5" t="s">
        <v>70</v>
      </c>
      <c r="C5" s="9">
        <v>89</v>
      </c>
      <c r="D5" s="9">
        <v>176</v>
      </c>
      <c r="E5" s="9">
        <v>151</v>
      </c>
      <c r="F5" s="9">
        <v>188</v>
      </c>
      <c r="G5" s="9">
        <v>272</v>
      </c>
    </row>
    <row r="6" spans="1:7" ht="12.75">
      <c r="A6" t="s">
        <v>58</v>
      </c>
      <c r="B6" t="s">
        <v>71</v>
      </c>
      <c r="C6" s="9">
        <v>80</v>
      </c>
      <c r="D6" s="9">
        <v>48</v>
      </c>
      <c r="E6" s="9">
        <v>136</v>
      </c>
      <c r="F6" s="9">
        <v>413</v>
      </c>
      <c r="G6" s="9">
        <v>406</v>
      </c>
    </row>
    <row r="7" spans="1:7" ht="12.75">
      <c r="A7" t="s">
        <v>59</v>
      </c>
      <c r="B7" t="s">
        <v>72</v>
      </c>
      <c r="C7" s="9">
        <v>120</v>
      </c>
      <c r="D7" s="9">
        <v>126</v>
      </c>
      <c r="E7" s="9">
        <v>124</v>
      </c>
      <c r="F7" s="9">
        <v>89</v>
      </c>
      <c r="G7" s="9">
        <v>191</v>
      </c>
    </row>
    <row r="8" spans="1:7" ht="12.75">
      <c r="A8" t="s">
        <v>60</v>
      </c>
      <c r="B8" t="s">
        <v>73</v>
      </c>
      <c r="C8" s="9">
        <v>58</v>
      </c>
      <c r="D8" s="9">
        <v>109</v>
      </c>
      <c r="E8" s="9">
        <v>209</v>
      </c>
      <c r="F8" s="9">
        <v>368</v>
      </c>
      <c r="G8" s="9">
        <v>272</v>
      </c>
    </row>
    <row r="9" spans="1:7" ht="12.75">
      <c r="A9" t="s">
        <v>61</v>
      </c>
      <c r="B9" t="s">
        <v>74</v>
      </c>
      <c r="C9" s="9">
        <v>160</v>
      </c>
      <c r="D9" s="9">
        <v>83</v>
      </c>
      <c r="E9" s="9">
        <v>157</v>
      </c>
      <c r="F9" s="9">
        <v>178</v>
      </c>
      <c r="G9" s="9">
        <v>253</v>
      </c>
    </row>
    <row r="10" spans="1:7" ht="12.75">
      <c r="A10" t="s">
        <v>62</v>
      </c>
      <c r="B10" t="s">
        <v>75</v>
      </c>
      <c r="C10" s="9">
        <v>81</v>
      </c>
      <c r="D10" s="9">
        <v>142</v>
      </c>
      <c r="E10" s="9">
        <v>183</v>
      </c>
      <c r="F10" s="9">
        <v>298</v>
      </c>
      <c r="G10" s="9">
        <v>306</v>
      </c>
    </row>
    <row r="11" spans="1:7" ht="12.75">
      <c r="A11" t="s">
        <v>63</v>
      </c>
      <c r="B11" t="s">
        <v>63</v>
      </c>
      <c r="C11" s="9">
        <v>213</v>
      </c>
      <c r="D11" s="9">
        <v>154</v>
      </c>
      <c r="E11" s="9">
        <v>188</v>
      </c>
      <c r="F11" s="9">
        <v>338</v>
      </c>
      <c r="G11" s="9">
        <v>354</v>
      </c>
    </row>
    <row r="12" spans="1:8" ht="12.75">
      <c r="A12" t="s">
        <v>64</v>
      </c>
      <c r="B12" t="s">
        <v>76</v>
      </c>
      <c r="C12" s="9">
        <v>111</v>
      </c>
      <c r="D12" s="9">
        <v>215</v>
      </c>
      <c r="E12" s="9">
        <v>211</v>
      </c>
      <c r="F12" s="9">
        <v>251</v>
      </c>
      <c r="G12" s="9">
        <v>272</v>
      </c>
      <c r="H12" s="9">
        <f>AVERAGE(G5:G12)</f>
        <v>290.75</v>
      </c>
    </row>
    <row r="13" spans="1:7" s="3" customFormat="1" ht="12.75">
      <c r="A13" s="3" t="s">
        <v>77</v>
      </c>
      <c r="C13" s="10">
        <v>912</v>
      </c>
      <c r="D13" s="10">
        <v>1053</v>
      </c>
      <c r="E13" s="10">
        <v>1359</v>
      </c>
      <c r="F13" s="10">
        <v>2123</v>
      </c>
      <c r="G13" s="10">
        <v>2326</v>
      </c>
    </row>
    <row r="14" spans="1:7" s="3" customFormat="1" ht="12.75">
      <c r="A14" s="3" t="s">
        <v>78</v>
      </c>
      <c r="C14" s="10">
        <v>3826</v>
      </c>
      <c r="D14" s="10">
        <v>4113</v>
      </c>
      <c r="E14" s="10">
        <v>5695</v>
      </c>
      <c r="F14" s="10">
        <v>7524</v>
      </c>
      <c r="G14" s="10">
        <v>7891</v>
      </c>
    </row>
    <row r="16" spans="1:7" ht="12.75">
      <c r="A16" s="3" t="s">
        <v>79</v>
      </c>
      <c r="B16" s="3"/>
      <c r="C16" s="3"/>
      <c r="D16" s="3"/>
      <c r="E16" s="3"/>
      <c r="F16" s="3"/>
      <c r="G16" s="3"/>
    </row>
    <row r="17" spans="1:7" ht="12.75">
      <c r="A17" s="3"/>
      <c r="B17" s="3"/>
      <c r="C17" s="3">
        <v>2001</v>
      </c>
      <c r="D17" s="3">
        <v>20002</v>
      </c>
      <c r="E17" s="3">
        <v>2003</v>
      </c>
      <c r="F17" s="3">
        <v>2004</v>
      </c>
      <c r="G17" s="3">
        <v>2005</v>
      </c>
    </row>
    <row r="18" spans="1:7" ht="12.75">
      <c r="A18" t="s">
        <v>57</v>
      </c>
      <c r="B18" t="s">
        <v>70</v>
      </c>
      <c r="C18" s="9">
        <v>47</v>
      </c>
      <c r="D18" s="9">
        <v>75</v>
      </c>
      <c r="E18" s="9">
        <v>74</v>
      </c>
      <c r="F18" s="9">
        <v>108</v>
      </c>
      <c r="G18" s="9">
        <v>164</v>
      </c>
    </row>
    <row r="19" spans="1:7" ht="12.75">
      <c r="A19" t="s">
        <v>58</v>
      </c>
      <c r="B19" t="s">
        <v>71</v>
      </c>
      <c r="C19" s="9">
        <v>49</v>
      </c>
      <c r="D19" s="9">
        <v>22</v>
      </c>
      <c r="E19" s="9">
        <v>77</v>
      </c>
      <c r="F19" s="9">
        <v>256</v>
      </c>
      <c r="G19" s="9">
        <v>288</v>
      </c>
    </row>
    <row r="20" spans="1:7" ht="12.75">
      <c r="A20" t="s">
        <v>59</v>
      </c>
      <c r="B20" t="s">
        <v>72</v>
      </c>
      <c r="C20" s="9">
        <v>70</v>
      </c>
      <c r="D20" s="9">
        <v>75</v>
      </c>
      <c r="E20" s="9">
        <v>70</v>
      </c>
      <c r="F20" s="9">
        <v>37</v>
      </c>
      <c r="G20" s="9">
        <v>119</v>
      </c>
    </row>
    <row r="21" spans="1:7" ht="12.75">
      <c r="A21" t="s">
        <v>60</v>
      </c>
      <c r="B21" t="s">
        <v>73</v>
      </c>
      <c r="C21" s="9">
        <v>26</v>
      </c>
      <c r="D21" s="9">
        <v>79</v>
      </c>
      <c r="E21" s="9">
        <v>122</v>
      </c>
      <c r="F21" s="9">
        <v>185</v>
      </c>
      <c r="G21" s="9">
        <v>113</v>
      </c>
    </row>
    <row r="22" spans="1:7" ht="12.75">
      <c r="A22" t="s">
        <v>61</v>
      </c>
      <c r="B22" t="s">
        <v>74</v>
      </c>
      <c r="C22" s="9">
        <v>72</v>
      </c>
      <c r="D22" s="9">
        <v>14</v>
      </c>
      <c r="E22" s="9">
        <v>81</v>
      </c>
      <c r="F22" s="9">
        <v>105</v>
      </c>
      <c r="G22" s="9">
        <v>122</v>
      </c>
    </row>
    <row r="23" spans="1:7" ht="12.75">
      <c r="A23" t="s">
        <v>62</v>
      </c>
      <c r="B23" t="s">
        <v>75</v>
      </c>
      <c r="C23" s="9">
        <v>25</v>
      </c>
      <c r="D23" s="9">
        <v>55</v>
      </c>
      <c r="E23" s="9">
        <v>65</v>
      </c>
      <c r="F23" s="9">
        <v>100</v>
      </c>
      <c r="G23" s="9">
        <v>139</v>
      </c>
    </row>
    <row r="24" spans="1:7" ht="12.75">
      <c r="A24" t="s">
        <v>63</v>
      </c>
      <c r="B24" t="s">
        <v>63</v>
      </c>
      <c r="C24" s="9">
        <v>104</v>
      </c>
      <c r="D24" s="9">
        <v>94</v>
      </c>
      <c r="E24" s="9">
        <v>111</v>
      </c>
      <c r="F24" s="9">
        <v>141</v>
      </c>
      <c r="G24" s="9">
        <v>142</v>
      </c>
    </row>
    <row r="25" spans="1:7" ht="12.75">
      <c r="A25" t="s">
        <v>64</v>
      </c>
      <c r="B25" t="s">
        <v>76</v>
      </c>
      <c r="C25" s="9">
        <v>72</v>
      </c>
      <c r="D25" s="9">
        <v>118</v>
      </c>
      <c r="E25" s="9">
        <v>99</v>
      </c>
      <c r="F25" s="9">
        <v>145</v>
      </c>
      <c r="G25" s="9">
        <v>145</v>
      </c>
    </row>
    <row r="26" spans="1:7" s="3" customFormat="1" ht="12.75">
      <c r="A26" s="3" t="s">
        <v>77</v>
      </c>
      <c r="C26" s="10">
        <f>SUM(C18:C25)</f>
        <v>465</v>
      </c>
      <c r="D26" s="10">
        <f>SUM(D18:D25)</f>
        <v>532</v>
      </c>
      <c r="E26" s="10">
        <f>SUM(E18:E25)</f>
        <v>699</v>
      </c>
      <c r="F26" s="10">
        <f>SUM(F18:F25)</f>
        <v>1077</v>
      </c>
      <c r="G26" s="10">
        <f>SUM(G18:G25)</f>
        <v>1232</v>
      </c>
    </row>
    <row r="27" spans="1:7" ht="12.75">
      <c r="A27" t="s">
        <v>80</v>
      </c>
      <c r="C27" s="11">
        <v>0.5098684210526315</v>
      </c>
      <c r="D27" s="11">
        <v>0.5052231718898386</v>
      </c>
      <c r="E27" s="11">
        <v>0.5143487858719646</v>
      </c>
      <c r="F27" s="11">
        <v>0.5073009891662741</v>
      </c>
      <c r="G27" s="11">
        <v>0.529664660361135</v>
      </c>
    </row>
    <row r="28" spans="1:7" s="3" customFormat="1" ht="12.75">
      <c r="A28" s="3" t="s">
        <v>78</v>
      </c>
      <c r="C28" s="10">
        <v>1990</v>
      </c>
      <c r="D28" s="10">
        <v>2032</v>
      </c>
      <c r="E28" s="10">
        <v>2965</v>
      </c>
      <c r="F28" s="10">
        <v>3790</v>
      </c>
      <c r="G28" s="10">
        <v>4112</v>
      </c>
    </row>
    <row r="29" spans="1:7" ht="12.75">
      <c r="A29" t="s">
        <v>80</v>
      </c>
      <c r="C29" s="11">
        <v>0.520125457396759</v>
      </c>
      <c r="D29" s="11">
        <v>0.49404327741308046</v>
      </c>
      <c r="E29" s="11">
        <v>0.520632133450395</v>
      </c>
      <c r="F29" s="11">
        <v>0.5037214247740563</v>
      </c>
      <c r="G29" s="11">
        <v>0.521099987327335</v>
      </c>
    </row>
    <row r="32" ht="12.75">
      <c r="A32" t="s">
        <v>81</v>
      </c>
    </row>
    <row r="35" ht="12.75">
      <c r="A35" s="3" t="s">
        <v>82</v>
      </c>
    </row>
    <row r="36" spans="3:7" ht="12.75">
      <c r="C36" s="3">
        <v>2001</v>
      </c>
      <c r="D36" s="3">
        <v>20002</v>
      </c>
      <c r="E36" s="3">
        <v>2003</v>
      </c>
      <c r="F36" s="3">
        <v>2004</v>
      </c>
      <c r="G36" s="3">
        <v>2005</v>
      </c>
    </row>
    <row r="37" spans="1:7" ht="12.75">
      <c r="A37" t="s">
        <v>83</v>
      </c>
      <c r="C37">
        <v>95</v>
      </c>
      <c r="D37">
        <v>116</v>
      </c>
      <c r="E37">
        <v>152</v>
      </c>
      <c r="F37">
        <v>233</v>
      </c>
      <c r="G37">
        <v>231</v>
      </c>
    </row>
    <row r="38" spans="1:7" ht="12.75">
      <c r="A38" t="s">
        <v>84</v>
      </c>
      <c r="C38">
        <v>2</v>
      </c>
      <c r="D38">
        <v>2</v>
      </c>
      <c r="E38">
        <v>3</v>
      </c>
      <c r="F38">
        <v>3</v>
      </c>
      <c r="G38">
        <v>0</v>
      </c>
    </row>
    <row r="39" spans="1:7" ht="12.75">
      <c r="A39" t="s">
        <v>85</v>
      </c>
      <c r="C39">
        <f>C37*C38</f>
        <v>190</v>
      </c>
      <c r="D39">
        <f>D37*D38</f>
        <v>232</v>
      </c>
      <c r="E39">
        <f>E37*E38</f>
        <v>456</v>
      </c>
      <c r="F39">
        <f>F37*F38</f>
        <v>699</v>
      </c>
      <c r="G39">
        <f>G37*G38</f>
        <v>0</v>
      </c>
    </row>
    <row r="40" spans="1:7" ht="12.75">
      <c r="A40" t="s">
        <v>86</v>
      </c>
      <c r="C40" s="9">
        <f>C14</f>
        <v>3826</v>
      </c>
      <c r="D40" s="9">
        <f>D14</f>
        <v>4113</v>
      </c>
      <c r="E40" s="9">
        <f>E14</f>
        <v>5695</v>
      </c>
      <c r="F40" s="9">
        <f>F14</f>
        <v>7524</v>
      </c>
      <c r="G40" s="9">
        <f>G14</f>
        <v>7891</v>
      </c>
    </row>
    <row r="41" spans="1:7" ht="12.75">
      <c r="A41" t="s">
        <v>87</v>
      </c>
      <c r="C41" s="9">
        <f>C39+C40</f>
        <v>4016</v>
      </c>
      <c r="D41" s="9">
        <f>D39+D40</f>
        <v>4345</v>
      </c>
      <c r="E41" s="9">
        <f>E39+E40</f>
        <v>6151</v>
      </c>
      <c r="F41" s="9">
        <f>F39+F40</f>
        <v>8223</v>
      </c>
      <c r="G41" s="9">
        <f>G39+G40</f>
        <v>7891</v>
      </c>
    </row>
    <row r="42" spans="4:8" ht="12.75">
      <c r="D42" s="9"/>
      <c r="E42" s="9"/>
      <c r="F42" s="9"/>
      <c r="G42" s="9"/>
      <c r="H42" t="s">
        <v>114</v>
      </c>
    </row>
    <row r="43" spans="1:8" ht="12.75">
      <c r="A43" t="s">
        <v>88</v>
      </c>
      <c r="D43" s="1">
        <f>(D41-C41)/C41</f>
        <v>0.08192231075697211</v>
      </c>
      <c r="E43" s="1">
        <f>(E41-D41)/D41</f>
        <v>0.41565017261219794</v>
      </c>
      <c r="F43" s="1">
        <f>(F41-E41)/E41</f>
        <v>0.3368557958055601</v>
      </c>
      <c r="G43" s="1">
        <f>(G41-F41)/F41</f>
        <v>-0.04037455916332239</v>
      </c>
      <c r="H43" s="1">
        <f>AVERAGE(D43:G43)</f>
        <v>0.19851343000285193</v>
      </c>
    </row>
  </sheetData>
  <mergeCells count="1">
    <mergeCell ref="A2:G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I44"/>
  <sheetViews>
    <sheetView workbookViewId="0" topLeftCell="A1">
      <selection activeCell="H14" sqref="H14"/>
    </sheetView>
  </sheetViews>
  <sheetFormatPr defaultColWidth="9.140625" defaultRowHeight="12.75"/>
  <cols>
    <col min="1" max="1" width="2.7109375" style="111" customWidth="1"/>
    <col min="2" max="2" width="30.28125" style="111" customWidth="1"/>
    <col min="3" max="3" width="15.7109375" style="111" customWidth="1"/>
    <col min="4" max="4" width="14.00390625" style="111" customWidth="1"/>
    <col min="5" max="5" width="15.57421875" style="111" customWidth="1"/>
    <col min="6" max="6" width="13.7109375" style="111" customWidth="1"/>
    <col min="7" max="7" width="17.00390625" style="111" customWidth="1"/>
    <col min="8" max="9" width="12.00390625" style="111" bestFit="1" customWidth="1"/>
    <col min="10" max="10" width="12.7109375" style="111" bestFit="1" customWidth="1"/>
    <col min="11" max="11" width="12.57421875" style="111" bestFit="1" customWidth="1"/>
    <col min="12" max="12" width="12.00390625" style="111" bestFit="1" customWidth="1"/>
    <col min="13" max="13" width="10.28125" style="111" bestFit="1" customWidth="1"/>
    <col min="14" max="16384" width="9.140625" style="111" customWidth="1"/>
  </cols>
  <sheetData>
    <row r="1" spans="2:7" ht="12.75">
      <c r="B1" s="112" t="s">
        <v>167</v>
      </c>
      <c r="F1" s="387" t="s">
        <v>564</v>
      </c>
      <c r="G1" s="388">
        <v>39310</v>
      </c>
    </row>
    <row r="2" spans="2:9" ht="12.75" customHeight="1">
      <c r="B2" s="468">
        <f>IF('ERR &amp; Sensitivity Analysis'!$I$10="N","Note: Current calculations are based on user input and are not the original MCC estimates.",IF('ERR &amp; Sensitivity Analysis'!$I$11="N","Note: Current calculations are based on user input and are not the original MCC estimates.",0))</f>
        <v>0</v>
      </c>
      <c r="C2" s="468"/>
      <c r="D2" s="468"/>
      <c r="E2" s="468"/>
      <c r="F2" s="468"/>
      <c r="G2" s="458"/>
      <c r="H2" s="458"/>
      <c r="I2" s="458"/>
    </row>
    <row r="3" spans="2:7" ht="12.75">
      <c r="B3" s="112"/>
      <c r="F3" s="387"/>
      <c r="G3" s="388"/>
    </row>
    <row r="4" spans="2:7" ht="12.75">
      <c r="B4" s="157" t="s">
        <v>69</v>
      </c>
      <c r="C4" s="158">
        <f>Graduates!D14</f>
        <v>4113</v>
      </c>
      <c r="D4" s="158">
        <f>Graduates!E14</f>
        <v>5695</v>
      </c>
      <c r="E4" s="158">
        <f>Graduates!F14</f>
        <v>7524</v>
      </c>
      <c r="F4" s="158">
        <f>Graduates!G14</f>
        <v>7891</v>
      </c>
      <c r="G4" s="158" t="s">
        <v>114</v>
      </c>
    </row>
    <row r="5" spans="2:7" ht="12.75">
      <c r="B5" s="157" t="s">
        <v>207</v>
      </c>
      <c r="C5" s="159">
        <f>C10/C4*1000000</f>
        <v>1108062.241672745</v>
      </c>
      <c r="D5" s="159">
        <f>D10/D4*1000000</f>
        <v>921120.2809482</v>
      </c>
      <c r="E5" s="159">
        <f>E10/E4*1000000</f>
        <v>848985.380116959</v>
      </c>
      <c r="F5" s="159">
        <f>F10/F4*1000000</f>
        <v>888374.9841591687</v>
      </c>
      <c r="G5" s="159">
        <f>AVERAGE(C5:F5)</f>
        <v>941635.7217242682</v>
      </c>
    </row>
    <row r="6" spans="2:7" ht="12.75">
      <c r="B6" s="112"/>
      <c r="G6" s="111" t="s">
        <v>168</v>
      </c>
    </row>
    <row r="7" spans="2:7" ht="24.75" customHeight="1">
      <c r="B7" s="113"/>
      <c r="C7" s="113">
        <v>2002</v>
      </c>
      <c r="D7" s="113">
        <v>2003</v>
      </c>
      <c r="E7" s="113">
        <v>2004</v>
      </c>
      <c r="F7" s="113">
        <v>2005</v>
      </c>
      <c r="G7" s="113">
        <v>2006</v>
      </c>
    </row>
    <row r="8" spans="2:7" ht="12.75">
      <c r="B8" s="114" t="s">
        <v>169</v>
      </c>
      <c r="C8" s="115">
        <v>1240786.8</v>
      </c>
      <c r="D8" s="115">
        <v>1359700</v>
      </c>
      <c r="E8" s="115">
        <v>1514500</v>
      </c>
      <c r="F8" s="116">
        <v>1932600</v>
      </c>
      <c r="G8" s="116">
        <v>2891700</v>
      </c>
    </row>
    <row r="9" spans="2:8" s="117" customFormat="1" ht="12.75">
      <c r="B9" s="118" t="s">
        <v>170</v>
      </c>
      <c r="C9" s="119">
        <v>99316.9</v>
      </c>
      <c r="D9" s="119">
        <v>111288.6</v>
      </c>
      <c r="E9" s="120">
        <v>136263.3</v>
      </c>
      <c r="F9" s="121">
        <v>143869.382</v>
      </c>
      <c r="G9" s="121">
        <v>187327.983</v>
      </c>
      <c r="H9" s="122"/>
    </row>
    <row r="10" spans="2:8" s="117" customFormat="1" ht="25.5">
      <c r="B10" s="118" t="s">
        <v>171</v>
      </c>
      <c r="C10" s="119">
        <v>4557.46</v>
      </c>
      <c r="D10" s="119">
        <v>5245.78</v>
      </c>
      <c r="E10" s="120">
        <v>6387.766</v>
      </c>
      <c r="F10" s="123">
        <v>7010.167</v>
      </c>
      <c r="G10" s="123">
        <v>8952.134</v>
      </c>
      <c r="H10" s="122"/>
    </row>
    <row r="11" spans="2:8" ht="25.5">
      <c r="B11" s="124" t="s">
        <v>172</v>
      </c>
      <c r="C11" s="125">
        <f>+C10/C9</f>
        <v>0.04588806134706178</v>
      </c>
      <c r="D11" s="125">
        <f>+D10/D9</f>
        <v>0.04713672379740602</v>
      </c>
      <c r="E11" s="125">
        <f>+E10/E9</f>
        <v>0.04687811024685297</v>
      </c>
      <c r="F11" s="125">
        <f>+F10/F9</f>
        <v>0.048725913064671396</v>
      </c>
      <c r="G11" s="125">
        <f>+G10/G9</f>
        <v>0.04778855703581669</v>
      </c>
      <c r="H11" s="156"/>
    </row>
    <row r="12" spans="2:8" ht="25.5">
      <c r="B12" s="114" t="s">
        <v>173</v>
      </c>
      <c r="C12" s="126">
        <f>C9/C8</f>
        <v>0.08004348531109454</v>
      </c>
      <c r="D12" s="126">
        <f>D9/D8</f>
        <v>0.08184790762668236</v>
      </c>
      <c r="E12" s="126">
        <f>E9/E8</f>
        <v>0.08997246616044899</v>
      </c>
      <c r="F12" s="126">
        <f>F9/F8</f>
        <v>0.0744434347511125</v>
      </c>
      <c r="G12" s="126">
        <f>G9/G8</f>
        <v>0.06478126465400975</v>
      </c>
      <c r="H12" s="122"/>
    </row>
    <row r="13" spans="2:8" ht="25.5">
      <c r="B13" s="124" t="s">
        <v>174</v>
      </c>
      <c r="C13" s="125">
        <f>C10/C8</f>
        <v>0.0036730403643881445</v>
      </c>
      <c r="D13" s="125">
        <f>D10/D8</f>
        <v>0.003858042215194528</v>
      </c>
      <c r="E13" s="125">
        <f>E10/E8</f>
        <v>0.004217739187850776</v>
      </c>
      <c r="F13" s="125">
        <f>F10/F8</f>
        <v>0.003627324329918245</v>
      </c>
      <c r="G13" s="125">
        <f>G10/G8</f>
        <v>0.003095803160770481</v>
      </c>
      <c r="H13" s="122"/>
    </row>
    <row r="14" spans="2:8" s="117" customFormat="1" ht="12.75">
      <c r="B14" s="118"/>
      <c r="C14" s="119"/>
      <c r="D14" s="119"/>
      <c r="E14" s="120"/>
      <c r="F14" s="123"/>
      <c r="G14" s="123"/>
      <c r="H14" s="122"/>
    </row>
    <row r="15" spans="2:8" s="117" customFormat="1" ht="25.5">
      <c r="B15" s="118" t="s">
        <v>175</v>
      </c>
      <c r="C15" s="115">
        <v>477049</v>
      </c>
      <c r="D15" s="115">
        <v>535795</v>
      </c>
      <c r="E15" s="127">
        <v>580930.8</v>
      </c>
      <c r="F15" s="121">
        <v>706300</v>
      </c>
      <c r="G15" s="121">
        <v>1290355.1</v>
      </c>
      <c r="H15" s="122"/>
    </row>
    <row r="16" spans="2:8" s="117" customFormat="1" ht="38.25" customHeight="1">
      <c r="B16" s="118" t="s">
        <v>176</v>
      </c>
      <c r="C16" s="126">
        <f>+C9/C15</f>
        <v>0.2081901439894015</v>
      </c>
      <c r="D16" s="126">
        <f>+D9/D15</f>
        <v>0.20770742541457088</v>
      </c>
      <c r="E16" s="126">
        <f>+E9/E15</f>
        <v>0.23456029530539607</v>
      </c>
      <c r="F16" s="126">
        <f>+F9/F15</f>
        <v>0.20369443862381426</v>
      </c>
      <c r="G16" s="126">
        <f>+G9/G15</f>
        <v>0.1451755280387546</v>
      </c>
      <c r="H16" s="122"/>
    </row>
    <row r="17" spans="2:8" ht="38.25">
      <c r="B17" s="124" t="s">
        <v>177</v>
      </c>
      <c r="C17" s="125">
        <f>+C10/C15</f>
        <v>0.009553442099239282</v>
      </c>
      <c r="D17" s="125">
        <f>+D10/D15</f>
        <v>0.009790647542436939</v>
      </c>
      <c r="E17" s="125">
        <f>+E10/E15</f>
        <v>0.010995743382860745</v>
      </c>
      <c r="F17" s="125">
        <f>+F10/F15</f>
        <v>0.009925197508141017</v>
      </c>
      <c r="G17" s="125">
        <f>+G10/G15</f>
        <v>0.006937729001884829</v>
      </c>
      <c r="H17" s="122"/>
    </row>
    <row r="18" spans="2:7" ht="12.75">
      <c r="B18" s="128"/>
      <c r="C18" s="128"/>
      <c r="D18" s="128"/>
      <c r="E18" s="128"/>
      <c r="F18" s="129"/>
      <c r="G18" s="129"/>
    </row>
    <row r="19" spans="2:7" ht="26.25" customHeight="1">
      <c r="B19" s="499" t="s">
        <v>178</v>
      </c>
      <c r="C19" s="499"/>
      <c r="D19" s="499"/>
      <c r="E19" s="499"/>
      <c r="F19" s="499"/>
      <c r="G19" s="499"/>
    </row>
    <row r="20" spans="2:7" ht="12.75">
      <c r="B20" s="128"/>
      <c r="C20" s="128"/>
      <c r="D20" s="128"/>
      <c r="E20" s="128"/>
      <c r="F20" s="129"/>
      <c r="G20" s="129"/>
    </row>
    <row r="21" spans="2:7" ht="12.75">
      <c r="B21" s="128"/>
      <c r="C21" s="128"/>
      <c r="D21" s="128"/>
      <c r="E21" s="128"/>
      <c r="F21" s="129"/>
      <c r="G21" s="129"/>
    </row>
    <row r="22" spans="2:7" ht="12.75">
      <c r="B22" s="128"/>
      <c r="C22" s="128"/>
      <c r="D22" s="128"/>
      <c r="E22" s="128"/>
      <c r="F22" s="129"/>
      <c r="G22" s="129"/>
    </row>
    <row r="23" spans="1:7" ht="30.75" customHeight="1">
      <c r="A23" s="130"/>
      <c r="B23" s="113" t="s">
        <v>179</v>
      </c>
      <c r="C23" s="113">
        <v>2002</v>
      </c>
      <c r="D23" s="113">
        <v>2003</v>
      </c>
      <c r="E23" s="113">
        <v>2004</v>
      </c>
      <c r="F23" s="113">
        <v>2005</v>
      </c>
      <c r="G23" s="113">
        <v>2006</v>
      </c>
    </row>
    <row r="24" spans="1:7" ht="27.75" customHeight="1">
      <c r="A24" s="130"/>
      <c r="B24" s="131" t="s">
        <v>180</v>
      </c>
      <c r="C24" s="132">
        <v>99316.9</v>
      </c>
      <c r="D24" s="132">
        <v>111288.6</v>
      </c>
      <c r="E24" s="132">
        <v>136263.3</v>
      </c>
      <c r="F24" s="133">
        <f>+F9</f>
        <v>143869.382</v>
      </c>
      <c r="G24" s="133">
        <f>+G9</f>
        <v>187327.983</v>
      </c>
    </row>
    <row r="25" spans="1:7" ht="24.75" customHeight="1">
      <c r="A25" s="130"/>
      <c r="B25" s="131" t="s">
        <v>181</v>
      </c>
      <c r="C25" s="132">
        <v>49916.06</v>
      </c>
      <c r="D25" s="132">
        <v>56378.59</v>
      </c>
      <c r="E25" s="132">
        <v>54752.04</v>
      </c>
      <c r="F25" s="133">
        <v>53050.521</v>
      </c>
      <c r="G25" s="133">
        <v>71671.367</v>
      </c>
    </row>
    <row r="26" spans="1:7" ht="26.25" customHeight="1">
      <c r="A26" s="130"/>
      <c r="B26" s="134" t="s">
        <v>182</v>
      </c>
      <c r="C26" s="135">
        <f>+C25/C24</f>
        <v>0.5025938183733081</v>
      </c>
      <c r="D26" s="135">
        <f>+D25/D24</f>
        <v>0.5065980702425944</v>
      </c>
      <c r="E26" s="135">
        <f>+E25/E24</f>
        <v>0.40181061224849246</v>
      </c>
      <c r="F26" s="135">
        <f>+F25/F24</f>
        <v>0.368740869408892</v>
      </c>
      <c r="G26" s="135">
        <f>+G25/G24</f>
        <v>0.3825982955253407</v>
      </c>
    </row>
    <row r="27" spans="1:7" ht="15.75" customHeight="1">
      <c r="A27" s="130"/>
      <c r="B27" s="136" t="s">
        <v>183</v>
      </c>
      <c r="C27" s="133">
        <v>1593.762</v>
      </c>
      <c r="D27" s="133">
        <v>1906.926</v>
      </c>
      <c r="E27" s="133">
        <v>2093.596</v>
      </c>
      <c r="F27" s="133">
        <v>2435.058</v>
      </c>
      <c r="G27" s="133">
        <v>3568.399</v>
      </c>
    </row>
    <row r="28" spans="1:7" ht="25.5">
      <c r="A28" s="130"/>
      <c r="B28" s="134" t="s">
        <v>184</v>
      </c>
      <c r="C28" s="135">
        <f>+C27/C25</f>
        <v>0.031928842140184946</v>
      </c>
      <c r="D28" s="135">
        <f>+D27/D25</f>
        <v>0.033823584449345044</v>
      </c>
      <c r="E28" s="135">
        <f>+E27/E25</f>
        <v>0.03823777159718615</v>
      </c>
      <c r="F28" s="135">
        <f>+F27/F25</f>
        <v>0.04590073677127506</v>
      </c>
      <c r="G28" s="135">
        <f>+G27/G25</f>
        <v>0.04978834853254578</v>
      </c>
    </row>
    <row r="29" spans="1:5" ht="12.75">
      <c r="A29" s="130"/>
      <c r="B29" s="137"/>
      <c r="C29" s="138"/>
      <c r="D29" s="138"/>
      <c r="E29" s="138"/>
    </row>
    <row r="30" spans="1:5" ht="12.75">
      <c r="A30" s="130"/>
      <c r="B30" s="137"/>
      <c r="C30" s="138"/>
      <c r="D30" s="138"/>
      <c r="E30" s="138"/>
    </row>
    <row r="31" spans="1:5" ht="12.75">
      <c r="A31" s="130"/>
      <c r="B31" s="137"/>
      <c r="C31" s="138"/>
      <c r="D31" s="138"/>
      <c r="E31" s="138"/>
    </row>
    <row r="32" spans="1:5" ht="12.75">
      <c r="A32" s="130"/>
      <c r="B32" s="137"/>
      <c r="C32" s="138"/>
      <c r="D32" s="138"/>
      <c r="E32" s="138"/>
    </row>
    <row r="33" spans="1:5" ht="12.75">
      <c r="A33" s="130"/>
      <c r="B33" s="137"/>
      <c r="C33" s="138"/>
      <c r="D33" s="138"/>
      <c r="E33" s="138"/>
    </row>
    <row r="34" spans="1:5" ht="12.75">
      <c r="A34" s="130"/>
      <c r="B34" s="137"/>
      <c r="C34" s="138"/>
      <c r="D34" s="138"/>
      <c r="E34" s="138"/>
    </row>
    <row r="35" spans="1:5" ht="12.75">
      <c r="A35" s="130"/>
      <c r="B35" s="137"/>
      <c r="C35" s="138"/>
      <c r="D35" s="138"/>
      <c r="E35" s="138"/>
    </row>
    <row r="36" spans="2:7" ht="12.75">
      <c r="B36" s="139"/>
      <c r="C36" s="139"/>
      <c r="D36" s="139"/>
      <c r="E36" s="139"/>
      <c r="F36" s="140"/>
      <c r="G36" s="140"/>
    </row>
    <row r="37" spans="2:7" ht="12.75">
      <c r="B37" s="141" t="s">
        <v>185</v>
      </c>
      <c r="C37" s="142" t="s">
        <v>186</v>
      </c>
      <c r="D37" s="142" t="s">
        <v>187</v>
      </c>
      <c r="E37" s="142" t="s">
        <v>188</v>
      </c>
      <c r="F37" s="143" t="s">
        <v>189</v>
      </c>
      <c r="G37" s="143" t="s">
        <v>190</v>
      </c>
    </row>
    <row r="38" spans="2:7" ht="12.75">
      <c r="B38" s="144" t="s">
        <v>191</v>
      </c>
      <c r="C38" s="145" t="s">
        <v>192</v>
      </c>
      <c r="D38" s="145" t="s">
        <v>193</v>
      </c>
      <c r="E38" s="145" t="s">
        <v>194</v>
      </c>
      <c r="F38" s="146" t="s">
        <v>195</v>
      </c>
      <c r="G38" s="146" t="s">
        <v>196</v>
      </c>
    </row>
    <row r="39" spans="2:7" ht="12.75">
      <c r="B39" s="147" t="s">
        <v>165</v>
      </c>
      <c r="C39" s="148">
        <v>4557460.7</v>
      </c>
      <c r="D39" s="148">
        <v>5245780.4</v>
      </c>
      <c r="E39" s="148">
        <v>6387766.7</v>
      </c>
      <c r="F39" s="148">
        <v>7010167.6</v>
      </c>
      <c r="G39" s="148">
        <v>8952134.5</v>
      </c>
    </row>
    <row r="41" spans="2:7" ht="12.75">
      <c r="B41" s="149" t="s">
        <v>197</v>
      </c>
      <c r="C41" s="150" t="s">
        <v>198</v>
      </c>
      <c r="D41" s="150" t="s">
        <v>187</v>
      </c>
      <c r="E41" s="150" t="s">
        <v>199</v>
      </c>
      <c r="F41" s="150" t="s">
        <v>200</v>
      </c>
      <c r="G41" s="150" t="s">
        <v>201</v>
      </c>
    </row>
    <row r="42" spans="2:7" ht="12.75">
      <c r="B42" s="151"/>
      <c r="C42" s="152" t="s">
        <v>202</v>
      </c>
      <c r="D42" s="152" t="s">
        <v>202</v>
      </c>
      <c r="E42" s="152" t="s">
        <v>202</v>
      </c>
      <c r="F42" s="152" t="s">
        <v>202</v>
      </c>
      <c r="G42" s="152" t="s">
        <v>202</v>
      </c>
    </row>
    <row r="43" spans="2:7" ht="12.75">
      <c r="B43" s="151" t="s">
        <v>191</v>
      </c>
      <c r="C43" s="152" t="s">
        <v>203</v>
      </c>
      <c r="D43" s="152" t="s">
        <v>204</v>
      </c>
      <c r="E43" s="152" t="s">
        <v>194</v>
      </c>
      <c r="F43" s="153" t="s">
        <v>205</v>
      </c>
      <c r="G43" s="153" t="s">
        <v>206</v>
      </c>
    </row>
    <row r="44" spans="2:7" ht="12.75">
      <c r="B44" s="154" t="s">
        <v>165</v>
      </c>
      <c r="C44" s="155">
        <v>31081879</v>
      </c>
      <c r="D44" s="155">
        <v>111527937.7</v>
      </c>
      <c r="E44" s="155">
        <v>136869496.7</v>
      </c>
      <c r="F44" s="155">
        <v>143869382.1</v>
      </c>
      <c r="G44" s="155">
        <v>187327983.2</v>
      </c>
    </row>
  </sheetData>
  <mergeCells count="2">
    <mergeCell ref="B19:G19"/>
    <mergeCell ref="B2:F2"/>
  </mergeCells>
  <conditionalFormatting sqref="B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G26"/>
  <sheetViews>
    <sheetView workbookViewId="0" topLeftCell="A1">
      <selection activeCell="A1" sqref="A1:C1"/>
    </sheetView>
  </sheetViews>
  <sheetFormatPr defaultColWidth="9.140625" defaultRowHeight="12.75" outlineLevelCol="1"/>
  <cols>
    <col min="1" max="1" width="42.28125" style="168" customWidth="1"/>
    <col min="2" max="2" width="58.421875" style="168" customWidth="1" outlineLevel="1"/>
    <col min="3" max="3" width="24.421875" style="168" customWidth="1" outlineLevel="1"/>
    <col min="4" max="16384" width="9.140625" style="168" customWidth="1"/>
  </cols>
  <sheetData>
    <row r="1" spans="1:7" ht="12.75" customHeight="1">
      <c r="A1" s="468">
        <f>IF('ERR &amp; Sensitivity Analysis'!$I$10="N","Note: Current calculations are based on user input and are not the original MCC estimates.",IF('ERR &amp; Sensitivity Analysis'!$I$11="N","Note: Current calculations are based on user input and are not the original MCC estimates.",0))</f>
        <v>0</v>
      </c>
      <c r="B1" s="468"/>
      <c r="C1" s="468"/>
      <c r="F1" s="387" t="s">
        <v>564</v>
      </c>
      <c r="G1" s="388">
        <v>39310</v>
      </c>
    </row>
    <row r="2" spans="1:5" ht="12.75">
      <c r="A2" s="175" t="s">
        <v>162</v>
      </c>
      <c r="B2" s="175" t="s">
        <v>242</v>
      </c>
      <c r="C2" s="175" t="s">
        <v>243</v>
      </c>
      <c r="D2" s="3" t="s">
        <v>69</v>
      </c>
      <c r="E2" s="3" t="s">
        <v>158</v>
      </c>
    </row>
    <row r="3" spans="1:5" ht="18">
      <c r="A3" s="174" t="s">
        <v>57</v>
      </c>
      <c r="B3" s="174" t="s">
        <v>521</v>
      </c>
      <c r="C3" s="174" t="s">
        <v>89</v>
      </c>
      <c r="D3" s="353">
        <f>Graduates!G5</f>
        <v>272</v>
      </c>
      <c r="E3" s="353">
        <f>B17</f>
        <v>86953.3326799219</v>
      </c>
    </row>
    <row r="4" spans="1:4" ht="12.75">
      <c r="A4" s="174" t="s">
        <v>58</v>
      </c>
      <c r="B4" s="174" t="s">
        <v>66</v>
      </c>
      <c r="C4" s="174" t="s">
        <v>244</v>
      </c>
      <c r="D4" s="353">
        <f>Graduates!G6</f>
        <v>406</v>
      </c>
    </row>
    <row r="5" spans="1:5" ht="12.75">
      <c r="A5" s="174" t="s">
        <v>59</v>
      </c>
      <c r="B5" s="174" t="s">
        <v>67</v>
      </c>
      <c r="C5" s="174" t="s">
        <v>98</v>
      </c>
      <c r="D5" s="353">
        <f>Graduates!G7</f>
        <v>191</v>
      </c>
      <c r="E5" s="353">
        <f>B17+B23</f>
        <v>159766.08965660504</v>
      </c>
    </row>
    <row r="6" spans="1:5" ht="12.75">
      <c r="A6" s="174" t="s">
        <v>60</v>
      </c>
      <c r="B6" s="174" t="s">
        <v>65</v>
      </c>
      <c r="C6" s="174" t="s">
        <v>93</v>
      </c>
      <c r="D6" s="353">
        <f>Graduates!G8</f>
        <v>272</v>
      </c>
      <c r="E6" s="353">
        <f>B17+B18</f>
        <v>115675.27918512459</v>
      </c>
    </row>
    <row r="7" spans="1:5" ht="12.75">
      <c r="A7" s="174" t="s">
        <v>61</v>
      </c>
      <c r="B7" s="174" t="s">
        <v>159</v>
      </c>
      <c r="C7" s="174" t="s">
        <v>92</v>
      </c>
      <c r="D7" s="353">
        <f>Graduates!G9</f>
        <v>253</v>
      </c>
      <c r="E7" s="353">
        <f>B17+B19</f>
        <v>167068.0079993012</v>
      </c>
    </row>
    <row r="8" spans="1:5" ht="12.75">
      <c r="A8" s="174" t="s">
        <v>62</v>
      </c>
      <c r="B8" s="174" t="s">
        <v>160</v>
      </c>
      <c r="C8" s="174" t="s">
        <v>91</v>
      </c>
      <c r="D8" s="353">
        <f>Graduates!G10</f>
        <v>306</v>
      </c>
      <c r="E8" s="353">
        <f>B17+B20</f>
        <v>182454.5023765147</v>
      </c>
    </row>
    <row r="9" spans="1:5" ht="14.25">
      <c r="A9" s="174" t="s">
        <v>63</v>
      </c>
      <c r="B9" s="174" t="s">
        <v>245</v>
      </c>
      <c r="C9" s="174" t="s">
        <v>110</v>
      </c>
      <c r="D9" s="353">
        <f>Graduates!G11</f>
        <v>354</v>
      </c>
      <c r="E9" s="353">
        <f>B17+B25</f>
        <v>254197.77207068584</v>
      </c>
    </row>
    <row r="10" spans="1:4" ht="14.25">
      <c r="A10" s="174" t="s">
        <v>64</v>
      </c>
      <c r="B10" s="174" t="s">
        <v>68</v>
      </c>
      <c r="C10" s="191" t="s">
        <v>270</v>
      </c>
      <c r="D10" s="353">
        <f>Graduates!G12</f>
        <v>272</v>
      </c>
    </row>
    <row r="11" spans="1:4" ht="12.75">
      <c r="A11" s="354" t="s">
        <v>246</v>
      </c>
      <c r="B11" s="355"/>
      <c r="D11" s="353"/>
    </row>
    <row r="12" spans="1:4" ht="12.75">
      <c r="A12" s="355">
        <v>1</v>
      </c>
      <c r="B12" s="356" t="s">
        <v>590</v>
      </c>
      <c r="D12" s="353"/>
    </row>
    <row r="13" spans="1:4" ht="12.75">
      <c r="A13" s="355">
        <v>2</v>
      </c>
      <c r="B13" s="356" t="s">
        <v>247</v>
      </c>
      <c r="D13" s="353"/>
    </row>
    <row r="14" spans="1:2" ht="12.75">
      <c r="A14" s="355">
        <v>3</v>
      </c>
      <c r="B14" s="356" t="s">
        <v>589</v>
      </c>
    </row>
    <row r="16" ht="12.75">
      <c r="A16" s="3" t="s">
        <v>161</v>
      </c>
    </row>
    <row r="17" spans="1:4" ht="12.75">
      <c r="A17" s="168" t="s">
        <v>89</v>
      </c>
      <c r="B17" s="357">
        <v>86953.3326799219</v>
      </c>
      <c r="C17" s="357" t="s">
        <v>163</v>
      </c>
      <c r="D17" s="353">
        <f>B17</f>
        <v>86953.3326799219</v>
      </c>
    </row>
    <row r="18" spans="1:4" ht="12.75">
      <c r="A18" s="358" t="s">
        <v>93</v>
      </c>
      <c r="B18" s="357">
        <v>28721.94650520268</v>
      </c>
      <c r="C18" s="357" t="s">
        <v>163</v>
      </c>
      <c r="D18" s="353">
        <f>$B$17+B18</f>
        <v>115675.27918512459</v>
      </c>
    </row>
    <row r="19" spans="1:4" ht="12.75">
      <c r="A19" s="358" t="s">
        <v>92</v>
      </c>
      <c r="B19" s="357">
        <v>80114.67531937928</v>
      </c>
      <c r="C19" s="357" t="s">
        <v>163</v>
      </c>
      <c r="D19" s="353">
        <f aca="true" t="shared" si="0" ref="D19:D25">$B$17+B19</f>
        <v>167068.0079993012</v>
      </c>
    </row>
    <row r="20" spans="1:4" ht="12.75">
      <c r="A20" s="358" t="s">
        <v>91</v>
      </c>
      <c r="B20" s="357">
        <v>95501.16969659278</v>
      </c>
      <c r="C20" s="357" t="s">
        <v>163</v>
      </c>
      <c r="D20" s="353">
        <f t="shared" si="0"/>
        <v>182454.5023765147</v>
      </c>
    </row>
    <row r="21" spans="1:4" ht="12.75">
      <c r="A21" s="358" t="s">
        <v>90</v>
      </c>
      <c r="B21" s="357">
        <v>181303.813858103</v>
      </c>
      <c r="C21" s="357"/>
      <c r="D21" s="353">
        <f t="shared" si="0"/>
        <v>268257.1465380249</v>
      </c>
    </row>
    <row r="22" spans="1:4" ht="12.75">
      <c r="A22" s="358" t="s">
        <v>100</v>
      </c>
      <c r="B22" s="357">
        <v>99623.8105605331</v>
      </c>
      <c r="C22" s="357"/>
      <c r="D22" s="353">
        <f t="shared" si="0"/>
        <v>186577.143240455</v>
      </c>
    </row>
    <row r="23" spans="1:4" ht="12.75">
      <c r="A23" s="358" t="s">
        <v>98</v>
      </c>
      <c r="B23" s="357">
        <v>72812.75697668313</v>
      </c>
      <c r="C23" s="357" t="s">
        <v>163</v>
      </c>
      <c r="D23" s="353">
        <f t="shared" si="0"/>
        <v>159766.08965660504</v>
      </c>
    </row>
    <row r="24" spans="1:4" ht="12.75">
      <c r="A24" s="358" t="s">
        <v>97</v>
      </c>
      <c r="B24" s="357">
        <v>61744.48324486146</v>
      </c>
      <c r="C24" s="357"/>
      <c r="D24" s="353">
        <f t="shared" si="0"/>
        <v>148697.81592478335</v>
      </c>
    </row>
    <row r="25" spans="1:4" ht="12.75">
      <c r="A25" s="358" t="s">
        <v>110</v>
      </c>
      <c r="B25" s="357">
        <v>167244.43939076393</v>
      </c>
      <c r="C25" s="357" t="s">
        <v>163</v>
      </c>
      <c r="D25" s="353">
        <f t="shared" si="0"/>
        <v>254197.77207068584</v>
      </c>
    </row>
    <row r="26" ht="12.75">
      <c r="D26" s="353">
        <f>AVERAGE(D17:D25)</f>
        <v>174405.2321857129</v>
      </c>
    </row>
  </sheetData>
  <mergeCells count="1">
    <mergeCell ref="A1:C1"/>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B2:C26"/>
  <sheetViews>
    <sheetView showGridLines="0" tabSelected="1" workbookViewId="0" topLeftCell="A1">
      <selection activeCell="B9" sqref="B9"/>
    </sheetView>
  </sheetViews>
  <sheetFormatPr defaultColWidth="9.140625" defaultRowHeight="12.75"/>
  <cols>
    <col min="1" max="1" width="5.7109375" style="0" customWidth="1"/>
    <col min="2" max="2" width="106.421875" style="0" customWidth="1"/>
  </cols>
  <sheetData>
    <row r="2" spans="2:3" ht="20.25">
      <c r="B2" s="362" t="s">
        <v>523</v>
      </c>
      <c r="C2" s="389"/>
    </row>
    <row r="4" ht="18">
      <c r="B4" s="373" t="s">
        <v>553</v>
      </c>
    </row>
    <row r="6" ht="12.75">
      <c r="B6" s="3" t="s">
        <v>550</v>
      </c>
    </row>
    <row r="7" ht="6.75" customHeight="1">
      <c r="B7" s="3"/>
    </row>
    <row r="8" ht="102">
      <c r="B8" s="412" t="s">
        <v>583</v>
      </c>
    </row>
    <row r="9" ht="12.75">
      <c r="B9" s="412"/>
    </row>
    <row r="10" ht="12.75">
      <c r="B10" s="414" t="s">
        <v>551</v>
      </c>
    </row>
    <row r="11" ht="6.75" customHeight="1">
      <c r="B11" s="414"/>
    </row>
    <row r="12" ht="38.25">
      <c r="B12" s="413" t="s">
        <v>556</v>
      </c>
    </row>
    <row r="13" ht="6.75" customHeight="1">
      <c r="B13" s="413"/>
    </row>
    <row r="14" ht="12.75">
      <c r="B14" s="19" t="s">
        <v>570</v>
      </c>
    </row>
    <row r="15" ht="12.75">
      <c r="B15" s="19" t="s">
        <v>571</v>
      </c>
    </row>
    <row r="16" ht="12.75">
      <c r="B16" s="19" t="s">
        <v>572</v>
      </c>
    </row>
    <row r="17" ht="12.75">
      <c r="B17" s="19" t="s">
        <v>573</v>
      </c>
    </row>
    <row r="18" ht="12.75">
      <c r="B18" s="19"/>
    </row>
    <row r="19" ht="12.75">
      <c r="B19" s="414" t="s">
        <v>552</v>
      </c>
    </row>
    <row r="20" ht="6.75" customHeight="1">
      <c r="B20" s="414"/>
    </row>
    <row r="21" ht="63.75">
      <c r="B21" s="413" t="s">
        <v>557</v>
      </c>
    </row>
    <row r="23" ht="12.75">
      <c r="B23" t="s">
        <v>558</v>
      </c>
    </row>
    <row r="26" ht="12.75">
      <c r="B26" s="415" t="s">
        <v>569</v>
      </c>
    </row>
  </sheetData>
  <printOptions/>
  <pageMargins left="0.75" right="0.75" top="1" bottom="1" header="0.5" footer="0.5"/>
  <pageSetup horizontalDpi="600" verticalDpi="600" orientation="portrait" r:id="rId3"/>
  <drawing r:id="rId1"/>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2:I23"/>
  <sheetViews>
    <sheetView showGridLines="0" zoomScale="80" zoomScaleNormal="80" workbookViewId="0" topLeftCell="A1">
      <selection activeCell="G50" sqref="G50"/>
    </sheetView>
  </sheetViews>
  <sheetFormatPr defaultColWidth="9.140625" defaultRowHeight="12.75"/>
  <cols>
    <col min="1" max="1" width="5.7109375" style="0" customWidth="1"/>
    <col min="2" max="2" width="17.57421875" style="0" customWidth="1"/>
    <col min="3" max="3" width="67.57421875" style="0" customWidth="1"/>
    <col min="4" max="4" width="17.8515625" style="0" customWidth="1"/>
    <col min="5" max="5" width="14.7109375" style="0" customWidth="1"/>
    <col min="6" max="6" width="14.57421875" style="0" customWidth="1"/>
    <col min="7" max="7" width="17.00390625" style="0" customWidth="1"/>
    <col min="8" max="8" width="6.28125" style="0" customWidth="1"/>
    <col min="9" max="9" width="21.140625" style="0" customWidth="1"/>
  </cols>
  <sheetData>
    <row r="2" ht="20.25">
      <c r="B2" s="362" t="s">
        <v>523</v>
      </c>
    </row>
    <row r="4" spans="2:7" ht="18">
      <c r="B4" s="371" t="s">
        <v>515</v>
      </c>
      <c r="F4" s="387"/>
      <c r="G4" s="434" t="s">
        <v>575</v>
      </c>
    </row>
    <row r="5" ht="12.75" customHeight="1">
      <c r="C5" s="332"/>
    </row>
    <row r="6" spans="2:7" ht="39.75" customHeight="1">
      <c r="B6" s="469" t="s">
        <v>576</v>
      </c>
      <c r="C6" s="469"/>
      <c r="D6" s="469"/>
      <c r="E6" s="469"/>
      <c r="F6" s="469"/>
      <c r="G6" s="469"/>
    </row>
    <row r="8" spans="2:9" s="332" customFormat="1" ht="15.75">
      <c r="B8" s="474" t="s">
        <v>581</v>
      </c>
      <c r="C8" s="470" t="s">
        <v>516</v>
      </c>
      <c r="D8" s="459" t="s">
        <v>517</v>
      </c>
      <c r="E8" s="472"/>
      <c r="F8" s="472"/>
      <c r="G8" s="473"/>
      <c r="I8" s="466" t="s">
        <v>577</v>
      </c>
    </row>
    <row r="9" spans="2:9" s="332" customFormat="1" ht="33" customHeight="1" thickBot="1">
      <c r="B9" s="475"/>
      <c r="C9" s="471"/>
      <c r="D9" s="433" t="s">
        <v>566</v>
      </c>
      <c r="E9" s="391" t="s">
        <v>567</v>
      </c>
      <c r="F9" s="392" t="s">
        <v>582</v>
      </c>
      <c r="G9" s="391" t="s">
        <v>518</v>
      </c>
      <c r="I9" s="467"/>
    </row>
    <row r="10" spans="2:9" ht="33" customHeight="1">
      <c r="B10" s="390" t="s">
        <v>550</v>
      </c>
      <c r="C10" s="375" t="s">
        <v>559</v>
      </c>
      <c r="D10" s="416">
        <v>1</v>
      </c>
      <c r="E10" s="382">
        <v>1</v>
      </c>
      <c r="F10" s="379" t="s">
        <v>561</v>
      </c>
      <c r="G10" s="422">
        <f>D10</f>
        <v>1</v>
      </c>
      <c r="I10" s="399" t="str">
        <f>IF(D10=E10,IF(D11=E11,"Y","N"),"N")</f>
        <v>Y</v>
      </c>
    </row>
    <row r="11" spans="2:9" ht="33" customHeight="1">
      <c r="B11" s="393" t="s">
        <v>550</v>
      </c>
      <c r="C11" s="378" t="s">
        <v>560</v>
      </c>
      <c r="D11" s="417">
        <v>1</v>
      </c>
      <c r="E11" s="383">
        <v>1</v>
      </c>
      <c r="F11" s="380" t="s">
        <v>561</v>
      </c>
      <c r="G11" s="423">
        <f>D11</f>
        <v>1</v>
      </c>
      <c r="I11" s="400" t="str">
        <f>IF(D13=E13,IF(D14=E14,IF(D15=E15,IF(D16=E16,"Y","N"),"N"),"N"),"N")</f>
        <v>Y</v>
      </c>
    </row>
    <row r="12" spans="2:7" ht="12.75">
      <c r="B12" s="397"/>
      <c r="C12" s="397"/>
      <c r="D12" s="421"/>
      <c r="E12" s="397"/>
      <c r="F12" s="397"/>
      <c r="G12" s="397"/>
    </row>
    <row r="13" spans="2:9" ht="33" customHeight="1">
      <c r="B13" s="381" t="s">
        <v>565</v>
      </c>
      <c r="C13" s="394" t="s">
        <v>544</v>
      </c>
      <c r="D13" s="418">
        <v>3</v>
      </c>
      <c r="E13" s="396">
        <v>3</v>
      </c>
      <c r="F13" s="401" t="s">
        <v>522</v>
      </c>
      <c r="G13" s="424">
        <f>IF($I$10="Y",IF(D13&gt;0,D13,1),E13)</f>
        <v>3</v>
      </c>
      <c r="H13" s="411">
        <f>IF(D13&lt;1,"Minimum years to implement curriculum = 1",0)</f>
        <v>0</v>
      </c>
      <c r="I13" s="435" t="s">
        <v>579</v>
      </c>
    </row>
    <row r="14" spans="2:9" ht="33" customHeight="1">
      <c r="B14" s="376" t="s">
        <v>565</v>
      </c>
      <c r="C14" s="395" t="s">
        <v>549</v>
      </c>
      <c r="D14" s="419">
        <v>0.06</v>
      </c>
      <c r="E14" s="404">
        <v>0.06</v>
      </c>
      <c r="F14" s="402" t="s">
        <v>21</v>
      </c>
      <c r="G14" s="425">
        <f>IF($I$10="Y",D14,E14)</f>
        <v>0.06</v>
      </c>
      <c r="H14" s="410"/>
      <c r="I14" s="440" t="s">
        <v>580</v>
      </c>
    </row>
    <row r="15" spans="2:9" ht="33" customHeight="1">
      <c r="B15" s="376" t="s">
        <v>565</v>
      </c>
      <c r="C15" s="395" t="s">
        <v>543</v>
      </c>
      <c r="D15" s="419">
        <v>0.093</v>
      </c>
      <c r="E15" s="404">
        <v>0.093</v>
      </c>
      <c r="F15" s="402" t="s">
        <v>20</v>
      </c>
      <c r="G15" s="425">
        <f>IF($I$10="Y",D15,E15)</f>
        <v>0.093</v>
      </c>
      <c r="H15" s="410"/>
      <c r="I15" s="439" t="s">
        <v>578</v>
      </c>
    </row>
    <row r="16" spans="2:8" ht="33" customHeight="1">
      <c r="B16" s="377" t="s">
        <v>565</v>
      </c>
      <c r="C16" s="398" t="s">
        <v>542</v>
      </c>
      <c r="D16" s="420">
        <v>0.05</v>
      </c>
      <c r="E16" s="405">
        <v>0.05</v>
      </c>
      <c r="F16" s="403" t="s">
        <v>520</v>
      </c>
      <c r="G16" s="426">
        <f>IF($I$10="Y",D16,E16)</f>
        <v>0.05</v>
      </c>
      <c r="H16" s="410"/>
    </row>
    <row r="17" spans="4:5" ht="12.75">
      <c r="D17" s="333"/>
      <c r="E17" s="333"/>
    </row>
    <row r="18" spans="2:7" ht="26.25" customHeight="1">
      <c r="B18" s="468">
        <f>IF(I10="N",IF(I11="N","Reminder: Please reset all summary parameters to original values before changing specific parameters.  Specific parameters will only be used in ERR computation when all summary parameters are set to initial values",0),0)</f>
        <v>0</v>
      </c>
      <c r="C18" s="468"/>
      <c r="D18" s="468"/>
      <c r="E18" s="468"/>
      <c r="F18" s="468"/>
      <c r="G18" s="468"/>
    </row>
    <row r="19" spans="4:5" ht="12.75">
      <c r="D19" s="333"/>
      <c r="E19" s="333"/>
    </row>
    <row r="20" spans="3:5" ht="12.75">
      <c r="C20" s="406" t="s">
        <v>519</v>
      </c>
      <c r="D20" s="407">
        <f>'ERR Summary'!C25</f>
        <v>0.19795576652434926</v>
      </c>
      <c r="E20" s="333"/>
    </row>
    <row r="21" spans="3:5" ht="12.75">
      <c r="C21" s="406"/>
      <c r="D21" s="408"/>
      <c r="E21" s="333"/>
    </row>
    <row r="22" spans="3:4" ht="12.75">
      <c r="C22" s="406" t="s">
        <v>568</v>
      </c>
      <c r="D22" s="409">
        <v>0.198</v>
      </c>
    </row>
    <row r="23" ht="12.75">
      <c r="C23" s="207"/>
    </row>
  </sheetData>
  <sheetProtection/>
  <mergeCells count="6">
    <mergeCell ref="I8:I9"/>
    <mergeCell ref="B18:G18"/>
    <mergeCell ref="B6:G6"/>
    <mergeCell ref="C8:C9"/>
    <mergeCell ref="D8:G8"/>
    <mergeCell ref="B8:B9"/>
  </mergeCells>
  <conditionalFormatting sqref="B12 B18">
    <cfRule type="cellIs" priority="1" dxfId="0" operator="equal" stopIfTrue="1">
      <formula>0</formula>
    </cfRule>
    <cfRule type="cellIs" priority="2" dxfId="1" operator="notEqual" stopIfTrue="1">
      <formula>0</formula>
    </cfRule>
  </conditionalFormatting>
  <conditionalFormatting sqref="H13">
    <cfRule type="cellIs" priority="3" dxfId="2" operator="equal" stopIfTrue="1">
      <formula>0</formula>
    </cfRule>
  </conditionalFormatting>
  <hyperlinks>
    <hyperlink ref="I14" location="'Project Description'!A1" display="Project Description"/>
    <hyperlink ref="I15" location="'User''s Guide'!A1" display="User's Guide"/>
  </hyperlinks>
  <printOptions/>
  <pageMargins left="0.75" right="0.75" top="0.51" bottom="0.49" header="0.5" footer="0.5"/>
  <pageSetup fitToHeight="1" fitToWidth="1" horizontalDpi="600" verticalDpi="600" orientation="landscape" scale="96"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Z32"/>
  <sheetViews>
    <sheetView workbookViewId="0" topLeftCell="A1">
      <selection activeCell="K29" sqref="K29"/>
    </sheetView>
  </sheetViews>
  <sheetFormatPr defaultColWidth="9.140625" defaultRowHeight="12.75"/>
  <cols>
    <col min="1" max="1" width="4.00390625" style="0" customWidth="1"/>
    <col min="2" max="2" width="13.28125" style="0" customWidth="1"/>
    <col min="4" max="4" width="10.28125" style="0" customWidth="1"/>
    <col min="5" max="5" width="15.7109375" style="0" bestFit="1" customWidth="1"/>
    <col min="6" max="6" width="9.28125" style="0" bestFit="1" customWidth="1"/>
  </cols>
  <sheetData>
    <row r="1" spans="1:14" ht="12.75">
      <c r="A1" s="3" t="s">
        <v>54</v>
      </c>
      <c r="M1" s="387" t="s">
        <v>564</v>
      </c>
      <c r="N1" s="388">
        <v>39310</v>
      </c>
    </row>
    <row r="2" ht="12.75">
      <c r="A2" s="3" t="s">
        <v>497</v>
      </c>
    </row>
    <row r="3" ht="12.75">
      <c r="A3" s="3"/>
    </row>
    <row r="4" spans="1:16" ht="12.75" customHeight="1">
      <c r="A4" s="468">
        <f>IF('ERR &amp; Sensitivity Analysis'!$I$10="N","Note: Current calculations are based on user input and are not the original MCC estimates.",IF('ERR &amp; Sensitivity Analysis'!$I$11="N","Note: Current calculations are based on user input and are not the original MCC estimates.",0))</f>
        <v>0</v>
      </c>
      <c r="B4" s="468"/>
      <c r="C4" s="468"/>
      <c r="D4" s="468"/>
      <c r="E4" s="468"/>
      <c r="F4" s="468"/>
      <c r="G4" s="468"/>
      <c r="H4" s="468"/>
      <c r="I4" s="468"/>
      <c r="J4" s="468"/>
      <c r="N4" s="441"/>
      <c r="O4" s="441"/>
      <c r="P4" s="441"/>
    </row>
    <row r="5" spans="1:10" ht="12.75">
      <c r="A5" s="3"/>
      <c r="E5" s="436"/>
      <c r="F5" s="436"/>
      <c r="G5" s="436"/>
      <c r="H5" s="436"/>
      <c r="I5" s="436"/>
      <c r="J5" s="436"/>
    </row>
    <row r="6" spans="4:25" ht="12.75">
      <c r="D6" s="3"/>
      <c r="E6" s="227" t="s">
        <v>484</v>
      </c>
      <c r="F6" s="3">
        <v>2008</v>
      </c>
      <c r="G6" s="3">
        <v>2009</v>
      </c>
      <c r="H6" s="3">
        <v>2010</v>
      </c>
      <c r="I6" s="3">
        <v>2011</v>
      </c>
      <c r="J6" s="3">
        <v>2012</v>
      </c>
      <c r="K6" s="3">
        <v>2013</v>
      </c>
      <c r="L6" s="3">
        <v>2014</v>
      </c>
      <c r="M6" s="3">
        <v>2015</v>
      </c>
      <c r="N6" s="3">
        <v>2016</v>
      </c>
      <c r="O6" s="3">
        <v>2017</v>
      </c>
      <c r="P6" s="3">
        <v>2018</v>
      </c>
      <c r="Q6" s="3">
        <v>2019</v>
      </c>
      <c r="R6" s="3">
        <v>2020</v>
      </c>
      <c r="S6" s="3">
        <v>2021</v>
      </c>
      <c r="T6" s="3">
        <v>2022</v>
      </c>
      <c r="U6" s="3">
        <v>2023</v>
      </c>
      <c r="V6" s="3">
        <v>2024</v>
      </c>
      <c r="W6" s="3">
        <v>2025</v>
      </c>
      <c r="X6" s="3">
        <v>2026</v>
      </c>
      <c r="Y6" s="3">
        <v>2027</v>
      </c>
    </row>
    <row r="7" ht="12.75">
      <c r="A7" t="s">
        <v>495</v>
      </c>
    </row>
    <row r="8" spans="2:25" ht="12.75">
      <c r="B8" t="s">
        <v>22</v>
      </c>
      <c r="E8" s="217">
        <f>'Benefit-Graduate Income'!I92</f>
        <v>0</v>
      </c>
      <c r="F8" s="217">
        <f>'Benefit-Graduate Income'!J92</f>
        <v>0.012896100002919412</v>
      </c>
      <c r="G8" s="217">
        <f>'Benefit-Graduate Income'!K92</f>
        <v>0.055055776704786695</v>
      </c>
      <c r="H8" s="217">
        <f>'Benefit-Graduate Income'!L92</f>
        <v>0.3853850103371078</v>
      </c>
      <c r="I8" s="217">
        <f>'Benefit-Graduate Income'!M92</f>
        <v>1.060247299801398</v>
      </c>
      <c r="J8" s="217">
        <f>'Benefit-Graduate Income'!N92</f>
        <v>2.16054666763806</v>
      </c>
      <c r="K8" s="217">
        <f>'Benefit-Graduate Income'!O92</f>
        <v>3.343735920751133</v>
      </c>
      <c r="L8" s="217">
        <f>'Benefit-Graduate Income'!P92</f>
        <v>4.587106081073464</v>
      </c>
      <c r="M8" s="217">
        <f>'Benefit-Graduate Income'!Q92</f>
        <v>5.923340462683234</v>
      </c>
      <c r="N8" s="217">
        <f>'Benefit-Graduate Income'!R92</f>
        <v>7.361810464578302</v>
      </c>
      <c r="O8" s="217">
        <f>'Benefit-Graduate Income'!S92</f>
        <v>8.91046003985271</v>
      </c>
      <c r="P8" s="217">
        <f>'Benefit-Graduate Income'!T92</f>
        <v>10.57662595298764</v>
      </c>
      <c r="Q8" s="217">
        <f>'Benefit-Graduate Income'!U92</f>
        <v>12.367464802364703</v>
      </c>
      <c r="R8" s="217">
        <f>'Benefit-Graduate Income'!V92</f>
        <v>14.222865227677568</v>
      </c>
      <c r="S8" s="217">
        <f>'Benefit-Graduate Income'!W92</f>
        <v>16.198316006287175</v>
      </c>
      <c r="T8" s="217">
        <f>'Benefit-Graduate Income'!X92</f>
        <v>18.299462222991394</v>
      </c>
      <c r="U8" s="217">
        <f>'Benefit-Graduate Income'!Y92</f>
        <v>20.549754175694428</v>
      </c>
      <c r="V8" s="217">
        <f>'Benefit-Graduate Income'!Z92</f>
        <v>22.97155643013853</v>
      </c>
      <c r="W8" s="217">
        <f>'Benefit-Graduate Income'!AA92</f>
        <v>25.583110690164496</v>
      </c>
      <c r="X8" s="217">
        <f>'Benefit-Graduate Income'!AB92</f>
        <v>28.400981256236438</v>
      </c>
      <c r="Y8" s="217">
        <f>'Benefit-Graduate Income'!AC92</f>
        <v>31.441343061833525</v>
      </c>
    </row>
    <row r="9" spans="2:26" ht="12.75">
      <c r="B9" s="20" t="s">
        <v>49</v>
      </c>
      <c r="C9" s="20"/>
      <c r="D9" s="20"/>
      <c r="E9" s="218">
        <f>E8*$F$32</f>
        <v>0</v>
      </c>
      <c r="F9" s="218">
        <f aca="true" t="shared" si="0" ref="F9:Y9">F8*$F$32</f>
        <v>0.012896100002919412</v>
      </c>
      <c r="G9" s="218">
        <f t="shared" si="0"/>
        <v>0.055055776704786695</v>
      </c>
      <c r="H9" s="218">
        <f t="shared" si="0"/>
        <v>0.3853850103371078</v>
      </c>
      <c r="I9" s="218">
        <f t="shared" si="0"/>
        <v>1.060247299801398</v>
      </c>
      <c r="J9" s="218">
        <f t="shared" si="0"/>
        <v>2.16054666763806</v>
      </c>
      <c r="K9" s="218">
        <f t="shared" si="0"/>
        <v>3.343735920751133</v>
      </c>
      <c r="L9" s="218">
        <f t="shared" si="0"/>
        <v>4.587106081073464</v>
      </c>
      <c r="M9" s="218">
        <f t="shared" si="0"/>
        <v>5.923340462683234</v>
      </c>
      <c r="N9" s="218">
        <f t="shared" si="0"/>
        <v>7.361810464578302</v>
      </c>
      <c r="O9" s="218">
        <f t="shared" si="0"/>
        <v>8.91046003985271</v>
      </c>
      <c r="P9" s="218">
        <f t="shared" si="0"/>
        <v>10.57662595298764</v>
      </c>
      <c r="Q9" s="218">
        <f t="shared" si="0"/>
        <v>12.367464802364703</v>
      </c>
      <c r="R9" s="218">
        <f t="shared" si="0"/>
        <v>14.222865227677568</v>
      </c>
      <c r="S9" s="218">
        <f t="shared" si="0"/>
        <v>16.198316006287175</v>
      </c>
      <c r="T9" s="218">
        <f t="shared" si="0"/>
        <v>18.299462222991394</v>
      </c>
      <c r="U9" s="218">
        <f t="shared" si="0"/>
        <v>20.549754175694428</v>
      </c>
      <c r="V9" s="218">
        <f t="shared" si="0"/>
        <v>22.97155643013853</v>
      </c>
      <c r="W9" s="218">
        <f t="shared" si="0"/>
        <v>25.583110690164496</v>
      </c>
      <c r="X9" s="218">
        <f t="shared" si="0"/>
        <v>28.400981256236438</v>
      </c>
      <c r="Y9" s="218">
        <f t="shared" si="0"/>
        <v>31.441343061833525</v>
      </c>
      <c r="Z9" s="4"/>
    </row>
    <row r="10" spans="6:25" ht="12.75">
      <c r="F10" s="217"/>
      <c r="G10" s="217"/>
      <c r="H10" s="217"/>
      <c r="I10" s="217"/>
      <c r="J10" s="217"/>
      <c r="K10" s="217"/>
      <c r="L10" s="217"/>
      <c r="M10" s="217"/>
      <c r="N10" s="217"/>
      <c r="O10" s="217"/>
      <c r="P10" s="217"/>
      <c r="Q10" s="217"/>
      <c r="R10" s="217"/>
      <c r="S10" s="217"/>
      <c r="T10" s="217"/>
      <c r="U10" s="217"/>
      <c r="V10" s="217"/>
      <c r="W10" s="217"/>
      <c r="X10" s="217"/>
      <c r="Y10" s="217"/>
    </row>
    <row r="11" spans="1:25" ht="12.75">
      <c r="A11" t="s">
        <v>496</v>
      </c>
      <c r="F11" s="217"/>
      <c r="G11" s="217"/>
      <c r="H11" s="217"/>
      <c r="I11" s="217"/>
      <c r="J11" s="217"/>
      <c r="K11" s="217"/>
      <c r="L11" s="217"/>
      <c r="M11" s="217"/>
      <c r="N11" s="217"/>
      <c r="O11" s="217"/>
      <c r="P11" s="217"/>
      <c r="Q11" s="217"/>
      <c r="R11" s="217"/>
      <c r="S11" s="217"/>
      <c r="T11" s="217"/>
      <c r="U11" s="217"/>
      <c r="V11" s="217"/>
      <c r="W11" s="217"/>
      <c r="X11" s="217"/>
      <c r="Y11" s="217"/>
    </row>
    <row r="12" spans="2:25" ht="12.75">
      <c r="B12" t="s">
        <v>501</v>
      </c>
      <c r="E12" s="217">
        <f>Cost!D11</f>
        <v>0.9083</v>
      </c>
      <c r="F12" s="217">
        <f>Cost!E11</f>
        <v>1.6625</v>
      </c>
      <c r="G12" s="217">
        <f>Cost!F11</f>
        <v>8.322799999999999</v>
      </c>
      <c r="H12" s="217">
        <f>Cost!G11</f>
        <v>8.414</v>
      </c>
      <c r="I12" s="217">
        <f>Cost!H11</f>
        <v>5.2902</v>
      </c>
      <c r="J12" s="217">
        <f>Cost!I11</f>
        <v>0.9742000000000001</v>
      </c>
      <c r="K12" s="217">
        <f>Cost!J11</f>
        <v>0</v>
      </c>
      <c r="L12" s="217">
        <f>Cost!K11</f>
        <v>0</v>
      </c>
      <c r="M12" s="217">
        <f>Cost!L11</f>
        <v>0</v>
      </c>
      <c r="N12" s="217">
        <f>Cost!M11</f>
        <v>0</v>
      </c>
      <c r="O12" s="217">
        <f>Cost!N11</f>
        <v>0</v>
      </c>
      <c r="P12" s="217">
        <f>Cost!O11</f>
        <v>0</v>
      </c>
      <c r="Q12" s="217">
        <f>Cost!P11</f>
        <v>0</v>
      </c>
      <c r="R12" s="217">
        <f>Cost!Q11</f>
        <v>0</v>
      </c>
      <c r="S12" s="217">
        <f>Cost!R11</f>
        <v>0</v>
      </c>
      <c r="T12" s="217">
        <f>Cost!S11</f>
        <v>0</v>
      </c>
      <c r="U12" s="217">
        <f>Cost!T11</f>
        <v>0</v>
      </c>
      <c r="V12" s="217">
        <f>Cost!U11</f>
        <v>0</v>
      </c>
      <c r="W12" s="217">
        <f>Cost!V11</f>
        <v>0</v>
      </c>
      <c r="X12" s="217">
        <f>Cost!W11</f>
        <v>0</v>
      </c>
      <c r="Y12" s="217">
        <f>Cost!X11</f>
        <v>0</v>
      </c>
    </row>
    <row r="13" spans="2:25" ht="12.75">
      <c r="B13" t="s">
        <v>502</v>
      </c>
      <c r="C13" s="1"/>
      <c r="E13" s="217">
        <f>Cost!D16</f>
        <v>0.43684257226318196</v>
      </c>
      <c r="F13" s="217">
        <f>Cost!E16</f>
        <v>1.1400108380601839</v>
      </c>
      <c r="G13" s="217">
        <f>Cost!F16</f>
        <v>0.2372408747538952</v>
      </c>
      <c r="H13" s="217">
        <f>Cost!G16</f>
        <v>0.22250836850916209</v>
      </c>
      <c r="I13" s="217">
        <f>Cost!H16</f>
        <v>0.1845840459823976</v>
      </c>
      <c r="J13" s="217">
        <f>Cost!I16</f>
        <v>0.21395401004447837</v>
      </c>
      <c r="K13" s="217">
        <f>Cost!J16</f>
        <v>0</v>
      </c>
      <c r="L13" s="217">
        <f>Cost!K16</f>
        <v>0</v>
      </c>
      <c r="M13" s="217">
        <f>Cost!L16</f>
        <v>0</v>
      </c>
      <c r="N13" s="217">
        <f>Cost!M16</f>
        <v>0</v>
      </c>
      <c r="O13" s="217">
        <f>Cost!N16</f>
        <v>0</v>
      </c>
      <c r="P13" s="217">
        <f>Cost!O16</f>
        <v>0</v>
      </c>
      <c r="Q13" s="217">
        <f>Cost!P16</f>
        <v>0</v>
      </c>
      <c r="R13" s="217">
        <f>Cost!Q16</f>
        <v>0</v>
      </c>
      <c r="S13" s="217">
        <f>Cost!R16</f>
        <v>0</v>
      </c>
      <c r="T13" s="217">
        <f>Cost!S16</f>
        <v>0</v>
      </c>
      <c r="U13" s="217">
        <f>Cost!T16</f>
        <v>0</v>
      </c>
      <c r="V13" s="217">
        <f>Cost!U16</f>
        <v>0</v>
      </c>
      <c r="W13" s="217">
        <f>Cost!V16</f>
        <v>0</v>
      </c>
      <c r="X13" s="217">
        <f>Cost!W16</f>
        <v>0</v>
      </c>
      <c r="Y13" s="217">
        <f>Cost!X16</f>
        <v>0</v>
      </c>
    </row>
    <row r="14" spans="2:25" ht="12.75">
      <c r="B14" t="s">
        <v>503</v>
      </c>
      <c r="E14">
        <v>0</v>
      </c>
      <c r="F14" s="217">
        <f>Cost!E27</f>
        <v>0.06717833391331118</v>
      </c>
      <c r="G14" s="217">
        <f>Cost!F27</f>
        <v>0.14223676663545412</v>
      </c>
      <c r="H14" s="217">
        <f>Cost!G27</f>
        <v>0.22587008968203165</v>
      </c>
      <c r="I14" s="217">
        <f>Cost!H27</f>
        <v>0.31882766754510045</v>
      </c>
      <c r="J14" s="217">
        <f>Cost!I27</f>
        <v>0.42191746501293276</v>
      </c>
      <c r="K14" s="217">
        <f>Cost!J27</f>
        <v>0.3862325988753118</v>
      </c>
      <c r="L14" s="217">
        <f>Cost!K27</f>
        <v>0.3492014629953942</v>
      </c>
      <c r="M14" s="217">
        <f>Cost!L27</f>
        <v>0.3107881812062366</v>
      </c>
      <c r="N14" s="217">
        <f>Cost!M27</f>
        <v>0.27095603554683023</v>
      </c>
      <c r="O14" s="217">
        <f>Cost!N27</f>
        <v>0.2296674477494857</v>
      </c>
      <c r="P14" s="217">
        <f>Cost!O27</f>
        <v>0.18688396033538046</v>
      </c>
      <c r="Q14" s="217">
        <f>Cost!P27</f>
        <v>0.142566217310137</v>
      </c>
      <c r="R14" s="217">
        <f>Cost!Q27</f>
        <v>0.09667394445118337</v>
      </c>
      <c r="S14" s="217">
        <f>Cost!R27</f>
        <v>0.049165929178478486</v>
      </c>
      <c r="T14" s="217">
        <f>Cost!S27</f>
        <v>0</v>
      </c>
      <c r="U14" s="217">
        <f>Cost!T27</f>
        <v>0</v>
      </c>
      <c r="V14" s="217">
        <f>Cost!U27</f>
        <v>0</v>
      </c>
      <c r="W14" s="217">
        <f>Cost!V27</f>
        <v>0</v>
      </c>
      <c r="X14" s="217">
        <f>Cost!W27</f>
        <v>0</v>
      </c>
      <c r="Y14" s="217">
        <f>Cost!X27</f>
        <v>0</v>
      </c>
    </row>
    <row r="15" spans="2:25" ht="12.75">
      <c r="B15" t="s">
        <v>504</v>
      </c>
      <c r="E15">
        <v>0</v>
      </c>
      <c r="F15" s="217">
        <f>Cost!E32</f>
        <v>0.17050987585889338</v>
      </c>
      <c r="G15" s="217">
        <f>Cost!F32</f>
        <v>0.26748787379679373</v>
      </c>
      <c r="H15" s="217">
        <f>Cost!G32</f>
        <v>0.3454908828766593</v>
      </c>
      <c r="I15" s="217">
        <f>Cost!H32</f>
        <v>0.37998987535702367</v>
      </c>
      <c r="J15" s="217">
        <f>Cost!I32</f>
        <v>0.35999546031114</v>
      </c>
      <c r="K15" s="217">
        <f>Cost!J32</f>
        <v>0.335969682805704</v>
      </c>
      <c r="L15" s="217">
        <f>Cost!K32</f>
        <v>0.3045414199140864</v>
      </c>
      <c r="M15" s="217">
        <f>Cost!L32</f>
        <v>0.26885000398349196</v>
      </c>
      <c r="N15" s="217">
        <f>Cost!M32</f>
        <v>0.22853217807467888</v>
      </c>
      <c r="O15" s="217">
        <f>Cost!N32</f>
        <v>0.18319815933903252</v>
      </c>
      <c r="P15" s="217">
        <f>Cost!O32</f>
        <v>0.13242984710561773</v>
      </c>
      <c r="Q15" s="217">
        <f>Cost!P32</f>
        <v>0.07577891546645851</v>
      </c>
      <c r="R15" s="217">
        <f>Cost!Q32</f>
        <v>0.026316771421744642</v>
      </c>
      <c r="S15" s="217">
        <f>Cost!R32</f>
        <v>0</v>
      </c>
      <c r="T15" s="217">
        <f>Cost!S32</f>
        <v>0</v>
      </c>
      <c r="U15" s="217">
        <f>Cost!T32</f>
        <v>0</v>
      </c>
      <c r="V15" s="217">
        <f>Cost!U32</f>
        <v>0</v>
      </c>
      <c r="W15" s="217">
        <f>Cost!V32</f>
        <v>0</v>
      </c>
      <c r="X15" s="217">
        <f>Cost!W32</f>
        <v>0</v>
      </c>
      <c r="Y15" s="217">
        <f>Cost!X32</f>
        <v>0</v>
      </c>
    </row>
    <row r="16" spans="2:25" ht="12.75">
      <c r="B16" s="20" t="s">
        <v>50</v>
      </c>
      <c r="C16" s="20"/>
      <c r="D16" s="20"/>
      <c r="E16" s="218">
        <f>(E12+E13+E14+E15)*$F$29</f>
        <v>1.345142572263182</v>
      </c>
      <c r="F16" s="218">
        <f aca="true" t="shared" si="1" ref="F16:Y16">(F12+F13+F14+F15)*$F$29</f>
        <v>3.0401990478323886</v>
      </c>
      <c r="G16" s="218">
        <f t="shared" si="1"/>
        <v>8.969765515186143</v>
      </c>
      <c r="H16" s="218">
        <f t="shared" si="1"/>
        <v>9.207869341067852</v>
      </c>
      <c r="I16" s="218">
        <f t="shared" si="1"/>
        <v>6.173601588884521</v>
      </c>
      <c r="J16" s="218">
        <f t="shared" si="1"/>
        <v>1.9700669353685512</v>
      </c>
      <c r="K16" s="218">
        <f t="shared" si="1"/>
        <v>0.7222022816810159</v>
      </c>
      <c r="L16" s="218">
        <f t="shared" si="1"/>
        <v>0.6537428829094806</v>
      </c>
      <c r="M16" s="218">
        <f t="shared" si="1"/>
        <v>0.5796381851897285</v>
      </c>
      <c r="N16" s="218">
        <f t="shared" si="1"/>
        <v>0.4994882136215091</v>
      </c>
      <c r="O16" s="218">
        <f t="shared" si="1"/>
        <v>0.4128656070885182</v>
      </c>
      <c r="P16" s="218">
        <f t="shared" si="1"/>
        <v>0.3193138074409982</v>
      </c>
      <c r="Q16" s="218">
        <f t="shared" si="1"/>
        <v>0.2183451327765955</v>
      </c>
      <c r="R16" s="218">
        <f t="shared" si="1"/>
        <v>0.12299071587292801</v>
      </c>
      <c r="S16" s="218">
        <f t="shared" si="1"/>
        <v>0.049165929178478486</v>
      </c>
      <c r="T16" s="218">
        <f t="shared" si="1"/>
        <v>0</v>
      </c>
      <c r="U16" s="218">
        <f t="shared" si="1"/>
        <v>0</v>
      </c>
      <c r="V16" s="218">
        <f t="shared" si="1"/>
        <v>0</v>
      </c>
      <c r="W16" s="218">
        <f t="shared" si="1"/>
        <v>0</v>
      </c>
      <c r="X16" s="218">
        <f t="shared" si="1"/>
        <v>0</v>
      </c>
      <c r="Y16" s="218">
        <f t="shared" si="1"/>
        <v>0</v>
      </c>
    </row>
    <row r="17" spans="5:25" ht="12.75">
      <c r="E17" s="229"/>
      <c r="F17" s="217"/>
      <c r="G17" s="217"/>
      <c r="H17" s="217"/>
      <c r="I17" s="217"/>
      <c r="J17" s="217"/>
      <c r="K17" s="217"/>
      <c r="L17" s="217"/>
      <c r="M17" s="217"/>
      <c r="N17" s="217"/>
      <c r="O17" s="217"/>
      <c r="P17" s="217"/>
      <c r="Q17" s="217"/>
      <c r="R17" s="217"/>
      <c r="S17" s="217"/>
      <c r="T17" s="217"/>
      <c r="U17" s="217"/>
      <c r="V17" s="217"/>
      <c r="W17" s="217"/>
      <c r="X17" s="217"/>
      <c r="Y17" s="217"/>
    </row>
    <row r="18" spans="1:26" ht="12.75">
      <c r="A18" t="s">
        <v>51</v>
      </c>
      <c r="E18" s="217">
        <f aca="true" t="shared" si="2" ref="E18:Y18">E9-E16</f>
        <v>-1.345142572263182</v>
      </c>
      <c r="F18" s="217">
        <f>F9-F16</f>
        <v>-3.0273029478294693</v>
      </c>
      <c r="G18" s="217">
        <f t="shared" si="2"/>
        <v>-8.914709738481356</v>
      </c>
      <c r="H18" s="217">
        <f t="shared" si="2"/>
        <v>-8.822484330730743</v>
      </c>
      <c r="I18" s="217">
        <f t="shared" si="2"/>
        <v>-5.113354289083123</v>
      </c>
      <c r="J18" s="217">
        <f t="shared" si="2"/>
        <v>0.19047973226950887</v>
      </c>
      <c r="K18" s="217">
        <f t="shared" si="2"/>
        <v>2.621533639070117</v>
      </c>
      <c r="L18" s="217">
        <f t="shared" si="2"/>
        <v>3.9333631981639834</v>
      </c>
      <c r="M18" s="217">
        <f t="shared" si="2"/>
        <v>5.343702277493506</v>
      </c>
      <c r="N18" s="217">
        <f t="shared" si="2"/>
        <v>6.862322250956793</v>
      </c>
      <c r="O18" s="217">
        <f t="shared" si="2"/>
        <v>8.497594432764192</v>
      </c>
      <c r="P18" s="217">
        <f t="shared" si="2"/>
        <v>10.257312145546642</v>
      </c>
      <c r="Q18" s="217">
        <f t="shared" si="2"/>
        <v>12.149119669588107</v>
      </c>
      <c r="R18" s="217">
        <f t="shared" si="2"/>
        <v>14.09987451180464</v>
      </c>
      <c r="S18" s="217">
        <f t="shared" si="2"/>
        <v>16.149150077108697</v>
      </c>
      <c r="T18" s="217">
        <f t="shared" si="2"/>
        <v>18.299462222991394</v>
      </c>
      <c r="U18" s="217">
        <f t="shared" si="2"/>
        <v>20.549754175694428</v>
      </c>
      <c r="V18" s="217">
        <f t="shared" si="2"/>
        <v>22.97155643013853</v>
      </c>
      <c r="W18" s="217">
        <f t="shared" si="2"/>
        <v>25.583110690164496</v>
      </c>
      <c r="X18" s="217">
        <f t="shared" si="2"/>
        <v>28.400981256236438</v>
      </c>
      <c r="Y18" s="217">
        <f t="shared" si="2"/>
        <v>31.441343061833525</v>
      </c>
      <c r="Z18" s="217">
        <f>SUM(E18:Y18)</f>
        <v>200.12766589343713</v>
      </c>
    </row>
    <row r="19" spans="1:26" s="230" customFormat="1" ht="12.75">
      <c r="A19" s="230" t="s">
        <v>500</v>
      </c>
      <c r="E19" s="234">
        <f>E18+E12+E13</f>
        <v>0</v>
      </c>
      <c r="F19" s="234">
        <f>F18+F12+F13</f>
        <v>-0.22479210976928532</v>
      </c>
      <c r="G19" s="234">
        <f>G18+G12+G13</f>
        <v>-0.354668863727462</v>
      </c>
      <c r="H19" s="234">
        <f>H18+H12+H13</f>
        <v>-0.18597596222158166</v>
      </c>
      <c r="I19" s="234">
        <f>I18+I12+I13</f>
        <v>0.36142975689927426</v>
      </c>
      <c r="J19" s="234">
        <f>J18+J12+J13</f>
        <v>1.3786337423139874</v>
      </c>
      <c r="K19" s="234">
        <f>K18+K12+K13</f>
        <v>2.621533639070117</v>
      </c>
      <c r="L19" s="234">
        <f>L18+L12+L13</f>
        <v>3.9333631981639834</v>
      </c>
      <c r="M19" s="234">
        <f>M18+M12+M13</f>
        <v>5.343702277493506</v>
      </c>
      <c r="N19" s="234">
        <f>N18+N12+N13</f>
        <v>6.862322250956793</v>
      </c>
      <c r="O19" s="234">
        <f>O18+O12+O13</f>
        <v>8.497594432764192</v>
      </c>
      <c r="P19" s="234">
        <f>P18+P12+P13</f>
        <v>10.257312145546642</v>
      </c>
      <c r="Q19" s="234">
        <f>Q18+Q12+Q13</f>
        <v>12.149119669588107</v>
      </c>
      <c r="R19" s="234">
        <f>R18+R12+R13</f>
        <v>14.09987451180464</v>
      </c>
      <c r="S19" s="234">
        <f>S18+S12+S13</f>
        <v>16.149150077108697</v>
      </c>
      <c r="T19" s="234">
        <f>T18+T12+T13</f>
        <v>18.299462222991394</v>
      </c>
      <c r="U19" s="234">
        <f>U18+U12+U13</f>
        <v>20.549754175694428</v>
      </c>
      <c r="V19" s="234">
        <f>V18+V12+V13</f>
        <v>22.97155643013853</v>
      </c>
      <c r="W19" s="234">
        <f>W18+W12+W13</f>
        <v>25.583110690164496</v>
      </c>
      <c r="X19" s="234">
        <f>X18+X12+X13</f>
        <v>28.400981256236438</v>
      </c>
      <c r="Y19" s="234">
        <f>Y18+Y12+Y13</f>
        <v>31.441343061833525</v>
      </c>
      <c r="Z19" s="234"/>
    </row>
    <row r="20" spans="5:26" ht="12.75">
      <c r="E20" s="217"/>
      <c r="F20" s="217"/>
      <c r="G20" s="217"/>
      <c r="H20" s="217"/>
      <c r="I20" s="217"/>
      <c r="J20" s="217"/>
      <c r="K20" s="217"/>
      <c r="L20" s="217"/>
      <c r="M20" s="217"/>
      <c r="N20" s="217"/>
      <c r="O20" s="217"/>
      <c r="P20" s="217"/>
      <c r="Q20" s="217"/>
      <c r="R20" s="217"/>
      <c r="S20" s="217"/>
      <c r="T20" s="217"/>
      <c r="U20" s="217"/>
      <c r="V20" s="217"/>
      <c r="W20" s="217"/>
      <c r="X20" s="217"/>
      <c r="Y20" s="217"/>
      <c r="Z20" s="217"/>
    </row>
    <row r="21" spans="5:26" ht="12.75">
      <c r="E21" s="217"/>
      <c r="F21" s="217"/>
      <c r="G21" s="217"/>
      <c r="H21" s="217"/>
      <c r="I21" s="217"/>
      <c r="J21" s="217"/>
      <c r="K21" s="217"/>
      <c r="L21" s="217"/>
      <c r="M21" s="217"/>
      <c r="N21" s="217"/>
      <c r="O21" s="217"/>
      <c r="P21" s="217"/>
      <c r="Q21" s="217"/>
      <c r="R21" s="217"/>
      <c r="S21" s="217"/>
      <c r="T21" s="217"/>
      <c r="U21" s="217"/>
      <c r="V21" s="217"/>
      <c r="W21" s="217"/>
      <c r="X21" s="217"/>
      <c r="Y21" s="217"/>
      <c r="Z21" s="217"/>
    </row>
    <row r="23" spans="1:9" ht="12.75">
      <c r="A23" t="s">
        <v>53</v>
      </c>
      <c r="C23" s="1">
        <f>IRR(E18:O18)</f>
        <v>0.001373418207950756</v>
      </c>
      <c r="I23" s="216"/>
    </row>
    <row r="24" spans="1:3" ht="12.75">
      <c r="A24" t="s">
        <v>55</v>
      </c>
      <c r="C24" s="1">
        <f>IRR(E18:T18)</f>
        <v>0.15244845192480977</v>
      </c>
    </row>
    <row r="25" spans="1:3" ht="12.75">
      <c r="A25" s="231" t="s">
        <v>52</v>
      </c>
      <c r="B25" s="231"/>
      <c r="C25" s="228">
        <f>IRR(E18:Y18)</f>
        <v>0.19795576652434926</v>
      </c>
    </row>
    <row r="28" ht="12.75">
      <c r="A28" s="384" t="s">
        <v>562</v>
      </c>
    </row>
    <row r="29" spans="1:6" ht="12.75">
      <c r="A29" t="s">
        <v>559</v>
      </c>
      <c r="F29" s="385">
        <f>'ERR &amp; Sensitivity Analysis'!G10</f>
        <v>1</v>
      </c>
    </row>
    <row r="31" ht="12.75">
      <c r="A31" s="384" t="s">
        <v>563</v>
      </c>
    </row>
    <row r="32" spans="1:6" ht="12.75">
      <c r="A32" t="s">
        <v>560</v>
      </c>
      <c r="F32" s="385">
        <f>'ERR &amp; Sensitivity Analysis'!G11</f>
        <v>1</v>
      </c>
    </row>
  </sheetData>
  <mergeCells count="1">
    <mergeCell ref="A4:J4"/>
  </mergeCells>
  <conditionalFormatting sqref="E5 A4">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AE169"/>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AD56" sqref="AD56:AE69"/>
    </sheetView>
  </sheetViews>
  <sheetFormatPr defaultColWidth="9.140625" defaultRowHeight="12.75"/>
  <cols>
    <col min="1" max="1" width="3.421875" style="0" customWidth="1"/>
    <col min="2" max="2" width="22.140625" style="0" customWidth="1"/>
    <col min="10" max="10" width="12.28125" style="0" bestFit="1" customWidth="1"/>
    <col min="14" max="14" width="12.00390625" style="0" customWidth="1"/>
  </cols>
  <sheetData>
    <row r="1" spans="1:15" ht="12.75" customHeight="1">
      <c r="A1" s="3" t="s">
        <v>22</v>
      </c>
      <c r="E1" s="468">
        <f>IF('ERR &amp; Sensitivity Analysis'!$I$10="N","Note: Current calculations are based on user input and are not the original MCC estimates.",IF('ERR &amp; Sensitivity Analysis'!$I$11="N","Note: Current calculations are based on user input and are not the original MCC estimates.",0))</f>
        <v>0</v>
      </c>
      <c r="F1" s="468"/>
      <c r="G1" s="468"/>
      <c r="H1" s="468"/>
      <c r="I1" s="468"/>
      <c r="J1" s="468"/>
      <c r="K1" s="468"/>
      <c r="L1" s="468"/>
      <c r="M1" s="468"/>
      <c r="N1" s="442" t="s">
        <v>564</v>
      </c>
      <c r="O1" s="388">
        <v>39310</v>
      </c>
    </row>
    <row r="2" spans="7:29" ht="12.75">
      <c r="G2" s="14">
        <v>2005</v>
      </c>
      <c r="H2" s="14">
        <v>2006</v>
      </c>
      <c r="I2" s="14">
        <v>2007</v>
      </c>
      <c r="J2" s="3">
        <v>2008</v>
      </c>
      <c r="K2" s="3">
        <v>2009</v>
      </c>
      <c r="L2" s="3">
        <v>2010</v>
      </c>
      <c r="M2" s="3">
        <v>2011</v>
      </c>
      <c r="N2" s="3">
        <v>2012</v>
      </c>
      <c r="O2" s="3">
        <v>2013</v>
      </c>
      <c r="P2" s="3">
        <v>2014</v>
      </c>
      <c r="Q2" s="3">
        <v>2015</v>
      </c>
      <c r="R2" s="3">
        <v>2016</v>
      </c>
      <c r="S2" s="3">
        <v>2017</v>
      </c>
      <c r="T2" s="3">
        <v>2018</v>
      </c>
      <c r="U2" s="3">
        <v>2019</v>
      </c>
      <c r="V2" s="3">
        <v>2020</v>
      </c>
      <c r="W2" s="3">
        <v>2021</v>
      </c>
      <c r="X2" s="3">
        <v>2022</v>
      </c>
      <c r="Y2" s="3">
        <v>2023</v>
      </c>
      <c r="Z2" s="3">
        <v>2024</v>
      </c>
      <c r="AA2" s="3">
        <v>2025</v>
      </c>
      <c r="AB2" s="3">
        <v>2026</v>
      </c>
      <c r="AC2" s="3">
        <v>2027</v>
      </c>
    </row>
    <row r="3" spans="2:29" ht="12.75">
      <c r="B3" t="s">
        <v>221</v>
      </c>
      <c r="F3" s="1"/>
      <c r="G3" s="14"/>
      <c r="H3" s="14"/>
      <c r="I3" s="14"/>
      <c r="J3" s="169">
        <v>0.07</v>
      </c>
      <c r="K3" s="169">
        <v>0.11</v>
      </c>
      <c r="L3" s="169">
        <v>0.06</v>
      </c>
      <c r="M3" s="169">
        <v>0.06</v>
      </c>
      <c r="N3" s="169">
        <v>0.06</v>
      </c>
      <c r="O3" s="169">
        <v>0.06</v>
      </c>
      <c r="P3" s="169">
        <v>0.05</v>
      </c>
      <c r="Q3" s="169">
        <v>0.05</v>
      </c>
      <c r="R3" s="169">
        <v>0.05</v>
      </c>
      <c r="S3" s="169">
        <v>0.05</v>
      </c>
      <c r="T3" s="169">
        <v>0.05</v>
      </c>
      <c r="U3" s="169">
        <v>0.05</v>
      </c>
      <c r="V3" s="169">
        <v>0.045</v>
      </c>
      <c r="W3" s="169">
        <v>0.045</v>
      </c>
      <c r="X3" s="169">
        <v>0.045</v>
      </c>
      <c r="Y3" s="169">
        <v>0.045</v>
      </c>
      <c r="Z3" s="169">
        <v>0.045</v>
      </c>
      <c r="AA3" s="169">
        <v>0.045</v>
      </c>
      <c r="AB3" s="169">
        <v>0.045</v>
      </c>
      <c r="AC3" s="169">
        <v>0.045</v>
      </c>
    </row>
    <row r="4" spans="7:29" ht="12.75">
      <c r="G4" s="14"/>
      <c r="H4" s="14"/>
      <c r="I4" s="214">
        <v>1860</v>
      </c>
      <c r="J4" s="213">
        <f aca="true" t="shared" si="0" ref="J4:AC4">I4*(1+J3)</f>
        <v>1990.2</v>
      </c>
      <c r="K4" s="213">
        <f t="shared" si="0"/>
        <v>2209.1220000000003</v>
      </c>
      <c r="L4" s="213">
        <f t="shared" si="0"/>
        <v>2341.6693200000004</v>
      </c>
      <c r="M4" s="213">
        <f t="shared" si="0"/>
        <v>2482.1694792000008</v>
      </c>
      <c r="N4" s="213">
        <f t="shared" si="0"/>
        <v>2631.099647952001</v>
      </c>
      <c r="O4" s="213">
        <f t="shared" si="0"/>
        <v>2788.965626829121</v>
      </c>
      <c r="P4" s="213">
        <f t="shared" si="0"/>
        <v>2928.413908170577</v>
      </c>
      <c r="Q4" s="213">
        <f t="shared" si="0"/>
        <v>3074.834603579106</v>
      </c>
      <c r="R4" s="213">
        <f t="shared" si="0"/>
        <v>3228.5763337580615</v>
      </c>
      <c r="S4" s="213">
        <f t="shared" si="0"/>
        <v>3390.005150445965</v>
      </c>
      <c r="T4" s="213">
        <f t="shared" si="0"/>
        <v>3559.505407968263</v>
      </c>
      <c r="U4" s="213">
        <f t="shared" si="0"/>
        <v>3737.4806783666763</v>
      </c>
      <c r="V4" s="213">
        <f t="shared" si="0"/>
        <v>3905.6673088931766</v>
      </c>
      <c r="W4" s="213">
        <f t="shared" si="0"/>
        <v>4081.4223377933695</v>
      </c>
      <c r="X4" s="213">
        <f t="shared" si="0"/>
        <v>4265.086342994071</v>
      </c>
      <c r="Y4" s="213">
        <f t="shared" si="0"/>
        <v>4457.015228428804</v>
      </c>
      <c r="Z4" s="213">
        <f t="shared" si="0"/>
        <v>4657.5809137081005</v>
      </c>
      <c r="AA4" s="213">
        <f t="shared" si="0"/>
        <v>4867.172054824965</v>
      </c>
      <c r="AB4" s="213">
        <f t="shared" si="0"/>
        <v>5086.194797292088</v>
      </c>
      <c r="AC4" s="213">
        <f t="shared" si="0"/>
        <v>5315.073563170232</v>
      </c>
    </row>
    <row r="5" spans="2:29" ht="12.75">
      <c r="B5" t="s">
        <v>237</v>
      </c>
      <c r="G5" s="14"/>
      <c r="H5" s="14"/>
      <c r="I5" s="215"/>
      <c r="J5" s="169">
        <f>J3-pop_gr</f>
        <v>0.05514000000000001</v>
      </c>
      <c r="K5" s="169">
        <f>K3-pop_gr</f>
        <v>0.09514</v>
      </c>
      <c r="L5" s="169">
        <f aca="true" t="shared" si="1" ref="L5:AC5">L3-pop_gr</f>
        <v>0.04514</v>
      </c>
      <c r="M5" s="169">
        <f t="shared" si="1"/>
        <v>0.04514</v>
      </c>
      <c r="N5" s="169">
        <f t="shared" si="1"/>
        <v>0.04514</v>
      </c>
      <c r="O5" s="169">
        <f t="shared" si="1"/>
        <v>0.04514</v>
      </c>
      <c r="P5" s="169">
        <f t="shared" si="1"/>
        <v>0.035140000000000005</v>
      </c>
      <c r="Q5" s="169">
        <f t="shared" si="1"/>
        <v>0.035140000000000005</v>
      </c>
      <c r="R5" s="169">
        <f t="shared" si="1"/>
        <v>0.035140000000000005</v>
      </c>
      <c r="S5" s="169">
        <f t="shared" si="1"/>
        <v>0.035140000000000005</v>
      </c>
      <c r="T5" s="169">
        <f t="shared" si="1"/>
        <v>0.035140000000000005</v>
      </c>
      <c r="U5" s="169">
        <f t="shared" si="1"/>
        <v>0.035140000000000005</v>
      </c>
      <c r="V5" s="169">
        <f t="shared" si="1"/>
        <v>0.03014</v>
      </c>
      <c r="W5" s="169">
        <f t="shared" si="1"/>
        <v>0.03014</v>
      </c>
      <c r="X5" s="169">
        <f t="shared" si="1"/>
        <v>0.03014</v>
      </c>
      <c r="Y5" s="169">
        <f t="shared" si="1"/>
        <v>0.03014</v>
      </c>
      <c r="Z5" s="169">
        <f t="shared" si="1"/>
        <v>0.03014</v>
      </c>
      <c r="AA5" s="169">
        <f t="shared" si="1"/>
        <v>0.03014</v>
      </c>
      <c r="AB5" s="169">
        <f t="shared" si="1"/>
        <v>0.03014</v>
      </c>
      <c r="AC5" s="169">
        <f t="shared" si="1"/>
        <v>0.03014</v>
      </c>
    </row>
    <row r="6" spans="7:29" ht="12.75">
      <c r="G6" s="14"/>
      <c r="H6" s="14"/>
      <c r="I6" s="215">
        <v>2.6</v>
      </c>
      <c r="J6" s="212">
        <f>I6*(1+J5)</f>
        <v>2.743364</v>
      </c>
      <c r="K6" s="212">
        <f aca="true" t="shared" si="2" ref="K6:AC6">J6*(1+K5)</f>
        <v>3.0043676509600004</v>
      </c>
      <c r="L6" s="212">
        <f t="shared" si="2"/>
        <v>3.1399848067243346</v>
      </c>
      <c r="M6" s="212">
        <f t="shared" si="2"/>
        <v>3.281723720899871</v>
      </c>
      <c r="N6" s="212">
        <f t="shared" si="2"/>
        <v>3.429860729661291</v>
      </c>
      <c r="O6" s="212">
        <f t="shared" si="2"/>
        <v>3.5846846429982016</v>
      </c>
      <c r="P6" s="212">
        <f t="shared" si="2"/>
        <v>3.710650461353158</v>
      </c>
      <c r="Q6" s="212">
        <f t="shared" si="2"/>
        <v>3.8410427185651077</v>
      </c>
      <c r="R6" s="212">
        <f t="shared" si="2"/>
        <v>3.9760169596954853</v>
      </c>
      <c r="S6" s="212">
        <f t="shared" si="2"/>
        <v>4.115734195659185</v>
      </c>
      <c r="T6" s="212">
        <f t="shared" si="2"/>
        <v>4.260361095294648</v>
      </c>
      <c r="U6" s="212">
        <f t="shared" si="2"/>
        <v>4.410070184183302</v>
      </c>
      <c r="V6" s="212">
        <f t="shared" si="2"/>
        <v>4.542989699534586</v>
      </c>
      <c r="W6" s="212">
        <f t="shared" si="2"/>
        <v>4.679915409078559</v>
      </c>
      <c r="X6" s="212">
        <f t="shared" si="2"/>
        <v>4.8209680595081865</v>
      </c>
      <c r="Y6" s="212">
        <f t="shared" si="2"/>
        <v>4.966272036821763</v>
      </c>
      <c r="Z6" s="212">
        <f t="shared" si="2"/>
        <v>5.115955476011572</v>
      </c>
      <c r="AA6" s="212">
        <f t="shared" si="2"/>
        <v>5.270150374058561</v>
      </c>
      <c r="AB6" s="212">
        <f t="shared" si="2"/>
        <v>5.428992706332687</v>
      </c>
      <c r="AC6" s="212">
        <f t="shared" si="2"/>
        <v>5.592622546501554</v>
      </c>
    </row>
    <row r="7" spans="7:29" ht="12.75">
      <c r="G7" s="14"/>
      <c r="H7" s="14"/>
      <c r="I7" s="171">
        <v>1</v>
      </c>
      <c r="J7" s="172">
        <f>I7*(1+J5)</f>
        <v>1.05514</v>
      </c>
      <c r="K7" s="172">
        <f>J7*(1+K5)</f>
        <v>1.1555260196</v>
      </c>
      <c r="L7" s="172">
        <f aca="true" t="shared" si="3" ref="L7:AC7">K7*(1+L5)</f>
        <v>1.2076864641247438</v>
      </c>
      <c r="M7" s="172">
        <f t="shared" si="3"/>
        <v>1.2622014311153347</v>
      </c>
      <c r="N7" s="172">
        <f t="shared" si="3"/>
        <v>1.3191772037158809</v>
      </c>
      <c r="O7" s="172">
        <f t="shared" si="3"/>
        <v>1.3787248626916158</v>
      </c>
      <c r="P7" s="172">
        <f t="shared" si="3"/>
        <v>1.4271732543665991</v>
      </c>
      <c r="Q7" s="172">
        <f t="shared" si="3"/>
        <v>1.4773241225250413</v>
      </c>
      <c r="R7" s="172">
        <f t="shared" si="3"/>
        <v>1.5292372921905713</v>
      </c>
      <c r="S7" s="172">
        <f t="shared" si="3"/>
        <v>1.5829746906381479</v>
      </c>
      <c r="T7" s="172">
        <f t="shared" si="3"/>
        <v>1.6386004212671723</v>
      </c>
      <c r="U7" s="172">
        <f t="shared" si="3"/>
        <v>1.6961808400705007</v>
      </c>
      <c r="V7" s="172">
        <f t="shared" si="3"/>
        <v>1.7473037305902257</v>
      </c>
      <c r="W7" s="172">
        <f t="shared" si="3"/>
        <v>1.799967465030215</v>
      </c>
      <c r="X7" s="172">
        <f t="shared" si="3"/>
        <v>1.854218484426226</v>
      </c>
      <c r="Y7" s="172">
        <f t="shared" si="3"/>
        <v>1.9101046295468325</v>
      </c>
      <c r="Z7" s="172">
        <f t="shared" si="3"/>
        <v>1.9676751830813741</v>
      </c>
      <c r="AA7" s="172">
        <f t="shared" si="3"/>
        <v>2.0269809130994467</v>
      </c>
      <c r="AB7" s="172">
        <f t="shared" si="3"/>
        <v>2.088074117820264</v>
      </c>
      <c r="AC7" s="172">
        <f t="shared" si="3"/>
        <v>2.151008671731367</v>
      </c>
    </row>
    <row r="8" spans="1:9" ht="12.75">
      <c r="A8" s="3" t="s">
        <v>23</v>
      </c>
      <c r="G8" s="15"/>
      <c r="H8" s="15"/>
      <c r="I8" s="15"/>
    </row>
    <row r="9" spans="1:14" ht="12.75">
      <c r="A9" s="3"/>
      <c r="G9" s="15"/>
      <c r="H9" s="15"/>
      <c r="I9" s="15"/>
      <c r="N9" s="1"/>
    </row>
    <row r="10" spans="2:31" ht="12.75">
      <c r="B10" s="20" t="s">
        <v>463</v>
      </c>
      <c r="G10" s="15"/>
      <c r="H10" s="15"/>
      <c r="I10" s="15"/>
      <c r="J10" s="1"/>
      <c r="K10" s="1"/>
      <c r="L10" s="1"/>
      <c r="M10" s="1"/>
      <c r="N10" s="1"/>
      <c r="O10" s="1"/>
      <c r="P10" s="1"/>
      <c r="Q10" s="1"/>
      <c r="R10" s="1"/>
      <c r="S10" s="1"/>
      <c r="T10" s="1"/>
      <c r="U10" s="1"/>
      <c r="V10" s="1"/>
      <c r="W10" s="1"/>
      <c r="X10" s="1"/>
      <c r="Y10" s="1"/>
      <c r="Z10" s="1"/>
      <c r="AA10" s="1"/>
      <c r="AB10" s="1"/>
      <c r="AC10" s="1"/>
      <c r="AD10" s="1"/>
      <c r="AE10" s="216"/>
    </row>
    <row r="11" spans="2:31" ht="12.75">
      <c r="B11" s="168" t="s">
        <v>475</v>
      </c>
      <c r="G11" s="15"/>
      <c r="H11" s="15"/>
      <c r="I11" s="15"/>
      <c r="J11" s="1">
        <f aca="true" t="shared" si="4" ref="J11:AC11">IF(J$2&lt;=$J$115,$J$124,IF(J$2&lt;=$J$127,$J$129,pop_gr))</f>
        <v>0.05387395206178347</v>
      </c>
      <c r="K11" s="1">
        <f t="shared" si="4"/>
        <v>0.05387395206178347</v>
      </c>
      <c r="L11" s="1">
        <f t="shared" si="4"/>
        <v>0.05387395206178347</v>
      </c>
      <c r="M11" s="1">
        <f t="shared" si="4"/>
        <v>0.05387395206178347</v>
      </c>
      <c r="N11" s="1">
        <f t="shared" si="4"/>
        <v>0.05387395206178347</v>
      </c>
      <c r="O11" s="1">
        <f t="shared" si="4"/>
        <v>0.01944943858201431</v>
      </c>
      <c r="P11" s="1">
        <f t="shared" si="4"/>
        <v>0.01944943858201431</v>
      </c>
      <c r="Q11" s="1">
        <f t="shared" si="4"/>
        <v>0.01944943858201431</v>
      </c>
      <c r="R11" s="1">
        <f t="shared" si="4"/>
        <v>0.01944943858201431</v>
      </c>
      <c r="S11" s="1">
        <f t="shared" si="4"/>
        <v>0.01944943858201431</v>
      </c>
      <c r="T11" s="1">
        <f t="shared" si="4"/>
        <v>0.01944943858201431</v>
      </c>
      <c r="U11" s="1">
        <f t="shared" si="4"/>
        <v>0.01944943858201431</v>
      </c>
      <c r="V11" s="1">
        <f t="shared" si="4"/>
        <v>0.01944943858201431</v>
      </c>
      <c r="W11" s="1">
        <f t="shared" si="4"/>
        <v>0.01944943858201431</v>
      </c>
      <c r="X11" s="1">
        <f t="shared" si="4"/>
        <v>0.01944943858201431</v>
      </c>
      <c r="Y11" s="1">
        <f t="shared" si="4"/>
        <v>0.01486</v>
      </c>
      <c r="Z11" s="1">
        <f t="shared" si="4"/>
        <v>0.01486</v>
      </c>
      <c r="AA11" s="1">
        <f t="shared" si="4"/>
        <v>0.01486</v>
      </c>
      <c r="AB11" s="1">
        <f t="shared" si="4"/>
        <v>0.01486</v>
      </c>
      <c r="AC11" s="1">
        <f t="shared" si="4"/>
        <v>0.01486</v>
      </c>
      <c r="AD11" s="1"/>
      <c r="AE11" s="216"/>
    </row>
    <row r="12" spans="2:31" ht="12.75">
      <c r="B12" t="s">
        <v>460</v>
      </c>
      <c r="E12" s="2"/>
      <c r="G12" s="166">
        <f>graduates_mcc</f>
        <v>2326</v>
      </c>
      <c r="H12" s="17"/>
      <c r="I12" s="17">
        <f>J111</f>
        <v>2564.4658471676594</v>
      </c>
      <c r="J12" s="167">
        <f>I12*(1+J11)</f>
        <v>2702.623757282051</v>
      </c>
      <c r="K12" s="167">
        <f aca="true" t="shared" si="5" ref="K12:AC12">J12*(1+K11)</f>
        <v>2848.224780022901</v>
      </c>
      <c r="L12" s="167">
        <f t="shared" si="5"/>
        <v>3001.6699052830386</v>
      </c>
      <c r="M12" s="167">
        <f t="shared" si="5"/>
        <v>3163.381725865555</v>
      </c>
      <c r="N12" s="167">
        <f t="shared" si="5"/>
        <v>3333.8056013179576</v>
      </c>
      <c r="O12" s="167">
        <f t="shared" si="5"/>
        <v>3398.6462486051664</v>
      </c>
      <c r="P12" s="167">
        <f t="shared" si="5"/>
        <v>3464.748010079406</v>
      </c>
      <c r="Q12" s="167">
        <f t="shared" si="5"/>
        <v>3532.1354137036014</v>
      </c>
      <c r="R12" s="167">
        <f t="shared" si="5"/>
        <v>3600.833464495787</v>
      </c>
      <c r="S12" s="167">
        <f t="shared" si="5"/>
        <v>3670.8676538075597</v>
      </c>
      <c r="T12" s="167">
        <f t="shared" si="5"/>
        <v>3742.263968782993</v>
      </c>
      <c r="U12" s="167">
        <f t="shared" si="5"/>
        <v>3815.048902001523</v>
      </c>
      <c r="V12" s="167">
        <f t="shared" si="5"/>
        <v>3889.2494613083827</v>
      </c>
      <c r="W12" s="167">
        <f t="shared" si="5"/>
        <v>3964.8931798362323</v>
      </c>
      <c r="X12" s="167">
        <f t="shared" si="5"/>
        <v>4042.0081262217045</v>
      </c>
      <c r="Y12" s="167">
        <f t="shared" si="5"/>
        <v>4102.07236697736</v>
      </c>
      <c r="Z12" s="167">
        <f t="shared" si="5"/>
        <v>4163.029162350644</v>
      </c>
      <c r="AA12" s="167">
        <f t="shared" si="5"/>
        <v>4224.891775703175</v>
      </c>
      <c r="AB12" s="167">
        <f t="shared" si="5"/>
        <v>4287.673667490125</v>
      </c>
      <c r="AC12" s="167">
        <f t="shared" si="5"/>
        <v>4351.388498189029</v>
      </c>
      <c r="AD12" s="6"/>
      <c r="AE12" s="6"/>
    </row>
    <row r="13" spans="2:31" ht="12.75">
      <c r="B13" t="s">
        <v>461</v>
      </c>
      <c r="E13" s="2"/>
      <c r="G13" s="166"/>
      <c r="H13" s="17"/>
      <c r="I13" s="194">
        <f aca="true" t="shared" si="6" ref="I13:AC13">$J$146</f>
        <v>0.7129199029126214</v>
      </c>
      <c r="J13" s="196">
        <f t="shared" si="6"/>
        <v>0.7129199029126214</v>
      </c>
      <c r="K13" s="196">
        <f t="shared" si="6"/>
        <v>0.7129199029126214</v>
      </c>
      <c r="L13" s="196">
        <f t="shared" si="6"/>
        <v>0.7129199029126214</v>
      </c>
      <c r="M13" s="196">
        <f t="shared" si="6"/>
        <v>0.7129199029126214</v>
      </c>
      <c r="N13" s="196">
        <f t="shared" si="6"/>
        <v>0.7129199029126214</v>
      </c>
      <c r="O13" s="196">
        <f t="shared" si="6"/>
        <v>0.7129199029126214</v>
      </c>
      <c r="P13" s="196">
        <f t="shared" si="6"/>
        <v>0.7129199029126214</v>
      </c>
      <c r="Q13" s="196">
        <f t="shared" si="6"/>
        <v>0.7129199029126214</v>
      </c>
      <c r="R13" s="196">
        <f t="shared" si="6"/>
        <v>0.7129199029126214</v>
      </c>
      <c r="S13" s="196">
        <f t="shared" si="6"/>
        <v>0.7129199029126214</v>
      </c>
      <c r="T13" s="196">
        <f t="shared" si="6"/>
        <v>0.7129199029126214</v>
      </c>
      <c r="U13" s="196">
        <f t="shared" si="6"/>
        <v>0.7129199029126214</v>
      </c>
      <c r="V13" s="196">
        <f t="shared" si="6"/>
        <v>0.7129199029126214</v>
      </c>
      <c r="W13" s="196">
        <f t="shared" si="6"/>
        <v>0.7129199029126214</v>
      </c>
      <c r="X13" s="196">
        <f t="shared" si="6"/>
        <v>0.7129199029126214</v>
      </c>
      <c r="Y13" s="196">
        <f t="shared" si="6"/>
        <v>0.7129199029126214</v>
      </c>
      <c r="Z13" s="196">
        <f t="shared" si="6"/>
        <v>0.7129199029126214</v>
      </c>
      <c r="AA13" s="196">
        <f t="shared" si="6"/>
        <v>0.7129199029126214</v>
      </c>
      <c r="AB13" s="196">
        <f t="shared" si="6"/>
        <v>0.7129199029126214</v>
      </c>
      <c r="AC13" s="196">
        <f t="shared" si="6"/>
        <v>0.7129199029126214</v>
      </c>
      <c r="AD13" s="6"/>
      <c r="AE13" s="6"/>
    </row>
    <row r="14" spans="2:31" ht="12.75">
      <c r="B14" t="s">
        <v>462</v>
      </c>
      <c r="E14" s="2"/>
      <c r="G14" s="166"/>
      <c r="H14" s="17"/>
      <c r="I14" s="195">
        <f>I12*I13</f>
        <v>1828.2587427855012</v>
      </c>
      <c r="J14" s="165">
        <f>J12*J13</f>
        <v>1926.7542666508639</v>
      </c>
      <c r="K14" s="165">
        <f aca="true" t="shared" si="7" ref="K14:AB14">K12*K13</f>
        <v>2030.5561336472492</v>
      </c>
      <c r="L14" s="165">
        <f t="shared" si="7"/>
        <v>2139.9502174501213</v>
      </c>
      <c r="M14" s="165">
        <f t="shared" si="7"/>
        <v>2255.2377928796323</v>
      </c>
      <c r="N14" s="165">
        <f t="shared" si="7"/>
        <v>2376.736365621152</v>
      </c>
      <c r="O14" s="165">
        <f t="shared" si="7"/>
        <v>2422.9625535899404</v>
      </c>
      <c r="P14" s="165">
        <f t="shared" si="7"/>
        <v>2470.087814962508</v>
      </c>
      <c r="Q14" s="165">
        <f t="shared" si="7"/>
        <v>2518.1296362118032</v>
      </c>
      <c r="R14" s="165">
        <f>R12*R13</f>
        <v>2567.1058439128547</v>
      </c>
      <c r="S14" s="165">
        <f t="shared" si="7"/>
        <v>2617.034611357568</v>
      </c>
      <c r="T14" s="165">
        <f t="shared" si="7"/>
        <v>2667.9344652981727</v>
      </c>
      <c r="U14" s="165">
        <f t="shared" si="7"/>
        <v>2719.8242928218287</v>
      </c>
      <c r="V14" s="165">
        <f t="shared" si="7"/>
        <v>2772.7233483589375</v>
      </c>
      <c r="W14" s="165">
        <f t="shared" si="7"/>
        <v>2826.6512608277617</v>
      </c>
      <c r="X14" s="165">
        <f t="shared" si="7"/>
        <v>2881.6280409180044</v>
      </c>
      <c r="Y14" s="165">
        <f t="shared" si="7"/>
        <v>2924.449033606046</v>
      </c>
      <c r="Z14" s="165">
        <f t="shared" si="7"/>
        <v>2967.9063462454324</v>
      </c>
      <c r="AA14" s="165">
        <f t="shared" si="7"/>
        <v>3012.00943455064</v>
      </c>
      <c r="AB14" s="165">
        <f t="shared" si="7"/>
        <v>3056.767894748063</v>
      </c>
      <c r="AC14" s="165">
        <f>AC12*AC13</f>
        <v>3102.1914656640197</v>
      </c>
      <c r="AD14" s="6"/>
      <c r="AE14" s="6"/>
    </row>
    <row r="15" spans="2:31" ht="12.75">
      <c r="B15" t="s">
        <v>222</v>
      </c>
      <c r="E15" s="2"/>
      <c r="G15" s="17"/>
      <c r="H15" s="17"/>
      <c r="I15" s="17">
        <f>$J$132</f>
        <v>1215.3961424598335</v>
      </c>
      <c r="J15" s="9">
        <f>I15*(1+J$5)</f>
        <v>1282.4130857550688</v>
      </c>
      <c r="K15" s="9">
        <f aca="true" t="shared" si="8" ref="K15:AC15">J15*(1+K$5)</f>
        <v>1404.421866733806</v>
      </c>
      <c r="L15" s="9">
        <f t="shared" si="8"/>
        <v>1467.81746979817</v>
      </c>
      <c r="M15" s="9">
        <f t="shared" si="8"/>
        <v>1534.0747503848593</v>
      </c>
      <c r="N15" s="9">
        <f t="shared" si="8"/>
        <v>1603.3228846172317</v>
      </c>
      <c r="O15" s="9">
        <f t="shared" si="8"/>
        <v>1675.6968796288534</v>
      </c>
      <c r="P15" s="9">
        <f t="shared" si="8"/>
        <v>1734.5808679790111</v>
      </c>
      <c r="Q15" s="9">
        <f>P15*(1+Q$5)</f>
        <v>1795.5340396797935</v>
      </c>
      <c r="R15" s="9">
        <f>Q15*(1+R$5)</f>
        <v>1858.6291058341415</v>
      </c>
      <c r="S15" s="9">
        <f t="shared" si="8"/>
        <v>1923.941332613153</v>
      </c>
      <c r="T15" s="9">
        <f t="shared" si="8"/>
        <v>1991.548631041179</v>
      </c>
      <c r="U15" s="9">
        <f t="shared" si="8"/>
        <v>2061.531649935966</v>
      </c>
      <c r="V15" s="9">
        <f t="shared" si="8"/>
        <v>2123.6662138650363</v>
      </c>
      <c r="W15" s="9">
        <f t="shared" si="8"/>
        <v>2187.6735135509284</v>
      </c>
      <c r="X15" s="9">
        <f t="shared" si="8"/>
        <v>2253.6099932493535</v>
      </c>
      <c r="Y15" s="9">
        <f t="shared" si="8"/>
        <v>2321.5337984458893</v>
      </c>
      <c r="Z15" s="9">
        <f t="shared" si="8"/>
        <v>2391.5048271310484</v>
      </c>
      <c r="AA15" s="9">
        <f t="shared" si="8"/>
        <v>2463.5847826207782</v>
      </c>
      <c r="AB15" s="9">
        <f t="shared" si="8"/>
        <v>2537.837227968969</v>
      </c>
      <c r="AC15" s="9">
        <f t="shared" si="8"/>
        <v>2614.3276420199536</v>
      </c>
      <c r="AD15" s="4"/>
      <c r="AE15" s="4"/>
    </row>
    <row r="16" spans="2:31" ht="12.75">
      <c r="B16" t="s">
        <v>279</v>
      </c>
      <c r="G16" s="17"/>
      <c r="H16" s="17"/>
      <c r="I16" s="17"/>
      <c r="J16" s="9">
        <f>J14*J15/1000</f>
        <v>2470.894884587479</v>
      </c>
      <c r="K16" s="9">
        <f aca="true" t="shared" si="9" ref="K16:AC16">K14*K15/1000</f>
        <v>2851.757435724649</v>
      </c>
      <c r="L16" s="9">
        <f t="shared" si="9"/>
        <v>3141.0563136716805</v>
      </c>
      <c r="M16" s="9">
        <f t="shared" si="9"/>
        <v>3459.703354170323</v>
      </c>
      <c r="N16" s="9">
        <f t="shared" si="9"/>
        <v>3810.675805702381</v>
      </c>
      <c r="O16" s="9">
        <f t="shared" si="9"/>
        <v>4060.1507905082212</v>
      </c>
      <c r="P16" s="9">
        <f t="shared" si="9"/>
        <v>4284.567066062046</v>
      </c>
      <c r="Q16" s="9">
        <f t="shared" si="9"/>
        <v>4521.3874781447885</v>
      </c>
      <c r="R16" s="9">
        <f>R14*R15/1000</f>
        <v>4771.297639253348</v>
      </c>
      <c r="S16" s="9">
        <f t="shared" si="9"/>
        <v>5035.021057670025</v>
      </c>
      <c r="T16" s="9">
        <f t="shared" si="9"/>
        <v>5313.321232072156</v>
      </c>
      <c r="U16" s="9">
        <f t="shared" si="9"/>
        <v>5607.003861916906</v>
      </c>
      <c r="V16" s="9">
        <f t="shared" si="9"/>
        <v>5888.338895304611</v>
      </c>
      <c r="W16" s="9">
        <f t="shared" si="9"/>
        <v>6183.790095358231</v>
      </c>
      <c r="X16" s="9">
        <f t="shared" si="9"/>
        <v>6494.065749840372</v>
      </c>
      <c r="Y16" s="9">
        <f t="shared" si="9"/>
        <v>6789.207273348855</v>
      </c>
      <c r="Z16" s="9">
        <f t="shared" si="9"/>
        <v>7097.762353518824</v>
      </c>
      <c r="AA16" s="9">
        <f t="shared" si="9"/>
        <v>7420.340608069171</v>
      </c>
      <c r="AB16" s="9">
        <f t="shared" si="9"/>
        <v>7757.579360551966</v>
      </c>
      <c r="AC16" s="9">
        <f t="shared" si="9"/>
        <v>8110.144899523841</v>
      </c>
      <c r="AD16" s="4"/>
      <c r="AE16" s="4"/>
    </row>
    <row r="17" spans="2:31" ht="12.75">
      <c r="B17" t="s">
        <v>464</v>
      </c>
      <c r="E17" s="2"/>
      <c r="G17" s="17"/>
      <c r="H17" s="17"/>
      <c r="I17" s="17"/>
      <c r="J17" s="9">
        <f aca="true" t="shared" si="10" ref="J17:AC17">J16+I17*(1+J$5+$J$141)</f>
        <v>2470.894884587479</v>
      </c>
      <c r="K17" s="9">
        <f t="shared" si="10"/>
        <v>5626.922328382085</v>
      </c>
      <c r="L17" s="9">
        <f t="shared" si="10"/>
        <v>9179.540877562256</v>
      </c>
      <c r="M17" s="9">
        <f t="shared" si="10"/>
        <v>13310.650756300223</v>
      </c>
      <c r="N17" s="9">
        <f t="shared" si="10"/>
        <v>18094.889170767252</v>
      </c>
      <c r="O17" s="9">
        <f t="shared" si="10"/>
        <v>23478.52953582246</v>
      </c>
      <c r="P17" s="9">
        <f t="shared" si="10"/>
        <v>29245.56907876811</v>
      </c>
      <c r="Q17" s="9">
        <f t="shared" si="10"/>
        <v>35613.56927445646</v>
      </c>
      <c r="R17" s="9">
        <f t="shared" si="10"/>
        <v>42633.56550330484</v>
      </c>
      <c r="S17" s="9">
        <f t="shared" si="10"/>
        <v>50360.53911079837</v>
      </c>
      <c r="T17" s="9">
        <f t="shared" si="10"/>
        <v>58853.70655252641</v>
      </c>
      <c r="U17" s="9">
        <f t="shared" si="10"/>
        <v>68176.82900669094</v>
      </c>
      <c r="V17" s="9">
        <f t="shared" si="10"/>
        <v>78029.07943888122</v>
      </c>
      <c r="W17" s="9">
        <f t="shared" si="10"/>
        <v>88749.60690831114</v>
      </c>
      <c r="X17" s="9">
        <f t="shared" si="10"/>
        <v>100403.71890617219</v>
      </c>
      <c r="Y17" s="9">
        <f t="shared" si="10"/>
        <v>113030.56142183105</v>
      </c>
      <c r="Z17" s="9">
        <f t="shared" si="10"/>
        <v>126700.1041436725</v>
      </c>
      <c r="AA17" s="9">
        <f t="shared" si="10"/>
        <v>141486.99452909245</v>
      </c>
      <c r="AB17" s="9">
        <f t="shared" si="10"/>
        <v>157470.85748341653</v>
      </c>
      <c r="AC17" s="9">
        <f t="shared" si="10"/>
        <v>174736.6137218094</v>
      </c>
      <c r="AD17" s="4"/>
      <c r="AE17" s="4"/>
    </row>
    <row r="18" spans="5:31" ht="12.75">
      <c r="E18" s="2"/>
      <c r="G18" s="17"/>
      <c r="H18" s="17"/>
      <c r="I18" s="17"/>
      <c r="J18" s="9"/>
      <c r="K18" s="9"/>
      <c r="L18" s="9"/>
      <c r="M18" s="1"/>
      <c r="N18" s="1"/>
      <c r="O18" s="4"/>
      <c r="P18" s="1"/>
      <c r="Q18" s="1"/>
      <c r="R18" s="1"/>
      <c r="S18" s="9"/>
      <c r="T18" s="9"/>
      <c r="U18" s="9"/>
      <c r="V18" s="9"/>
      <c r="W18" s="9"/>
      <c r="X18" s="9"/>
      <c r="Y18" s="9"/>
      <c r="Z18" s="9"/>
      <c r="AA18" s="9"/>
      <c r="AB18" s="9"/>
      <c r="AC18" s="9"/>
      <c r="AD18" s="4"/>
      <c r="AE18" s="4"/>
    </row>
    <row r="19" spans="2:31" ht="12.75">
      <c r="B19" s="20" t="s">
        <v>465</v>
      </c>
      <c r="E19" s="2"/>
      <c r="G19" s="17"/>
      <c r="H19" s="17"/>
      <c r="I19" s="17"/>
      <c r="J19" s="1"/>
      <c r="K19" s="1"/>
      <c r="L19" s="1"/>
      <c r="M19" s="1"/>
      <c r="N19" s="1"/>
      <c r="O19" s="1"/>
      <c r="P19" s="1"/>
      <c r="Q19" s="1"/>
      <c r="R19" s="1"/>
      <c r="S19" s="1"/>
      <c r="T19" s="1"/>
      <c r="U19" s="1"/>
      <c r="V19" s="1"/>
      <c r="W19" s="1"/>
      <c r="X19" s="1"/>
      <c r="Y19" s="1"/>
      <c r="Z19" s="1"/>
      <c r="AA19" s="1"/>
      <c r="AB19" s="1"/>
      <c r="AC19" s="1"/>
      <c r="AD19" s="4"/>
      <c r="AE19" s="4"/>
    </row>
    <row r="20" spans="2:31" ht="12.75">
      <c r="B20" s="168" t="s">
        <v>475</v>
      </c>
      <c r="E20" s="2"/>
      <c r="G20" s="17"/>
      <c r="H20" s="17"/>
      <c r="I20" s="17"/>
      <c r="J20" s="1">
        <f>J11</f>
        <v>0.05387395206178347</v>
      </c>
      <c r="K20" s="1">
        <f aca="true" t="shared" si="11" ref="K20:AC20">K11</f>
        <v>0.05387395206178347</v>
      </c>
      <c r="L20" s="1">
        <f t="shared" si="11"/>
        <v>0.05387395206178347</v>
      </c>
      <c r="M20" s="1">
        <f t="shared" si="11"/>
        <v>0.05387395206178347</v>
      </c>
      <c r="N20" s="1">
        <f t="shared" si="11"/>
        <v>0.05387395206178347</v>
      </c>
      <c r="O20" s="1">
        <f t="shared" si="11"/>
        <v>0.01944943858201431</v>
      </c>
      <c r="P20" s="1">
        <f t="shared" si="11"/>
        <v>0.01944943858201431</v>
      </c>
      <c r="Q20" s="1">
        <f t="shared" si="11"/>
        <v>0.01944943858201431</v>
      </c>
      <c r="R20" s="1">
        <f t="shared" si="11"/>
        <v>0.01944943858201431</v>
      </c>
      <c r="S20" s="1">
        <f t="shared" si="11"/>
        <v>0.01944943858201431</v>
      </c>
      <c r="T20" s="1">
        <f t="shared" si="11"/>
        <v>0.01944943858201431</v>
      </c>
      <c r="U20" s="1">
        <f t="shared" si="11"/>
        <v>0.01944943858201431</v>
      </c>
      <c r="V20" s="1">
        <f t="shared" si="11"/>
        <v>0.01944943858201431</v>
      </c>
      <c r="W20" s="1">
        <f t="shared" si="11"/>
        <v>0.01944943858201431</v>
      </c>
      <c r="X20" s="1">
        <f t="shared" si="11"/>
        <v>0.01944943858201431</v>
      </c>
      <c r="Y20" s="1">
        <f t="shared" si="11"/>
        <v>0.01486</v>
      </c>
      <c r="Z20" s="1">
        <f t="shared" si="11"/>
        <v>0.01486</v>
      </c>
      <c r="AA20" s="1">
        <f t="shared" si="11"/>
        <v>0.01486</v>
      </c>
      <c r="AB20" s="1">
        <f t="shared" si="11"/>
        <v>0.01486</v>
      </c>
      <c r="AC20" s="1">
        <f t="shared" si="11"/>
        <v>0.01486</v>
      </c>
      <c r="AD20" s="4"/>
      <c r="AE20" s="4"/>
    </row>
    <row r="21" spans="2:31" ht="12.75">
      <c r="B21" t="s">
        <v>460</v>
      </c>
      <c r="E21" s="2"/>
      <c r="G21" s="17">
        <f>graduates_nonmcc</f>
        <v>5565</v>
      </c>
      <c r="H21" s="17"/>
      <c r="I21" s="17">
        <f>J112</f>
        <v>6135.534152832341</v>
      </c>
      <c r="J21" s="167">
        <f>I21*(1+J20)</f>
        <v>6466.079625655465</v>
      </c>
      <c r="K21" s="167">
        <f aca="true" t="shared" si="12" ref="K21:AC21">J21*(1+K20)</f>
        <v>6814.432889435702</v>
      </c>
      <c r="L21" s="167">
        <f t="shared" si="12"/>
        <v>7181.553320249402</v>
      </c>
      <c r="M21" s="167">
        <f t="shared" si="12"/>
        <v>7568.45197955366</v>
      </c>
      <c r="N21" s="167">
        <f t="shared" si="12"/>
        <v>7976.194398682044</v>
      </c>
      <c r="O21" s="167">
        <f t="shared" si="12"/>
        <v>8131.3269017574175</v>
      </c>
      <c r="P21" s="167">
        <f t="shared" si="12"/>
        <v>8289.476644923428</v>
      </c>
      <c r="Q21" s="167">
        <f t="shared" si="12"/>
        <v>8450.70231180591</v>
      </c>
      <c r="R21" s="167">
        <f t="shared" si="12"/>
        <v>8615.063727394265</v>
      </c>
      <c r="S21" s="167">
        <f t="shared" si="12"/>
        <v>8782.621880240358</v>
      </c>
      <c r="T21" s="167">
        <f t="shared" si="12"/>
        <v>8953.438945089149</v>
      </c>
      <c r="U21" s="167">
        <f t="shared" si="12"/>
        <v>9127.578305949475</v>
      </c>
      <c r="V21" s="167">
        <f t="shared" si="12"/>
        <v>9305.104579613566</v>
      </c>
      <c r="W21" s="167">
        <f t="shared" si="12"/>
        <v>9486.08363963398</v>
      </c>
      <c r="X21" s="167">
        <f t="shared" si="12"/>
        <v>9670.582640766892</v>
      </c>
      <c r="Y21" s="167">
        <f t="shared" si="12"/>
        <v>9814.28749880869</v>
      </c>
      <c r="Z21" s="167">
        <f t="shared" si="12"/>
        <v>9960.127811040988</v>
      </c>
      <c r="AA21" s="167">
        <f t="shared" si="12"/>
        <v>10108.135310313057</v>
      </c>
      <c r="AB21" s="167">
        <f t="shared" si="12"/>
        <v>10258.34220102431</v>
      </c>
      <c r="AC21" s="167">
        <f t="shared" si="12"/>
        <v>10410.781166131532</v>
      </c>
      <c r="AD21" s="4"/>
      <c r="AE21" s="4"/>
    </row>
    <row r="22" spans="2:31" ht="12.75">
      <c r="B22" t="s">
        <v>461</v>
      </c>
      <c r="E22" s="2"/>
      <c r="G22" s="166"/>
      <c r="H22" s="17"/>
      <c r="I22" s="194">
        <f aca="true" t="shared" si="13" ref="I22:AC22">$J$146</f>
        <v>0.7129199029126214</v>
      </c>
      <c r="J22" s="196">
        <f t="shared" si="13"/>
        <v>0.7129199029126214</v>
      </c>
      <c r="K22" s="196">
        <f t="shared" si="13"/>
        <v>0.7129199029126214</v>
      </c>
      <c r="L22" s="196">
        <f t="shared" si="13"/>
        <v>0.7129199029126214</v>
      </c>
      <c r="M22" s="196">
        <f t="shared" si="13"/>
        <v>0.7129199029126214</v>
      </c>
      <c r="N22" s="196">
        <f t="shared" si="13"/>
        <v>0.7129199029126214</v>
      </c>
      <c r="O22" s="196">
        <f t="shared" si="13"/>
        <v>0.7129199029126214</v>
      </c>
      <c r="P22" s="196">
        <f t="shared" si="13"/>
        <v>0.7129199029126214</v>
      </c>
      <c r="Q22" s="196">
        <f t="shared" si="13"/>
        <v>0.7129199029126214</v>
      </c>
      <c r="R22" s="196">
        <f t="shared" si="13"/>
        <v>0.7129199029126214</v>
      </c>
      <c r="S22" s="196">
        <f t="shared" si="13"/>
        <v>0.7129199029126214</v>
      </c>
      <c r="T22" s="196">
        <f t="shared" si="13"/>
        <v>0.7129199029126214</v>
      </c>
      <c r="U22" s="196">
        <f t="shared" si="13"/>
        <v>0.7129199029126214</v>
      </c>
      <c r="V22" s="196">
        <f t="shared" si="13"/>
        <v>0.7129199029126214</v>
      </c>
      <c r="W22" s="196">
        <f t="shared" si="13"/>
        <v>0.7129199029126214</v>
      </c>
      <c r="X22" s="196">
        <f t="shared" si="13"/>
        <v>0.7129199029126214</v>
      </c>
      <c r="Y22" s="196">
        <f t="shared" si="13"/>
        <v>0.7129199029126214</v>
      </c>
      <c r="Z22" s="196">
        <f t="shared" si="13"/>
        <v>0.7129199029126214</v>
      </c>
      <c r="AA22" s="196">
        <f t="shared" si="13"/>
        <v>0.7129199029126214</v>
      </c>
      <c r="AB22" s="196">
        <f t="shared" si="13"/>
        <v>0.7129199029126214</v>
      </c>
      <c r="AC22" s="196">
        <f t="shared" si="13"/>
        <v>0.7129199029126214</v>
      </c>
      <c r="AD22" s="6"/>
      <c r="AE22" s="6"/>
    </row>
    <row r="23" spans="2:31" ht="12.75">
      <c r="B23" t="s">
        <v>462</v>
      </c>
      <c r="E23" s="2"/>
      <c r="G23" s="166"/>
      <c r="H23" s="17"/>
      <c r="I23" s="195">
        <f aca="true" t="shared" si="14" ref="I23:AC23">I21*I22</f>
        <v>4374.144412554305</v>
      </c>
      <c r="J23" s="165">
        <f t="shared" si="14"/>
        <v>4609.796858947573</v>
      </c>
      <c r="K23" s="165">
        <f t="shared" si="14"/>
        <v>4858.144833941075</v>
      </c>
      <c r="L23" s="165">
        <f t="shared" si="14"/>
        <v>5119.872295834018</v>
      </c>
      <c r="M23" s="165">
        <f t="shared" si="14"/>
        <v>5395.700050462233</v>
      </c>
      <c r="N23" s="165">
        <f t="shared" si="14"/>
        <v>5686.3877363205975</v>
      </c>
      <c r="O23" s="165">
        <f t="shared" si="14"/>
        <v>5796.984785351685</v>
      </c>
      <c r="P23" s="165">
        <f t="shared" si="14"/>
        <v>5909.732884895253</v>
      </c>
      <c r="Q23" s="165">
        <f t="shared" si="14"/>
        <v>6024.673871676135</v>
      </c>
      <c r="R23" s="165">
        <f t="shared" si="14"/>
        <v>6141.850396119966</v>
      </c>
      <c r="S23" s="165">
        <f t="shared" si="14"/>
        <v>6261.305938179221</v>
      </c>
      <c r="T23" s="165">
        <f t="shared" si="14"/>
        <v>6383.084823467039</v>
      </c>
      <c r="U23" s="165">
        <f t="shared" si="14"/>
        <v>6507.232239704849</v>
      </c>
      <c r="V23" s="165">
        <f t="shared" si="14"/>
        <v>6633.794253489892</v>
      </c>
      <c r="W23" s="165">
        <f t="shared" si="14"/>
        <v>6762.817827388863</v>
      </c>
      <c r="X23" s="165">
        <f t="shared" si="14"/>
        <v>6894.350837364014</v>
      </c>
      <c r="Y23" s="165">
        <f t="shared" si="14"/>
        <v>6996.800890807245</v>
      </c>
      <c r="Z23" s="165">
        <f t="shared" si="14"/>
        <v>7100.773352044641</v>
      </c>
      <c r="AA23" s="165">
        <f t="shared" si="14"/>
        <v>7206.290844056025</v>
      </c>
      <c r="AB23" s="165">
        <f t="shared" si="14"/>
        <v>7313.376325998698</v>
      </c>
      <c r="AC23" s="165">
        <f t="shared" si="14"/>
        <v>7422.05309820304</v>
      </c>
      <c r="AD23" s="6"/>
      <c r="AE23" s="6"/>
    </row>
    <row r="24" spans="2:31" ht="12.75">
      <c r="B24" t="s">
        <v>222</v>
      </c>
      <c r="E24" s="2"/>
      <c r="G24" s="17"/>
      <c r="H24" s="17"/>
      <c r="I24" s="17">
        <f>$J$132</f>
        <v>1215.3961424598335</v>
      </c>
      <c r="J24" s="167">
        <f>I24*(1+J$5)</f>
        <v>1282.4130857550688</v>
      </c>
      <c r="K24" s="167">
        <f aca="true" t="shared" si="15" ref="K24:AB24">J24*(1+K$5)</f>
        <v>1404.421866733806</v>
      </c>
      <c r="L24" s="167">
        <f t="shared" si="15"/>
        <v>1467.81746979817</v>
      </c>
      <c r="M24" s="167">
        <f t="shared" si="15"/>
        <v>1534.0747503848593</v>
      </c>
      <c r="N24" s="167">
        <f t="shared" si="15"/>
        <v>1603.3228846172317</v>
      </c>
      <c r="O24" s="167">
        <f t="shared" si="15"/>
        <v>1675.6968796288534</v>
      </c>
      <c r="P24" s="167">
        <f t="shared" si="15"/>
        <v>1734.5808679790111</v>
      </c>
      <c r="Q24" s="167">
        <f t="shared" si="15"/>
        <v>1795.5340396797935</v>
      </c>
      <c r="R24" s="167">
        <f t="shared" si="15"/>
        <v>1858.6291058341415</v>
      </c>
      <c r="S24" s="167">
        <f t="shared" si="15"/>
        <v>1923.941332613153</v>
      </c>
      <c r="T24" s="167">
        <f t="shared" si="15"/>
        <v>1991.548631041179</v>
      </c>
      <c r="U24" s="167">
        <f t="shared" si="15"/>
        <v>2061.531649935966</v>
      </c>
      <c r="V24" s="167">
        <f t="shared" si="15"/>
        <v>2123.6662138650363</v>
      </c>
      <c r="W24" s="167">
        <f t="shared" si="15"/>
        <v>2187.6735135509284</v>
      </c>
      <c r="X24" s="167">
        <f t="shared" si="15"/>
        <v>2253.6099932493535</v>
      </c>
      <c r="Y24" s="167">
        <f t="shared" si="15"/>
        <v>2321.5337984458893</v>
      </c>
      <c r="Z24" s="167">
        <f t="shared" si="15"/>
        <v>2391.5048271310484</v>
      </c>
      <c r="AA24" s="167">
        <f t="shared" si="15"/>
        <v>2463.5847826207782</v>
      </c>
      <c r="AB24" s="167">
        <f t="shared" si="15"/>
        <v>2537.837227968969</v>
      </c>
      <c r="AC24" s="167">
        <f>AB24*(1+AC$5)</f>
        <v>2614.3276420199536</v>
      </c>
      <c r="AD24" s="4"/>
      <c r="AE24" s="4"/>
    </row>
    <row r="25" spans="2:31" ht="12.75">
      <c r="B25" t="s">
        <v>279</v>
      </c>
      <c r="E25" s="2"/>
      <c r="G25" s="17"/>
      <c r="H25" s="17"/>
      <c r="I25" s="17"/>
      <c r="J25" s="9">
        <f>J23*J24/1000</f>
        <v>5911.663814586981</v>
      </c>
      <c r="K25" s="9">
        <f aca="true" t="shared" si="16" ref="K25:AC25">K23*K24/1000</f>
        <v>6822.884836546721</v>
      </c>
      <c r="L25" s="9">
        <f t="shared" si="16"/>
        <v>7515.037998960835</v>
      </c>
      <c r="M25" s="9">
        <f t="shared" si="16"/>
        <v>8277.407208064422</v>
      </c>
      <c r="N25" s="9">
        <f t="shared" si="16"/>
        <v>9117.11558844959</v>
      </c>
      <c r="O25" s="9">
        <f t="shared" si="16"/>
        <v>9713.989316069757</v>
      </c>
      <c r="P25" s="9">
        <f t="shared" si="16"/>
        <v>10250.909597005713</v>
      </c>
      <c r="Q25" s="9">
        <f t="shared" si="16"/>
        <v>10817.507014563951</v>
      </c>
      <c r="R25" s="9">
        <f t="shared" si="16"/>
        <v>11415.42190990752</v>
      </c>
      <c r="S25" s="9">
        <f t="shared" si="16"/>
        <v>12046.385290599179</v>
      </c>
      <c r="T25" s="9">
        <f t="shared" si="16"/>
        <v>12712.223841995508</v>
      </c>
      <c r="U25" s="9">
        <f t="shared" si="16"/>
        <v>13414.86521563525</v>
      </c>
      <c r="V25" s="9">
        <f t="shared" si="16"/>
        <v>14087.964725868515</v>
      </c>
      <c r="W25" s="9">
        <f t="shared" si="16"/>
        <v>14794.837437948652</v>
      </c>
      <c r="X25" s="9">
        <f t="shared" si="16"/>
        <v>15537.17794405059</v>
      </c>
      <c r="Y25" s="9">
        <f t="shared" si="16"/>
        <v>16243.309749005326</v>
      </c>
      <c r="Z25" s="9">
        <f t="shared" si="16"/>
        <v>16981.533747778274</v>
      </c>
      <c r="AA25" s="9">
        <f t="shared" si="16"/>
        <v>17753.308462555866</v>
      </c>
      <c r="AB25" s="9">
        <f t="shared" si="16"/>
        <v>18560.158702266417</v>
      </c>
      <c r="AC25" s="9">
        <f t="shared" si="16"/>
        <v>19403.678575172045</v>
      </c>
      <c r="AD25" s="4"/>
      <c r="AE25" s="4"/>
    </row>
    <row r="26" spans="2:31" ht="12.75">
      <c r="B26" t="s">
        <v>466</v>
      </c>
      <c r="E26" s="2"/>
      <c r="G26" s="17"/>
      <c r="H26" s="17"/>
      <c r="I26" s="17"/>
      <c r="J26" s="9">
        <f aca="true" t="shared" si="17" ref="J26:AC26">J25+I26*(1+J$5+$J$141)</f>
        <v>5911.663814586981</v>
      </c>
      <c r="K26" s="9">
        <f t="shared" si="17"/>
        <v>13462.520532006147</v>
      </c>
      <c r="L26" s="9">
        <f t="shared" si="17"/>
        <v>21962.22914171709</v>
      </c>
      <c r="M26" s="9">
        <f t="shared" si="17"/>
        <v>31845.989449187764</v>
      </c>
      <c r="N26" s="9">
        <f t="shared" si="17"/>
        <v>43292.372414152946</v>
      </c>
      <c r="O26" s="9">
        <f t="shared" si="17"/>
        <v>56172.83614224076</v>
      </c>
      <c r="P26" s="9">
        <f t="shared" si="17"/>
        <v>69970.5898208704</v>
      </c>
      <c r="Q26" s="9">
        <f t="shared" si="17"/>
        <v>85206.15348768281</v>
      </c>
      <c r="R26" s="9">
        <f t="shared" si="17"/>
        <v>102001.63027768335</v>
      </c>
      <c r="S26" s="9">
        <f t="shared" si="17"/>
        <v>120488.56412364272</v>
      </c>
      <c r="T26" s="9">
        <f t="shared" si="17"/>
        <v>140808.63154119067</v>
      </c>
      <c r="U26" s="9">
        <f t="shared" si="17"/>
        <v>163114.38238273218</v>
      </c>
      <c r="V26" s="9">
        <f t="shared" si="17"/>
        <v>186686.08214848407</v>
      </c>
      <c r="W26" s="9">
        <f t="shared" si="17"/>
        <v>212335.15152396882</v>
      </c>
      <c r="X26" s="9">
        <f t="shared" si="17"/>
        <v>240217.83994533456</v>
      </c>
      <c r="Y26" s="9">
        <f t="shared" si="17"/>
        <v>270427.8049494797</v>
      </c>
      <c r="Z26" s="9">
        <f t="shared" si="17"/>
        <v>303132.4503695346</v>
      </c>
      <c r="AA26" s="9">
        <f t="shared" si="17"/>
        <v>338510.37169148726</v>
      </c>
      <c r="AB26" s="9">
        <f t="shared" si="17"/>
        <v>376752.073041794</v>
      </c>
      <c r="AC26" s="9">
        <f t="shared" si="17"/>
        <v>418060.7288744063</v>
      </c>
      <c r="AD26" s="4"/>
      <c r="AE26" s="4"/>
    </row>
    <row r="27" spans="5:31" ht="12.75">
      <c r="E27" s="2"/>
      <c r="G27" s="17"/>
      <c r="H27" s="17"/>
      <c r="I27" s="17"/>
      <c r="J27" s="9"/>
      <c r="K27" s="9"/>
      <c r="L27" s="9"/>
      <c r="M27" s="9"/>
      <c r="N27" s="9"/>
      <c r="O27" s="9"/>
      <c r="P27" s="9"/>
      <c r="Q27" s="9"/>
      <c r="R27" s="9"/>
      <c r="S27" s="9"/>
      <c r="T27" s="9"/>
      <c r="U27" s="9"/>
      <c r="V27" s="9"/>
      <c r="W27" s="9"/>
      <c r="X27" s="9"/>
      <c r="Y27" s="9"/>
      <c r="Z27" s="9"/>
      <c r="AA27" s="9"/>
      <c r="AB27" s="9"/>
      <c r="AC27" s="9"/>
      <c r="AD27" s="4"/>
      <c r="AE27" s="4"/>
    </row>
    <row r="28" spans="2:31" ht="12.75">
      <c r="B28" s="20" t="s">
        <v>289</v>
      </c>
      <c r="E28" s="2"/>
      <c r="G28" s="17"/>
      <c r="H28" s="17"/>
      <c r="I28" s="17"/>
      <c r="J28" s="9"/>
      <c r="K28" s="9"/>
      <c r="L28" s="9"/>
      <c r="M28" s="9"/>
      <c r="N28" s="9"/>
      <c r="O28" s="9"/>
      <c r="P28" s="9"/>
      <c r="Q28" s="9"/>
      <c r="R28" s="9"/>
      <c r="S28" s="9"/>
      <c r="T28" s="9"/>
      <c r="U28" s="9"/>
      <c r="V28" s="9"/>
      <c r="W28" s="9"/>
      <c r="X28" s="9"/>
      <c r="Y28" s="9"/>
      <c r="Z28" s="9"/>
      <c r="AA28" s="9"/>
      <c r="AB28" s="9"/>
      <c r="AC28" s="9"/>
      <c r="AD28" s="4"/>
      <c r="AE28" s="4"/>
    </row>
    <row r="29" spans="2:31" s="13" customFormat="1" ht="12.75">
      <c r="B29" s="13" t="s">
        <v>467</v>
      </c>
      <c r="G29" s="17"/>
      <c r="H29" s="17"/>
      <c r="I29" s="17"/>
      <c r="J29" s="167">
        <f>J12-J14</f>
        <v>775.8694906311871</v>
      </c>
      <c r="K29" s="167">
        <f>K12-K14</f>
        <v>817.6686463756519</v>
      </c>
      <c r="L29" s="167">
        <f aca="true" t="shared" si="18" ref="L29:AB29">L12-L14</f>
        <v>861.7196878329173</v>
      </c>
      <c r="M29" s="167">
        <f t="shared" si="18"/>
        <v>908.1439329859227</v>
      </c>
      <c r="N29" s="167">
        <f>N12-N14</f>
        <v>957.0692356968057</v>
      </c>
      <c r="O29" s="167">
        <f t="shared" si="18"/>
        <v>975.683695015226</v>
      </c>
      <c r="P29" s="167">
        <f t="shared" si="18"/>
        <v>994.6601951168977</v>
      </c>
      <c r="Q29" s="167">
        <f t="shared" si="18"/>
        <v>1014.0057774917982</v>
      </c>
      <c r="R29" s="167">
        <f t="shared" si="18"/>
        <v>1033.7276205829326</v>
      </c>
      <c r="S29" s="167">
        <f t="shared" si="18"/>
        <v>1053.8330424499918</v>
      </c>
      <c r="T29" s="167">
        <f t="shared" si="18"/>
        <v>1074.3295034848202</v>
      </c>
      <c r="U29" s="167">
        <f t="shared" si="18"/>
        <v>1095.2246091796942</v>
      </c>
      <c r="V29" s="167">
        <f t="shared" si="18"/>
        <v>1116.5261129494452</v>
      </c>
      <c r="W29" s="167">
        <f t="shared" si="18"/>
        <v>1138.2419190084706</v>
      </c>
      <c r="X29" s="167">
        <f t="shared" si="18"/>
        <v>1160.3800853037</v>
      </c>
      <c r="Y29" s="167">
        <f t="shared" si="18"/>
        <v>1177.6233333713135</v>
      </c>
      <c r="Z29" s="167">
        <f t="shared" si="18"/>
        <v>1195.1228161052113</v>
      </c>
      <c r="AA29" s="167">
        <f t="shared" si="18"/>
        <v>1212.882341152535</v>
      </c>
      <c r="AB29" s="167">
        <f t="shared" si="18"/>
        <v>1230.9057727420618</v>
      </c>
      <c r="AC29" s="167">
        <f>AC12-AC14</f>
        <v>1249.197032525009</v>
      </c>
      <c r="AD29" s="165"/>
      <c r="AE29" s="165"/>
    </row>
    <row r="30" spans="2:31" s="13" customFormat="1" ht="12.75">
      <c r="B30" s="13" t="s">
        <v>468</v>
      </c>
      <c r="G30" s="17"/>
      <c r="H30" s="17"/>
      <c r="I30" s="17"/>
      <c r="J30" s="167">
        <f>J21-J23</f>
        <v>1856.2827667078918</v>
      </c>
      <c r="K30" s="167">
        <f>K21-K23</f>
        <v>1956.2880554946269</v>
      </c>
      <c r="L30" s="167">
        <f aca="true" t="shared" si="19" ref="L30:AB30">L21-L23</f>
        <v>2061.681024415384</v>
      </c>
      <c r="M30" s="167">
        <f t="shared" si="19"/>
        <v>2172.751929091427</v>
      </c>
      <c r="N30" s="167">
        <f>N21-N23</f>
        <v>2289.806662361447</v>
      </c>
      <c r="O30" s="167">
        <f t="shared" si="19"/>
        <v>2334.3421164057327</v>
      </c>
      <c r="P30" s="167">
        <f t="shared" si="19"/>
        <v>2379.7437600281755</v>
      </c>
      <c r="Q30" s="167">
        <f t="shared" si="19"/>
        <v>2426.028440129775</v>
      </c>
      <c r="R30" s="167">
        <f t="shared" si="19"/>
        <v>2473.213331274299</v>
      </c>
      <c r="S30" s="167">
        <f t="shared" si="19"/>
        <v>2521.3159420611373</v>
      </c>
      <c r="T30" s="167">
        <f t="shared" si="19"/>
        <v>2570.3541216221092</v>
      </c>
      <c r="U30" s="167">
        <f t="shared" si="19"/>
        <v>2620.346066244626</v>
      </c>
      <c r="V30" s="167">
        <f t="shared" si="19"/>
        <v>2671.310326123674</v>
      </c>
      <c r="W30" s="167">
        <f t="shared" si="19"/>
        <v>2723.2658122451166</v>
      </c>
      <c r="X30" s="167">
        <f t="shared" si="19"/>
        <v>2776.2318034028776</v>
      </c>
      <c r="Y30" s="167">
        <f t="shared" si="19"/>
        <v>2817.4866080014444</v>
      </c>
      <c r="Z30" s="167">
        <f t="shared" si="19"/>
        <v>2859.3544589963467</v>
      </c>
      <c r="AA30" s="167">
        <f t="shared" si="19"/>
        <v>2901.844466257032</v>
      </c>
      <c r="AB30" s="167">
        <f t="shared" si="19"/>
        <v>2944.965875025612</v>
      </c>
      <c r="AC30" s="167">
        <f>AC21-AC23</f>
        <v>2988.7280679284922</v>
      </c>
      <c r="AD30" s="165"/>
      <c r="AE30" s="165"/>
    </row>
    <row r="31" spans="2:31" s="13" customFormat="1" ht="12.75">
      <c r="B31" s="13" t="s">
        <v>281</v>
      </c>
      <c r="G31" s="17"/>
      <c r="H31" s="17"/>
      <c r="I31" s="17"/>
      <c r="J31" s="167">
        <v>0</v>
      </c>
      <c r="K31" s="167">
        <f aca="true" t="shared" si="20" ref="K31:AC31">J32*$J$148</f>
        <v>1316.0761286695395</v>
      </c>
      <c r="L31" s="167">
        <f t="shared" si="20"/>
        <v>2045.016415269909</v>
      </c>
      <c r="M31" s="167">
        <f t="shared" si="20"/>
        <v>2484.2085637591053</v>
      </c>
      <c r="N31" s="167">
        <f t="shared" si="20"/>
        <v>2782.5522129182273</v>
      </c>
      <c r="O31" s="167">
        <f t="shared" si="20"/>
        <v>3014.7140554882394</v>
      </c>
      <c r="P31" s="167">
        <f t="shared" si="20"/>
        <v>3162.369933454599</v>
      </c>
      <c r="Q31" s="167">
        <f t="shared" si="20"/>
        <v>3268.386944299836</v>
      </c>
      <c r="R31" s="167">
        <f t="shared" si="20"/>
        <v>3354.2105809607037</v>
      </c>
      <c r="S31" s="167">
        <f t="shared" si="20"/>
        <v>3430.575766408968</v>
      </c>
      <c r="T31" s="167">
        <f t="shared" si="20"/>
        <v>3502.862375460049</v>
      </c>
      <c r="U31" s="167">
        <f t="shared" si="20"/>
        <v>3573.7730002834896</v>
      </c>
      <c r="V31" s="167">
        <f t="shared" si="20"/>
        <v>3644.671837853905</v>
      </c>
      <c r="W31" s="167">
        <f t="shared" si="20"/>
        <v>3716.2541384635124</v>
      </c>
      <c r="X31" s="167">
        <f t="shared" si="20"/>
        <v>3788.8809348585505</v>
      </c>
      <c r="Y31" s="167">
        <f t="shared" si="20"/>
        <v>3862.746411782564</v>
      </c>
      <c r="Z31" s="167">
        <f t="shared" si="20"/>
        <v>3928.9281765776605</v>
      </c>
      <c r="AA31" s="167">
        <f t="shared" si="20"/>
        <v>3991.702725839609</v>
      </c>
      <c r="AB31" s="167">
        <f t="shared" si="20"/>
        <v>4053.2147666245874</v>
      </c>
      <c r="AC31" s="167">
        <f t="shared" si="20"/>
        <v>4114.543207196131</v>
      </c>
      <c r="AD31" s="196"/>
      <c r="AE31" s="165"/>
    </row>
    <row r="32" spans="2:31" s="13" customFormat="1" ht="12.75">
      <c r="B32" s="13" t="s">
        <v>282</v>
      </c>
      <c r="G32" s="17"/>
      <c r="H32" s="17"/>
      <c r="I32" s="17"/>
      <c r="J32" s="167">
        <f>I32+J29+J30-J31</f>
        <v>2632.152257339079</v>
      </c>
      <c r="K32" s="167">
        <f>J32+K29+K30-K31</f>
        <v>4090.032830539818</v>
      </c>
      <c r="L32" s="167">
        <f aca="true" t="shared" si="21" ref="L32:AB32">K32+L29+L30-L31</f>
        <v>4968.417127518211</v>
      </c>
      <c r="M32" s="167">
        <f t="shared" si="21"/>
        <v>5565.1044258364545</v>
      </c>
      <c r="N32" s="167">
        <f>M32+N29+N30-N31</f>
        <v>6029.428110976479</v>
      </c>
      <c r="O32" s="167">
        <f>N32+O29+O30-O31</f>
        <v>6324.739866909198</v>
      </c>
      <c r="P32" s="167">
        <f>O32+P29+P30-P31</f>
        <v>6536.773888599672</v>
      </c>
      <c r="Q32" s="167">
        <f t="shared" si="21"/>
        <v>6708.4211619214075</v>
      </c>
      <c r="R32" s="167">
        <f t="shared" si="21"/>
        <v>6861.151532817936</v>
      </c>
      <c r="S32" s="167">
        <f t="shared" si="21"/>
        <v>7005.724750920098</v>
      </c>
      <c r="T32" s="167">
        <f t="shared" si="21"/>
        <v>7147.546000566979</v>
      </c>
      <c r="U32" s="167">
        <f t="shared" si="21"/>
        <v>7289.34367570781</v>
      </c>
      <c r="V32" s="167">
        <f t="shared" si="21"/>
        <v>7432.508276927025</v>
      </c>
      <c r="W32" s="167">
        <f t="shared" si="21"/>
        <v>7577.761869717101</v>
      </c>
      <c r="X32" s="167">
        <f t="shared" si="21"/>
        <v>7725.492823565128</v>
      </c>
      <c r="Y32" s="167">
        <f t="shared" si="21"/>
        <v>7857.856353155321</v>
      </c>
      <c r="Z32" s="167">
        <f t="shared" si="21"/>
        <v>7983.405451679218</v>
      </c>
      <c r="AA32" s="167">
        <f t="shared" si="21"/>
        <v>8106.429533249175</v>
      </c>
      <c r="AB32" s="167">
        <f t="shared" si="21"/>
        <v>8229.086414392263</v>
      </c>
      <c r="AC32" s="167">
        <f>AB32+AC29+AC30-AC31</f>
        <v>8352.468307649633</v>
      </c>
      <c r="AD32" s="165"/>
      <c r="AE32" s="165"/>
    </row>
    <row r="33" spans="2:31" ht="12.75">
      <c r="B33" s="13" t="s">
        <v>284</v>
      </c>
      <c r="E33" s="2"/>
      <c r="G33" s="17"/>
      <c r="H33" s="17"/>
      <c r="I33" s="17">
        <f>J134</f>
        <v>420</v>
      </c>
      <c r="J33" s="9">
        <f aca="true" t="shared" si="22" ref="J33:AC33">I33*(1+J5)</f>
        <v>443.1588</v>
      </c>
      <c r="K33" s="9">
        <f t="shared" si="22"/>
        <v>485.32092823199997</v>
      </c>
      <c r="L33" s="9">
        <f t="shared" si="22"/>
        <v>507.22831493239244</v>
      </c>
      <c r="M33" s="9">
        <f t="shared" si="22"/>
        <v>530.1246010684406</v>
      </c>
      <c r="N33" s="9">
        <f t="shared" si="22"/>
        <v>554.05442556067</v>
      </c>
      <c r="O33" s="9">
        <f t="shared" si="22"/>
        <v>579.0644423304786</v>
      </c>
      <c r="P33" s="9">
        <f t="shared" si="22"/>
        <v>599.4127668339717</v>
      </c>
      <c r="Q33" s="9">
        <f t="shared" si="22"/>
        <v>620.4761314605174</v>
      </c>
      <c r="R33" s="9">
        <f t="shared" si="22"/>
        <v>642.2796627200399</v>
      </c>
      <c r="S33" s="9">
        <f t="shared" si="22"/>
        <v>664.8493700680222</v>
      </c>
      <c r="T33" s="9">
        <f t="shared" si="22"/>
        <v>688.2121769322124</v>
      </c>
      <c r="U33" s="9">
        <f t="shared" si="22"/>
        <v>712.3959528296103</v>
      </c>
      <c r="V33" s="9">
        <f t="shared" si="22"/>
        <v>733.8675668478949</v>
      </c>
      <c r="W33" s="9">
        <f t="shared" si="22"/>
        <v>755.9863353126905</v>
      </c>
      <c r="X33" s="9">
        <f t="shared" si="22"/>
        <v>778.771763459015</v>
      </c>
      <c r="Y33" s="9">
        <f t="shared" si="22"/>
        <v>802.2439444096698</v>
      </c>
      <c r="Z33" s="9">
        <f t="shared" si="22"/>
        <v>826.4235768941772</v>
      </c>
      <c r="AA33" s="9">
        <f t="shared" si="22"/>
        <v>851.3319835017678</v>
      </c>
      <c r="AB33" s="9">
        <f t="shared" si="22"/>
        <v>876.9911294845111</v>
      </c>
      <c r="AC33" s="9">
        <f t="shared" si="22"/>
        <v>903.4236421271744</v>
      </c>
      <c r="AD33" s="4"/>
      <c r="AE33" s="4"/>
    </row>
    <row r="34" spans="2:31" ht="12.75">
      <c r="B34" s="13" t="s">
        <v>293</v>
      </c>
      <c r="E34" s="2"/>
      <c r="G34" s="17"/>
      <c r="H34" s="17"/>
      <c r="I34" s="17"/>
      <c r="J34" s="9">
        <f aca="true" t="shared" si="23" ref="J34:AC34">J32*J33/1000</f>
        <v>1166.4614357796775</v>
      </c>
      <c r="K34" s="9">
        <f t="shared" si="23"/>
        <v>1984.9785298169388</v>
      </c>
      <c r="L34" s="9">
        <f t="shared" si="23"/>
        <v>2520.1218474722996</v>
      </c>
      <c r="M34" s="9">
        <f t="shared" si="23"/>
        <v>2950.198763650764</v>
      </c>
      <c r="N34" s="9">
        <f t="shared" si="23"/>
        <v>3340.6313284864286</v>
      </c>
      <c r="O34" s="9">
        <f t="shared" si="23"/>
        <v>3662.4319639171204</v>
      </c>
      <c r="P34" s="9">
        <f t="shared" si="23"/>
        <v>3918.22572273359</v>
      </c>
      <c r="Q34" s="9">
        <f t="shared" si="23"/>
        <v>4162.415210756864</v>
      </c>
      <c r="R34" s="9">
        <f t="shared" si="23"/>
        <v>4406.778092369389</v>
      </c>
      <c r="S34" s="9">
        <f t="shared" si="23"/>
        <v>4657.751687519179</v>
      </c>
      <c r="T34" s="9">
        <f t="shared" si="23"/>
        <v>4919.0281927733295</v>
      </c>
      <c r="U34" s="9">
        <f t="shared" si="23"/>
        <v>5192.8989333583595</v>
      </c>
      <c r="V34" s="9">
        <f t="shared" si="23"/>
        <v>5454.476764765275</v>
      </c>
      <c r="W34" s="9">
        <f t="shared" si="23"/>
        <v>5728.684425759672</v>
      </c>
      <c r="X34" s="9">
        <f t="shared" si="23"/>
        <v>6016.39566979778</v>
      </c>
      <c r="Y34" s="9">
        <f t="shared" si="23"/>
        <v>6303.917675359908</v>
      </c>
      <c r="Z34" s="9">
        <f t="shared" si="23"/>
        <v>6597.674489173214</v>
      </c>
      <c r="AA34" s="9">
        <f t="shared" si="23"/>
        <v>6901.26273365833</v>
      </c>
      <c r="AB34" s="9">
        <f t="shared" si="23"/>
        <v>7216.835789183516</v>
      </c>
      <c r="AC34" s="9">
        <f t="shared" si="23"/>
        <v>7545.817339248629</v>
      </c>
      <c r="AD34" s="4"/>
      <c r="AE34" s="4"/>
    </row>
    <row r="35" spans="2:31" ht="12.75">
      <c r="B35" s="13"/>
      <c r="E35" s="2"/>
      <c r="G35" s="17"/>
      <c r="H35" s="17"/>
      <c r="I35" s="17"/>
      <c r="J35" s="9"/>
      <c r="K35" s="9"/>
      <c r="L35" s="9"/>
      <c r="M35" s="9"/>
      <c r="N35" s="9"/>
      <c r="O35" s="9"/>
      <c r="P35" s="9"/>
      <c r="Q35" s="9"/>
      <c r="R35" s="9"/>
      <c r="S35" s="9"/>
      <c r="T35" s="9"/>
      <c r="U35" s="9"/>
      <c r="V35" s="9"/>
      <c r="W35" s="9"/>
      <c r="X35" s="9"/>
      <c r="Y35" s="9"/>
      <c r="Z35" s="9"/>
      <c r="AA35" s="9"/>
      <c r="AB35" s="9"/>
      <c r="AC35" s="9"/>
      <c r="AD35" s="4"/>
      <c r="AE35" s="4"/>
    </row>
    <row r="36" spans="2:31" ht="12.75">
      <c r="B36" s="198" t="s">
        <v>425</v>
      </c>
      <c r="E36" s="2"/>
      <c r="G36" s="17"/>
      <c r="H36" s="17"/>
      <c r="I36" s="17"/>
      <c r="J36" s="9"/>
      <c r="K36" s="9"/>
      <c r="L36" s="9"/>
      <c r="M36" s="9"/>
      <c r="N36" s="9"/>
      <c r="O36" s="9"/>
      <c r="P36" s="9"/>
      <c r="Q36" s="9"/>
      <c r="R36" s="9"/>
      <c r="S36" s="9"/>
      <c r="T36" s="9"/>
      <c r="U36" s="9"/>
      <c r="V36" s="9"/>
      <c r="W36" s="9"/>
      <c r="X36" s="9"/>
      <c r="Y36" s="9"/>
      <c r="Z36" s="9"/>
      <c r="AA36" s="9"/>
      <c r="AB36" s="9"/>
      <c r="AC36" s="9"/>
      <c r="AD36" s="4"/>
      <c r="AE36" s="4"/>
    </row>
    <row r="37" spans="2:31" ht="12.75">
      <c r="B37" s="13" t="s">
        <v>427</v>
      </c>
      <c r="E37" s="2"/>
      <c r="G37" s="17"/>
      <c r="H37" s="17"/>
      <c r="I37" s="17"/>
      <c r="J37" s="9">
        <f>J31</f>
        <v>0</v>
      </c>
      <c r="K37" s="9">
        <f>K31</f>
        <v>1316.0761286695395</v>
      </c>
      <c r="L37" s="9">
        <f>L31</f>
        <v>2045.016415269909</v>
      </c>
      <c r="M37" s="9">
        <f>M31</f>
        <v>2484.2085637591053</v>
      </c>
      <c r="N37" s="9">
        <f aca="true" t="shared" si="24" ref="N37:AC37">N31</f>
        <v>2782.5522129182273</v>
      </c>
      <c r="O37" s="9">
        <f t="shared" si="24"/>
        <v>3014.7140554882394</v>
      </c>
      <c r="P37" s="9">
        <f t="shared" si="24"/>
        <v>3162.369933454599</v>
      </c>
      <c r="Q37" s="9">
        <f t="shared" si="24"/>
        <v>3268.386944299836</v>
      </c>
      <c r="R37" s="9">
        <f t="shared" si="24"/>
        <v>3354.2105809607037</v>
      </c>
      <c r="S37" s="9">
        <f t="shared" si="24"/>
        <v>3430.575766408968</v>
      </c>
      <c r="T37" s="9">
        <f t="shared" si="24"/>
        <v>3502.862375460049</v>
      </c>
      <c r="U37" s="9">
        <f t="shared" si="24"/>
        <v>3573.7730002834896</v>
      </c>
      <c r="V37" s="9">
        <f t="shared" si="24"/>
        <v>3644.671837853905</v>
      </c>
      <c r="W37" s="9">
        <f t="shared" si="24"/>
        <v>3716.2541384635124</v>
      </c>
      <c r="X37" s="9">
        <f t="shared" si="24"/>
        <v>3788.8809348585505</v>
      </c>
      <c r="Y37" s="9">
        <f t="shared" si="24"/>
        <v>3862.746411782564</v>
      </c>
      <c r="Z37" s="9">
        <f t="shared" si="24"/>
        <v>3928.9281765776605</v>
      </c>
      <c r="AA37" s="9">
        <f t="shared" si="24"/>
        <v>3991.702725839609</v>
      </c>
      <c r="AB37" s="9">
        <f t="shared" si="24"/>
        <v>4053.2147666245874</v>
      </c>
      <c r="AC37" s="9">
        <f t="shared" si="24"/>
        <v>4114.543207196131</v>
      </c>
      <c r="AD37" s="4"/>
      <c r="AE37" s="4"/>
    </row>
    <row r="38" spans="2:31" ht="12.75">
      <c r="B38" s="170" t="s">
        <v>222</v>
      </c>
      <c r="E38" s="2"/>
      <c r="G38" s="17"/>
      <c r="H38" s="17"/>
      <c r="I38" s="17"/>
      <c r="J38" s="9">
        <f>J15</f>
        <v>1282.4130857550688</v>
      </c>
      <c r="K38" s="9">
        <f aca="true" t="shared" si="25" ref="K38:AC38">K15</f>
        <v>1404.421866733806</v>
      </c>
      <c r="L38" s="9">
        <f t="shared" si="25"/>
        <v>1467.81746979817</v>
      </c>
      <c r="M38" s="9">
        <f t="shared" si="25"/>
        <v>1534.0747503848593</v>
      </c>
      <c r="N38" s="9">
        <f t="shared" si="25"/>
        <v>1603.3228846172317</v>
      </c>
      <c r="O38" s="9">
        <f t="shared" si="25"/>
        <v>1675.6968796288534</v>
      </c>
      <c r="P38" s="9">
        <f t="shared" si="25"/>
        <v>1734.5808679790111</v>
      </c>
      <c r="Q38" s="9">
        <f t="shared" si="25"/>
        <v>1795.5340396797935</v>
      </c>
      <c r="R38" s="9">
        <f>R15</f>
        <v>1858.6291058341415</v>
      </c>
      <c r="S38" s="9">
        <f t="shared" si="25"/>
        <v>1923.941332613153</v>
      </c>
      <c r="T38" s="9">
        <f t="shared" si="25"/>
        <v>1991.548631041179</v>
      </c>
      <c r="U38" s="9">
        <f t="shared" si="25"/>
        <v>2061.531649935966</v>
      </c>
      <c r="V38" s="9">
        <f t="shared" si="25"/>
        <v>2123.6662138650363</v>
      </c>
      <c r="W38" s="9">
        <f t="shared" si="25"/>
        <v>2187.6735135509284</v>
      </c>
      <c r="X38" s="9">
        <f t="shared" si="25"/>
        <v>2253.6099932493535</v>
      </c>
      <c r="Y38" s="9">
        <f t="shared" si="25"/>
        <v>2321.5337984458893</v>
      </c>
      <c r="Z38" s="9">
        <f t="shared" si="25"/>
        <v>2391.5048271310484</v>
      </c>
      <c r="AA38" s="9">
        <f t="shared" si="25"/>
        <v>2463.5847826207782</v>
      </c>
      <c r="AB38" s="9">
        <f t="shared" si="25"/>
        <v>2537.837227968969</v>
      </c>
      <c r="AC38" s="9">
        <f t="shared" si="25"/>
        <v>2614.3276420199536</v>
      </c>
      <c r="AD38" s="4"/>
      <c r="AE38" s="4"/>
    </row>
    <row r="39" spans="2:30" ht="12.75">
      <c r="B39" s="170" t="s">
        <v>428</v>
      </c>
      <c r="E39" s="2"/>
      <c r="G39" s="17"/>
      <c r="H39" s="17"/>
      <c r="I39" s="17"/>
      <c r="J39" s="9">
        <f>J37*J38/1000</f>
        <v>0</v>
      </c>
      <c r="K39" s="9">
        <f aca="true" t="shared" si="26" ref="K39:AC39">K37*K38/1000</f>
        <v>1848.3260933898753</v>
      </c>
      <c r="L39" s="9">
        <f t="shared" si="26"/>
        <v>3001.710820357201</v>
      </c>
      <c r="M39" s="9">
        <f t="shared" si="26"/>
        <v>3810.9616323526793</v>
      </c>
      <c r="N39" s="9">
        <f t="shared" si="26"/>
        <v>4461.3296406141135</v>
      </c>
      <c r="O39" s="9">
        <f t="shared" si="26"/>
        <v>5051.746935754889</v>
      </c>
      <c r="P39" s="9">
        <f t="shared" si="26"/>
        <v>5485.3863840424065</v>
      </c>
      <c r="Q39" s="9">
        <f t="shared" si="26"/>
        <v>5868.500013335381</v>
      </c>
      <c r="R39" s="9">
        <f>R37*R38/1000</f>
        <v>6234.233412870409</v>
      </c>
      <c r="S39" s="9">
        <f t="shared" si="26"/>
        <v>6600.226511655258</v>
      </c>
      <c r="T39" s="9">
        <f t="shared" si="26"/>
        <v>6976.120768573112</v>
      </c>
      <c r="U39" s="9">
        <f t="shared" si="26"/>
        <v>7367.44614977103</v>
      </c>
      <c r="V39" s="9">
        <f t="shared" si="26"/>
        <v>7740.066442675726</v>
      </c>
      <c r="W39" s="9">
        <f t="shared" si="26"/>
        <v>8129.9507483406505</v>
      </c>
      <c r="X39" s="9">
        <f t="shared" si="26"/>
        <v>8538.659938029181</v>
      </c>
      <c r="Y39" s="9">
        <f t="shared" si="26"/>
        <v>8967.496349778805</v>
      </c>
      <c r="Z39" s="9">
        <f t="shared" si="26"/>
        <v>9396.050699736663</v>
      </c>
      <c r="AA39" s="9">
        <f t="shared" si="26"/>
        <v>9833.898092124342</v>
      </c>
      <c r="AB39" s="9">
        <f t="shared" si="26"/>
        <v>10286.399327693434</v>
      </c>
      <c r="AC39" s="9">
        <f t="shared" si="26"/>
        <v>10756.76404085828</v>
      </c>
      <c r="AD39" s="4"/>
    </row>
    <row r="40" spans="2:30" ht="12.75">
      <c r="B40" s="170" t="s">
        <v>426</v>
      </c>
      <c r="E40" s="2"/>
      <c r="G40" s="17"/>
      <c r="H40" s="17"/>
      <c r="I40" s="17"/>
      <c r="J40" s="9">
        <f aca="true" t="shared" si="27" ref="J40:AC40">J39+I40*(1+J$5+$J$141)</f>
        <v>0</v>
      </c>
      <c r="K40" s="9">
        <f t="shared" si="27"/>
        <v>1848.3260933898753</v>
      </c>
      <c r="L40" s="9">
        <f t="shared" si="27"/>
        <v>4985.2264853370825</v>
      </c>
      <c r="M40" s="9">
        <f t="shared" si="27"/>
        <v>9160.815677319042</v>
      </c>
      <c r="N40" s="9">
        <f t="shared" si="27"/>
        <v>14292.18225095098</v>
      </c>
      <c r="O40" s="9">
        <f t="shared" si="27"/>
        <v>20389.28260269792</v>
      </c>
      <c r="P40" s="9">
        <f t="shared" si="27"/>
        <v>27162.081396268917</v>
      </c>
      <c r="Q40" s="9">
        <f t="shared" si="27"/>
        <v>34745.63933192449</v>
      </c>
      <c r="R40" s="9">
        <f t="shared" si="27"/>
        <v>43173.768828564185</v>
      </c>
      <c r="S40" s="9">
        <f t="shared" si="27"/>
        <v>52500.05720512574</v>
      </c>
      <c r="T40" s="9">
        <f t="shared" si="27"/>
        <v>62791.116829757295</v>
      </c>
      <c r="U40" s="9">
        <f t="shared" si="27"/>
        <v>74123.29604983715</v>
      </c>
      <c r="V40" s="9">
        <f t="shared" si="27"/>
        <v>86173.01127854113</v>
      </c>
      <c r="W40" s="9">
        <f t="shared" si="27"/>
        <v>99313.20082137991</v>
      </c>
      <c r="X40" s="9">
        <f t="shared" si="27"/>
        <v>113626.09150959956</v>
      </c>
      <c r="Y40" s="9">
        <f t="shared" si="27"/>
        <v>129199.99331396361</v>
      </c>
      <c r="Z40" s="9">
        <f t="shared" si="27"/>
        <v>146107.9414064715</v>
      </c>
      <c r="AA40" s="9">
        <f t="shared" si="27"/>
        <v>164436.79244683124</v>
      </c>
      <c r="AB40" s="9">
        <f t="shared" si="27"/>
        <v>184283.81388272654</v>
      </c>
      <c r="AC40" s="9">
        <f t="shared" si="27"/>
        <v>205755.13808359668</v>
      </c>
      <c r="AD40" s="4"/>
    </row>
    <row r="41" spans="2:30" ht="12.75">
      <c r="B41" s="13"/>
      <c r="E41" s="2"/>
      <c r="G41" s="17"/>
      <c r="H41" s="17"/>
      <c r="I41" s="17"/>
      <c r="J41" s="9"/>
      <c r="K41" s="9"/>
      <c r="L41" s="9"/>
      <c r="M41" s="9"/>
      <c r="N41" s="9"/>
      <c r="O41" s="9"/>
      <c r="P41" s="9"/>
      <c r="Q41" s="9"/>
      <c r="R41" s="9"/>
      <c r="S41" s="9"/>
      <c r="T41" s="9"/>
      <c r="U41" s="9"/>
      <c r="V41" s="9"/>
      <c r="W41" s="9"/>
      <c r="X41" s="9"/>
      <c r="Y41" s="9"/>
      <c r="Z41" s="9"/>
      <c r="AA41" s="9"/>
      <c r="AB41" s="9"/>
      <c r="AC41" s="9"/>
      <c r="AD41" s="4"/>
    </row>
    <row r="42" spans="2:30" ht="12.75">
      <c r="B42" s="198" t="s">
        <v>290</v>
      </c>
      <c r="E42" s="2"/>
      <c r="G42" s="17"/>
      <c r="H42" s="17"/>
      <c r="I42" s="17"/>
      <c r="J42" s="9"/>
      <c r="K42" s="9"/>
      <c r="L42" s="9"/>
      <c r="M42" s="9"/>
      <c r="N42" s="9"/>
      <c r="O42" s="9"/>
      <c r="P42" s="9"/>
      <c r="Q42" s="9"/>
      <c r="R42" s="9"/>
      <c r="S42" s="9"/>
      <c r="T42" s="9"/>
      <c r="U42" s="9"/>
      <c r="V42" s="9"/>
      <c r="W42" s="9"/>
      <c r="X42" s="9"/>
      <c r="Y42" s="9"/>
      <c r="Z42" s="9"/>
      <c r="AA42" s="9"/>
      <c r="AB42" s="9"/>
      <c r="AC42" s="9"/>
      <c r="AD42" s="4"/>
    </row>
    <row r="43" spans="2:30" ht="12.75">
      <c r="B43" t="s">
        <v>145</v>
      </c>
      <c r="G43" s="17"/>
      <c r="H43" s="17"/>
      <c r="I43" s="17"/>
      <c r="J43" s="9">
        <f aca="true" t="shared" si="28" ref="J43:AC43">(J67+J56)-(J12+J21)</f>
        <v>83.11362579331399</v>
      </c>
      <c r="K43" s="9">
        <f t="shared" si="28"/>
        <v>175.9765791668069</v>
      </c>
      <c r="L43" s="9">
        <f t="shared" si="28"/>
        <v>279.44846229678114</v>
      </c>
      <c r="M43" s="9">
        <f t="shared" si="28"/>
        <v>394.4563955261747</v>
      </c>
      <c r="N43" s="9">
        <f t="shared" si="28"/>
        <v>521.9999999999982</v>
      </c>
      <c r="O43" s="9">
        <f t="shared" si="28"/>
        <v>477.8503696374173</v>
      </c>
      <c r="P43" s="9">
        <f t="shared" si="28"/>
        <v>432.0351225043687</v>
      </c>
      <c r="Q43" s="9">
        <f t="shared" si="28"/>
        <v>384.50987229144994</v>
      </c>
      <c r="R43" s="9">
        <f t="shared" si="28"/>
        <v>335.22919121423365</v>
      </c>
      <c r="S43" s="9">
        <f t="shared" si="28"/>
        <v>284.1465871092969</v>
      </c>
      <c r="T43" s="9">
        <f t="shared" si="28"/>
        <v>231.21448004547165</v>
      </c>
      <c r="U43" s="9">
        <f t="shared" si="28"/>
        <v>176.38417844023206</v>
      </c>
      <c r="V43" s="9">
        <f t="shared" si="28"/>
        <v>119.60585467105557</v>
      </c>
      <c r="W43" s="9">
        <f t="shared" si="28"/>
        <v>60.8285201713079</v>
      </c>
      <c r="X43" s="9">
        <f t="shared" si="28"/>
        <v>0</v>
      </c>
      <c r="Y43" s="9">
        <f t="shared" si="28"/>
        <v>0</v>
      </c>
      <c r="Z43" s="9">
        <f t="shared" si="28"/>
        <v>0</v>
      </c>
      <c r="AA43" s="9">
        <f t="shared" si="28"/>
        <v>0</v>
      </c>
      <c r="AB43" s="9">
        <f t="shared" si="28"/>
        <v>0</v>
      </c>
      <c r="AC43" s="9">
        <f t="shared" si="28"/>
        <v>0</v>
      </c>
      <c r="AD43" s="4"/>
    </row>
    <row r="44" spans="2:30" ht="12.75">
      <c r="B44" t="s">
        <v>25</v>
      </c>
      <c r="E44" s="8"/>
      <c r="G44" s="17"/>
      <c r="H44" s="17"/>
      <c r="I44" s="17">
        <f>J133</f>
        <v>840</v>
      </c>
      <c r="J44" s="167">
        <f>I44*(1+J$5)</f>
        <v>886.3176</v>
      </c>
      <c r="K44" s="167">
        <f>J44*(1+K$5)</f>
        <v>970.6418564639999</v>
      </c>
      <c r="L44" s="167">
        <f aca="true" t="shared" si="29" ref="L44:AB44">K44*(1+L$5)</f>
        <v>1014.4566298647849</v>
      </c>
      <c r="M44" s="167">
        <f t="shared" si="29"/>
        <v>1060.2492021368812</v>
      </c>
      <c r="N44" s="167">
        <f t="shared" si="29"/>
        <v>1108.10885112134</v>
      </c>
      <c r="O44" s="167">
        <f t="shared" si="29"/>
        <v>1158.1288846609573</v>
      </c>
      <c r="P44" s="167">
        <f t="shared" si="29"/>
        <v>1198.8255336679433</v>
      </c>
      <c r="Q44" s="167">
        <f t="shared" si="29"/>
        <v>1240.9522629210348</v>
      </c>
      <c r="R44" s="167">
        <f t="shared" si="29"/>
        <v>1284.5593254400799</v>
      </c>
      <c r="S44" s="167">
        <f t="shared" si="29"/>
        <v>1329.6987401360443</v>
      </c>
      <c r="T44" s="167">
        <f t="shared" si="29"/>
        <v>1376.4243538644248</v>
      </c>
      <c r="U44" s="167">
        <f t="shared" si="29"/>
        <v>1424.7919056592207</v>
      </c>
      <c r="V44" s="167">
        <f t="shared" si="29"/>
        <v>1467.7351336957897</v>
      </c>
      <c r="W44" s="167">
        <f t="shared" si="29"/>
        <v>1511.972670625381</v>
      </c>
      <c r="X44" s="167">
        <f t="shared" si="29"/>
        <v>1557.54352691803</v>
      </c>
      <c r="Y44" s="167">
        <f t="shared" si="29"/>
        <v>1604.4878888193396</v>
      </c>
      <c r="Z44" s="167">
        <f t="shared" si="29"/>
        <v>1652.8471537883545</v>
      </c>
      <c r="AA44" s="167">
        <f t="shared" si="29"/>
        <v>1702.6639670035356</v>
      </c>
      <c r="AB44" s="167">
        <f t="shared" si="29"/>
        <v>1753.9822589690223</v>
      </c>
      <c r="AC44" s="167">
        <f>AB44*(1+AC$5)</f>
        <v>1806.8472842543488</v>
      </c>
      <c r="AD44" s="4"/>
    </row>
    <row r="45" spans="2:30" ht="12.75">
      <c r="B45" t="s">
        <v>26</v>
      </c>
      <c r="G45" s="17"/>
      <c r="H45" s="17"/>
      <c r="I45" s="17"/>
      <c r="J45" s="9">
        <f aca="true" t="shared" si="30" ref="J45:AC45">J43*J44/1000</f>
        <v>73.66506934042815</v>
      </c>
      <c r="K45" s="9">
        <f t="shared" si="30"/>
        <v>170.81023349665352</v>
      </c>
      <c r="L45" s="9">
        <f t="shared" si="30"/>
        <v>283.48834528248904</v>
      </c>
      <c r="M45" s="9">
        <f t="shared" si="30"/>
        <v>418.22207863441673</v>
      </c>
      <c r="N45" s="9">
        <f t="shared" si="30"/>
        <v>578.4328202853374</v>
      </c>
      <c r="O45" s="9">
        <f t="shared" si="30"/>
        <v>553.4123156230083</v>
      </c>
      <c r="P45" s="9">
        <f t="shared" si="30"/>
        <v>517.9347362995951</v>
      </c>
      <c r="Q45" s="9">
        <f t="shared" si="30"/>
        <v>477.1583961355529</v>
      </c>
      <c r="R45" s="9">
        <f t="shared" si="30"/>
        <v>430.6217837339795</v>
      </c>
      <c r="S45" s="9">
        <f t="shared" si="30"/>
        <v>377.82935889318884</v>
      </c>
      <c r="T45" s="9">
        <f t="shared" si="30"/>
        <v>318.24924130068723</v>
      </c>
      <c r="U45" s="9">
        <f t="shared" si="30"/>
        <v>251.31074972799425</v>
      </c>
      <c r="V45" s="9">
        <f t="shared" si="30"/>
        <v>175.54971509642093</v>
      </c>
      <c r="W45" s="9">
        <f t="shared" si="30"/>
        <v>91.97106009360226</v>
      </c>
      <c r="X45" s="9">
        <f t="shared" si="30"/>
        <v>0</v>
      </c>
      <c r="Y45" s="9">
        <f t="shared" si="30"/>
        <v>0</v>
      </c>
      <c r="Z45" s="9">
        <f t="shared" si="30"/>
        <v>0</v>
      </c>
      <c r="AA45" s="9">
        <f t="shared" si="30"/>
        <v>0</v>
      </c>
      <c r="AB45" s="9">
        <f t="shared" si="30"/>
        <v>0</v>
      </c>
      <c r="AC45" s="9">
        <f t="shared" si="30"/>
        <v>0</v>
      </c>
      <c r="AD45" s="4"/>
    </row>
    <row r="46" spans="2:30" ht="12.75">
      <c r="B46" t="s">
        <v>429</v>
      </c>
      <c r="E46" s="2"/>
      <c r="G46" s="17"/>
      <c r="H46" s="17"/>
      <c r="I46" s="17"/>
      <c r="J46" s="9">
        <f aca="true" t="shared" si="31" ref="J46:AC46">J45+I46*(1+J$5+$J$142)</f>
        <v>73.66506934042815</v>
      </c>
      <c r="K46" s="9">
        <f t="shared" si="31"/>
        <v>253.5465390853319</v>
      </c>
      <c r="L46" s="9">
        <f t="shared" si="31"/>
        <v>555.5796899189941</v>
      </c>
      <c r="M46" s="9">
        <f t="shared" si="31"/>
        <v>1014.4377691665418</v>
      </c>
      <c r="N46" s="9">
        <f t="shared" si="31"/>
        <v>1667.0682150271505</v>
      </c>
      <c r="O46" s="9">
        <f t="shared" si="31"/>
        <v>2342.4126067090438</v>
      </c>
      <c r="P46" s="9">
        <f t="shared" si="31"/>
        <v>3008.2510783619564</v>
      </c>
      <c r="Q46" s="9">
        <f t="shared" si="31"/>
        <v>3675.3553320701776</v>
      </c>
      <c r="R46" s="9">
        <f t="shared" si="31"/>
        <v>4338.0450191303935</v>
      </c>
      <c r="S46" s="9">
        <f t="shared" si="31"/>
        <v>4989.785584197319</v>
      </c>
      <c r="T46" s="9">
        <f t="shared" si="31"/>
        <v>5623.097989178541</v>
      </c>
      <c r="U46" s="9">
        <f t="shared" si="31"/>
        <v>6229.460276144329</v>
      </c>
      <c r="V46" s="9">
        <f t="shared" si="31"/>
        <v>6767.200926444793</v>
      </c>
      <c r="W46" s="9">
        <f t="shared" si="31"/>
        <v>7252.628036278188</v>
      </c>
      <c r="X46" s="9">
        <f t="shared" si="31"/>
        <v>7674.307606369694</v>
      </c>
      <c r="Y46" s="9">
        <f t="shared" si="31"/>
        <v>8120.504311345703</v>
      </c>
      <c r="Z46" s="9">
        <f t="shared" si="31"/>
        <v>8592.64361723677</v>
      </c>
      <c r="AA46" s="9">
        <f t="shared" si="31"/>
        <v>9092.233868982992</v>
      </c>
      <c r="AB46" s="9">
        <f t="shared" si="31"/>
        <v>9620.871109148375</v>
      </c>
      <c r="AC46" s="9">
        <f t="shared" si="31"/>
        <v>10180.244176803084</v>
      </c>
      <c r="AD46" s="4"/>
    </row>
    <row r="47" spans="5:30" ht="12.75">
      <c r="E47" s="2"/>
      <c r="G47" s="17"/>
      <c r="H47" s="17"/>
      <c r="I47" s="17"/>
      <c r="J47" s="9"/>
      <c r="K47" s="9"/>
      <c r="L47" s="9"/>
      <c r="M47" s="9"/>
      <c r="N47" s="9"/>
      <c r="O47" s="9"/>
      <c r="P47" s="9"/>
      <c r="Q47" s="9"/>
      <c r="R47" s="9"/>
      <c r="S47" s="9"/>
      <c r="T47" s="9"/>
      <c r="U47" s="9"/>
      <c r="V47" s="9"/>
      <c r="W47" s="9"/>
      <c r="X47" s="9"/>
      <c r="Y47" s="9"/>
      <c r="Z47" s="9"/>
      <c r="AA47" s="9"/>
      <c r="AB47" s="9"/>
      <c r="AC47" s="9"/>
      <c r="AD47" s="4"/>
    </row>
    <row r="48" spans="2:29" ht="12.75">
      <c r="B48" t="s">
        <v>27</v>
      </c>
      <c r="G48" s="17"/>
      <c r="H48" s="17"/>
      <c r="I48" s="17"/>
      <c r="J48" s="9">
        <f aca="true" t="shared" si="32" ref="J48:AC48">J17+J26+J34+J40+J46</f>
        <v>9622.685204294567</v>
      </c>
      <c r="K48" s="9">
        <f t="shared" si="32"/>
        <v>23176.294022680377</v>
      </c>
      <c r="L48" s="9">
        <f t="shared" si="32"/>
        <v>39202.69804200772</v>
      </c>
      <c r="M48" s="9">
        <f t="shared" si="32"/>
        <v>58282.092415624335</v>
      </c>
      <c r="N48" s="9">
        <f t="shared" si="32"/>
        <v>80687.14337938475</v>
      </c>
      <c r="O48" s="9">
        <f t="shared" si="32"/>
        <v>106045.49285138729</v>
      </c>
      <c r="P48" s="9">
        <f t="shared" si="32"/>
        <v>133304.71709700298</v>
      </c>
      <c r="Q48" s="9">
        <f t="shared" si="32"/>
        <v>163403.1326368908</v>
      </c>
      <c r="R48" s="9">
        <f t="shared" si="32"/>
        <v>196553.78772105215</v>
      </c>
      <c r="S48" s="9">
        <f t="shared" si="32"/>
        <v>232996.6977112833</v>
      </c>
      <c r="T48" s="9">
        <f t="shared" si="32"/>
        <v>272995.58110542624</v>
      </c>
      <c r="U48" s="9">
        <f t="shared" si="32"/>
        <v>316836.86664876295</v>
      </c>
      <c r="V48" s="9">
        <f t="shared" si="32"/>
        <v>363109.8505571165</v>
      </c>
      <c r="W48" s="9">
        <f t="shared" si="32"/>
        <v>413379.27171569766</v>
      </c>
      <c r="X48" s="9">
        <f t="shared" si="32"/>
        <v>467938.3536372738</v>
      </c>
      <c r="Y48" s="9">
        <f t="shared" si="32"/>
        <v>527082.78167198</v>
      </c>
      <c r="Z48" s="9">
        <f t="shared" si="32"/>
        <v>591130.8140260886</v>
      </c>
      <c r="AA48" s="9">
        <f t="shared" si="32"/>
        <v>660427.6552700523</v>
      </c>
      <c r="AB48" s="9">
        <f t="shared" si="32"/>
        <v>735344.4513062689</v>
      </c>
      <c r="AC48" s="9">
        <f t="shared" si="32"/>
        <v>816278.542195864</v>
      </c>
    </row>
    <row r="49" spans="10:29" ht="12.75">
      <c r="J49" s="4"/>
      <c r="K49" s="4"/>
      <c r="L49" s="4"/>
      <c r="M49" s="4"/>
      <c r="N49" s="4"/>
      <c r="O49" s="4"/>
      <c r="P49" s="4"/>
      <c r="Q49" s="4"/>
      <c r="R49" s="4"/>
      <c r="S49" s="4"/>
      <c r="T49" s="4"/>
      <c r="U49" s="4"/>
      <c r="V49" s="4"/>
      <c r="W49" s="4"/>
      <c r="X49" s="4"/>
      <c r="Y49" s="4"/>
      <c r="Z49" s="4"/>
      <c r="AA49" s="4"/>
      <c r="AB49" s="4"/>
      <c r="AC49" s="4"/>
    </row>
    <row r="50" ht="12.75">
      <c r="A50" s="3" t="s">
        <v>24</v>
      </c>
    </row>
    <row r="51" spans="2:29" ht="12.75">
      <c r="B51" t="s">
        <v>229</v>
      </c>
      <c r="J51">
        <f aca="true" t="shared" si="33" ref="J51:AC51">IF(J2&lt;effective_year,0,1)</f>
        <v>0</v>
      </c>
      <c r="K51">
        <f t="shared" si="33"/>
        <v>0</v>
      </c>
      <c r="L51">
        <f t="shared" si="33"/>
        <v>1</v>
      </c>
      <c r="M51">
        <f t="shared" si="33"/>
        <v>1</v>
      </c>
      <c r="N51">
        <f t="shared" si="33"/>
        <v>1</v>
      </c>
      <c r="O51">
        <f t="shared" si="33"/>
        <v>1</v>
      </c>
      <c r="P51">
        <f t="shared" si="33"/>
        <v>1</v>
      </c>
      <c r="Q51">
        <f t="shared" si="33"/>
        <v>1</v>
      </c>
      <c r="R51">
        <f t="shared" si="33"/>
        <v>1</v>
      </c>
      <c r="S51">
        <f t="shared" si="33"/>
        <v>1</v>
      </c>
      <c r="T51">
        <f t="shared" si="33"/>
        <v>1</v>
      </c>
      <c r="U51">
        <f t="shared" si="33"/>
        <v>1</v>
      </c>
      <c r="V51">
        <f t="shared" si="33"/>
        <v>1</v>
      </c>
      <c r="W51">
        <f t="shared" si="33"/>
        <v>1</v>
      </c>
      <c r="X51">
        <f t="shared" si="33"/>
        <v>1</v>
      </c>
      <c r="Y51">
        <f t="shared" si="33"/>
        <v>1</v>
      </c>
      <c r="Z51">
        <f t="shared" si="33"/>
        <v>1</v>
      </c>
      <c r="AA51">
        <f t="shared" si="33"/>
        <v>1</v>
      </c>
      <c r="AB51">
        <f t="shared" si="33"/>
        <v>1</v>
      </c>
      <c r="AC51">
        <f t="shared" si="33"/>
        <v>1</v>
      </c>
    </row>
    <row r="52" spans="2:29" ht="12.75">
      <c r="B52" t="s">
        <v>430</v>
      </c>
      <c r="J52" s="1">
        <f>IF(AND(J51=1,I52&lt;1),I52+1/$J$104,I52)</f>
        <v>0</v>
      </c>
      <c r="K52" s="1">
        <f>IF(AND(K51=1,J52&lt;1),J52+1/$J$104,J52)</f>
        <v>0</v>
      </c>
      <c r="L52" s="1">
        <f>IF(AND(L51=1,K52&lt;1),K52+1/$J$104,K52)</f>
        <v>0.3333333333333333</v>
      </c>
      <c r="M52" s="1">
        <f>IF(AND(M51=1,L52&lt;1),L52+1/$J$104,L52)</f>
        <v>0.6666666666666666</v>
      </c>
      <c r="N52" s="1">
        <f>IF(AND(N51=1,M52&lt;1),M52+1/$J$104,M52)</f>
        <v>1</v>
      </c>
      <c r="O52" s="1">
        <f aca="true" t="shared" si="34" ref="O52:AC52">IF(AND(O51=1,N52&lt;1),N52+1/$J$104,N52)</f>
        <v>1</v>
      </c>
      <c r="P52" s="1">
        <f t="shared" si="34"/>
        <v>1</v>
      </c>
      <c r="Q52" s="1">
        <f t="shared" si="34"/>
        <v>1</v>
      </c>
      <c r="R52" s="1">
        <f t="shared" si="34"/>
        <v>1</v>
      </c>
      <c r="S52" s="1">
        <f t="shared" si="34"/>
        <v>1</v>
      </c>
      <c r="T52" s="1">
        <f t="shared" si="34"/>
        <v>1</v>
      </c>
      <c r="U52" s="1">
        <f t="shared" si="34"/>
        <v>1</v>
      </c>
      <c r="V52" s="1">
        <f t="shared" si="34"/>
        <v>1</v>
      </c>
      <c r="W52" s="1">
        <f t="shared" si="34"/>
        <v>1</v>
      </c>
      <c r="X52" s="1">
        <f t="shared" si="34"/>
        <v>1</v>
      </c>
      <c r="Y52" s="1">
        <f t="shared" si="34"/>
        <v>1</v>
      </c>
      <c r="Z52" s="1">
        <f t="shared" si="34"/>
        <v>1</v>
      </c>
      <c r="AA52" s="1">
        <f t="shared" si="34"/>
        <v>1</v>
      </c>
      <c r="AB52" s="1">
        <f t="shared" si="34"/>
        <v>1</v>
      </c>
      <c r="AC52" s="1">
        <f t="shared" si="34"/>
        <v>1</v>
      </c>
    </row>
    <row r="53" ht="12.75">
      <c r="N53" s="1"/>
    </row>
    <row r="54" spans="2:29" ht="12.75">
      <c r="B54" s="20" t="s">
        <v>463</v>
      </c>
      <c r="I54" s="1"/>
      <c r="J54" s="1"/>
      <c r="K54" s="1"/>
      <c r="L54" s="1"/>
      <c r="M54" s="1"/>
      <c r="N54" s="1"/>
      <c r="O54" s="1"/>
      <c r="P54" s="1"/>
      <c r="Q54" s="1"/>
      <c r="R54" s="1"/>
      <c r="S54" s="1"/>
      <c r="T54" s="1"/>
      <c r="U54" s="1"/>
      <c r="V54" s="1"/>
      <c r="W54" s="1"/>
      <c r="X54" s="1"/>
      <c r="Y54" s="1"/>
      <c r="Z54" s="1"/>
      <c r="AA54" s="1"/>
      <c r="AB54" s="1"/>
      <c r="AC54" s="1"/>
    </row>
    <row r="55" spans="2:29" ht="12.75">
      <c r="B55" s="168" t="s">
        <v>475</v>
      </c>
      <c r="I55" s="1"/>
      <c r="J55" s="1">
        <f aca="true" t="shared" si="35" ref="J55:AC55">IF(J$2&lt;=$J$115,$J$123,pop_gr)</f>
        <v>0.06342724238285391</v>
      </c>
      <c r="K55" s="1">
        <f t="shared" si="35"/>
        <v>0.06342724238285391</v>
      </c>
      <c r="L55" s="1">
        <f t="shared" si="35"/>
        <v>0.06342724238285391</v>
      </c>
      <c r="M55" s="1">
        <f t="shared" si="35"/>
        <v>0.06342724238285391</v>
      </c>
      <c r="N55" s="1">
        <f t="shared" si="35"/>
        <v>0.06342724238285391</v>
      </c>
      <c r="O55" s="1">
        <f t="shared" si="35"/>
        <v>0.01486</v>
      </c>
      <c r="P55" s="1">
        <f t="shared" si="35"/>
        <v>0.01486</v>
      </c>
      <c r="Q55" s="1">
        <f t="shared" si="35"/>
        <v>0.01486</v>
      </c>
      <c r="R55" s="1">
        <f t="shared" si="35"/>
        <v>0.01486</v>
      </c>
      <c r="S55" s="1">
        <f t="shared" si="35"/>
        <v>0.01486</v>
      </c>
      <c r="T55" s="1">
        <f t="shared" si="35"/>
        <v>0.01486</v>
      </c>
      <c r="U55" s="1">
        <f t="shared" si="35"/>
        <v>0.01486</v>
      </c>
      <c r="V55" s="1">
        <f t="shared" si="35"/>
        <v>0.01486</v>
      </c>
      <c r="W55" s="1">
        <f t="shared" si="35"/>
        <v>0.01486</v>
      </c>
      <c r="X55" s="1">
        <f t="shared" si="35"/>
        <v>0.01486</v>
      </c>
      <c r="Y55" s="1">
        <f t="shared" si="35"/>
        <v>0.01486</v>
      </c>
      <c r="Z55" s="1">
        <f t="shared" si="35"/>
        <v>0.01486</v>
      </c>
      <c r="AA55" s="1">
        <f t="shared" si="35"/>
        <v>0.01486</v>
      </c>
      <c r="AB55" s="1">
        <f t="shared" si="35"/>
        <v>0.01486</v>
      </c>
      <c r="AC55" s="1">
        <f t="shared" si="35"/>
        <v>0.01486</v>
      </c>
    </row>
    <row r="56" spans="2:30" ht="12.75">
      <c r="B56" t="s">
        <v>460</v>
      </c>
      <c r="E56" s="2"/>
      <c r="I56" s="9">
        <f>I12</f>
        <v>2564.4658471676594</v>
      </c>
      <c r="J56" s="167">
        <f>I56*(1+J55)</f>
        <v>2727.1228440385134</v>
      </c>
      <c r="K56" s="167">
        <f aca="true" t="shared" si="36" ref="K56:AC56">J56*(1+K55)</f>
        <v>2900.0967256751624</v>
      </c>
      <c r="L56" s="167">
        <f t="shared" si="36"/>
        <v>3084.041863628282</v>
      </c>
      <c r="M56" s="167">
        <f t="shared" si="36"/>
        <v>3279.6541344315015</v>
      </c>
      <c r="N56" s="167">
        <f t="shared" si="36"/>
        <v>3487.6735521480173</v>
      </c>
      <c r="O56" s="167">
        <f t="shared" si="36"/>
        <v>3539.500381132937</v>
      </c>
      <c r="P56" s="167">
        <f t="shared" si="36"/>
        <v>3592.097356796573</v>
      </c>
      <c r="Q56" s="167">
        <f t="shared" si="36"/>
        <v>3645.47592351857</v>
      </c>
      <c r="R56" s="167">
        <f t="shared" si="36"/>
        <v>3699.6476957420564</v>
      </c>
      <c r="S56" s="167">
        <f t="shared" si="36"/>
        <v>3754.6244605007837</v>
      </c>
      <c r="T56" s="167">
        <f t="shared" si="36"/>
        <v>3810.4181799838257</v>
      </c>
      <c r="U56" s="167">
        <f t="shared" si="36"/>
        <v>3867.0409941383855</v>
      </c>
      <c r="V56" s="167">
        <f t="shared" si="36"/>
        <v>3924.5052233112824</v>
      </c>
      <c r="W56" s="167">
        <f t="shared" si="36"/>
        <v>3982.8233709296883</v>
      </c>
      <c r="X56" s="167">
        <f t="shared" si="36"/>
        <v>4042.0081262217036</v>
      </c>
      <c r="Y56" s="167">
        <f t="shared" si="36"/>
        <v>4102.072366977359</v>
      </c>
      <c r="Z56" s="167">
        <f t="shared" si="36"/>
        <v>4163.029162350643</v>
      </c>
      <c r="AA56" s="167">
        <f t="shared" si="36"/>
        <v>4224.891775703174</v>
      </c>
      <c r="AB56" s="167">
        <f t="shared" si="36"/>
        <v>4287.673667490124</v>
      </c>
      <c r="AC56" s="167">
        <f t="shared" si="36"/>
        <v>4351.388498189028</v>
      </c>
      <c r="AD56" s="7"/>
    </row>
    <row r="57" spans="2:31" ht="12.75">
      <c r="B57" t="s">
        <v>461</v>
      </c>
      <c r="E57" s="2"/>
      <c r="J57" s="197">
        <f aca="true" t="shared" si="37" ref="J57:AC57">IF(J$51=0,J13,J13+$J$149*J52)</f>
        <v>0.7129199029126214</v>
      </c>
      <c r="K57" s="197">
        <f t="shared" si="37"/>
        <v>0.7129199029126214</v>
      </c>
      <c r="L57" s="197">
        <f t="shared" si="37"/>
        <v>0.7295865695792881</v>
      </c>
      <c r="M57" s="197">
        <f t="shared" si="37"/>
        <v>0.7462532362459547</v>
      </c>
      <c r="N57" s="197">
        <f t="shared" si="37"/>
        <v>0.7629199029126215</v>
      </c>
      <c r="O57" s="197">
        <f t="shared" si="37"/>
        <v>0.7629199029126215</v>
      </c>
      <c r="P57" s="197">
        <f t="shared" si="37"/>
        <v>0.7629199029126215</v>
      </c>
      <c r="Q57" s="197">
        <f t="shared" si="37"/>
        <v>0.7629199029126215</v>
      </c>
      <c r="R57" s="197">
        <f t="shared" si="37"/>
        <v>0.7629199029126215</v>
      </c>
      <c r="S57" s="197">
        <f t="shared" si="37"/>
        <v>0.7629199029126215</v>
      </c>
      <c r="T57" s="197">
        <f t="shared" si="37"/>
        <v>0.7629199029126215</v>
      </c>
      <c r="U57" s="197">
        <f t="shared" si="37"/>
        <v>0.7629199029126215</v>
      </c>
      <c r="V57" s="197">
        <f t="shared" si="37"/>
        <v>0.7629199029126215</v>
      </c>
      <c r="W57" s="197">
        <f t="shared" si="37"/>
        <v>0.7629199029126215</v>
      </c>
      <c r="X57" s="197">
        <f t="shared" si="37"/>
        <v>0.7629199029126215</v>
      </c>
      <c r="Y57" s="197">
        <f t="shared" si="37"/>
        <v>0.7629199029126215</v>
      </c>
      <c r="Z57" s="197">
        <f t="shared" si="37"/>
        <v>0.7629199029126215</v>
      </c>
      <c r="AA57" s="197">
        <f t="shared" si="37"/>
        <v>0.7629199029126215</v>
      </c>
      <c r="AB57" s="197">
        <f t="shared" si="37"/>
        <v>0.7629199029126215</v>
      </c>
      <c r="AC57" s="197">
        <f t="shared" si="37"/>
        <v>0.7629199029126215</v>
      </c>
      <c r="AD57" s="7"/>
      <c r="AE57" s="7"/>
    </row>
    <row r="58" spans="2:31" ht="12.75">
      <c r="B58" t="s">
        <v>462</v>
      </c>
      <c r="E58" s="2"/>
      <c r="J58" s="107">
        <f>J56*J57</f>
        <v>1944.220153202729</v>
      </c>
      <c r="K58" s="107">
        <f aca="true" t="shared" si="38" ref="K58:AC58">K56*K57</f>
        <v>2067.536676105548</v>
      </c>
      <c r="L58" s="107">
        <f t="shared" si="38"/>
        <v>2250.075523723473</v>
      </c>
      <c r="M58" s="107">
        <f t="shared" si="38"/>
        <v>2447.4525115869333</v>
      </c>
      <c r="N58" s="107">
        <f t="shared" si="38"/>
        <v>2660.815567795683</v>
      </c>
      <c r="O58" s="107">
        <f t="shared" si="38"/>
        <v>2700.355287133127</v>
      </c>
      <c r="P58" s="107">
        <f t="shared" si="38"/>
        <v>2740.4825666999254</v>
      </c>
      <c r="Q58" s="107">
        <f t="shared" si="38"/>
        <v>2781.2061376410866</v>
      </c>
      <c r="R58" s="107">
        <f t="shared" si="38"/>
        <v>2822.5348608464333</v>
      </c>
      <c r="S58" s="107">
        <f t="shared" si="38"/>
        <v>2864.4777288786117</v>
      </c>
      <c r="T58" s="107">
        <f t="shared" si="38"/>
        <v>2907.043867929748</v>
      </c>
      <c r="U58" s="107">
        <f t="shared" si="38"/>
        <v>2950.242539807184</v>
      </c>
      <c r="V58" s="107">
        <f t="shared" si="38"/>
        <v>2994.083143948719</v>
      </c>
      <c r="W58" s="107">
        <f t="shared" si="38"/>
        <v>3038.5752194677975</v>
      </c>
      <c r="X58" s="107">
        <f t="shared" si="38"/>
        <v>3083.728447229089</v>
      </c>
      <c r="Y58" s="107">
        <f t="shared" si="38"/>
        <v>3129.552651954914</v>
      </c>
      <c r="Z58" s="107">
        <f t="shared" si="38"/>
        <v>3176.0578043629644</v>
      </c>
      <c r="AA58" s="107">
        <f t="shared" si="38"/>
        <v>3223.2540233357986</v>
      </c>
      <c r="AB58" s="107">
        <f t="shared" si="38"/>
        <v>3271.151578122569</v>
      </c>
      <c r="AC58" s="107">
        <f t="shared" si="38"/>
        <v>3319.760890573471</v>
      </c>
      <c r="AD58" s="7"/>
      <c r="AE58" s="7"/>
    </row>
    <row r="59" spans="2:31" ht="12.75">
      <c r="B59" t="s">
        <v>222</v>
      </c>
      <c r="E59" s="2"/>
      <c r="F59" s="8"/>
      <c r="G59" s="8"/>
      <c r="H59" s="8"/>
      <c r="I59" s="7"/>
      <c r="J59" s="107">
        <f aca="true" t="shared" si="39" ref="J59:AC59">IF(J$51=0,J15,J15*(1+$J$137*J52))</f>
        <v>1282.4130857550688</v>
      </c>
      <c r="K59" s="107">
        <f t="shared" si="39"/>
        <v>1404.421866733806</v>
      </c>
      <c r="L59" s="107">
        <f t="shared" si="39"/>
        <v>1513.319811361913</v>
      </c>
      <c r="M59" s="107">
        <f t="shared" si="39"/>
        <v>1629.1873849087206</v>
      </c>
      <c r="N59" s="107">
        <f t="shared" si="39"/>
        <v>1752.431912886634</v>
      </c>
      <c r="O59" s="107">
        <f t="shared" si="39"/>
        <v>1831.5366894343367</v>
      </c>
      <c r="P59" s="107">
        <f t="shared" si="39"/>
        <v>1895.8968887010592</v>
      </c>
      <c r="Q59" s="107">
        <f t="shared" si="39"/>
        <v>1962.5187053700142</v>
      </c>
      <c r="R59" s="107">
        <f t="shared" si="39"/>
        <v>2031.4816126767166</v>
      </c>
      <c r="S59" s="107">
        <f t="shared" si="39"/>
        <v>2102.8678765461764</v>
      </c>
      <c r="T59" s="107">
        <f t="shared" si="39"/>
        <v>2176.762653728009</v>
      </c>
      <c r="U59" s="107">
        <f t="shared" si="39"/>
        <v>2253.254093380011</v>
      </c>
      <c r="V59" s="107">
        <f t="shared" si="39"/>
        <v>2321.1671717544846</v>
      </c>
      <c r="W59" s="107">
        <f t="shared" si="39"/>
        <v>2391.1271503111648</v>
      </c>
      <c r="X59" s="107">
        <f t="shared" si="39"/>
        <v>2463.195722621543</v>
      </c>
      <c r="Y59" s="107">
        <f t="shared" si="39"/>
        <v>2537.4364417013567</v>
      </c>
      <c r="Z59" s="107">
        <f t="shared" si="39"/>
        <v>2613.914776054236</v>
      </c>
      <c r="AA59" s="107">
        <f t="shared" si="39"/>
        <v>2692.6981674045105</v>
      </c>
      <c r="AB59" s="107">
        <f t="shared" si="39"/>
        <v>2773.856090170083</v>
      </c>
      <c r="AC59" s="107">
        <f t="shared" si="39"/>
        <v>2857.4601127278092</v>
      </c>
      <c r="AD59" s="4"/>
      <c r="AE59" s="4"/>
    </row>
    <row r="60" spans="2:31" ht="12.75">
      <c r="B60" t="s">
        <v>279</v>
      </c>
      <c r="J60" s="9">
        <f aca="true" t="shared" si="40" ref="J60:AC60">J58*J59/1000</f>
        <v>2493.2933660559042</v>
      </c>
      <c r="K60" s="9">
        <f t="shared" si="40"/>
        <v>2903.693718196762</v>
      </c>
      <c r="L60" s="9">
        <f t="shared" si="40"/>
        <v>3405.0838671112638</v>
      </c>
      <c r="M60" s="9">
        <f t="shared" si="40"/>
        <v>3987.358757040596</v>
      </c>
      <c r="N60" s="9">
        <f t="shared" si="40"/>
        <v>4662.898115310724</v>
      </c>
      <c r="O60" s="9">
        <f t="shared" si="40"/>
        <v>4945.799782892315</v>
      </c>
      <c r="P60" s="9">
        <f t="shared" si="40"/>
        <v>5195.672371745882</v>
      </c>
      <c r="Q60" s="9">
        <f t="shared" si="40"/>
        <v>5458.169068610523</v>
      </c>
      <c r="R60" s="9">
        <f t="shared" si="40"/>
        <v>5733.927670948564</v>
      </c>
      <c r="S60" s="9">
        <f t="shared" si="40"/>
        <v>6023.61819914078</v>
      </c>
      <c r="T60" s="9">
        <f t="shared" si="40"/>
        <v>6327.944524458494</v>
      </c>
      <c r="U60" s="9">
        <f t="shared" si="40"/>
        <v>6647.646079284377</v>
      </c>
      <c r="V60" s="9">
        <f t="shared" si="40"/>
        <v>6949.767503237224</v>
      </c>
      <c r="W60" s="9">
        <f t="shared" si="40"/>
        <v>7265.619705532157</v>
      </c>
      <c r="X60" s="9">
        <f t="shared" si="40"/>
        <v>7595.826720941065</v>
      </c>
      <c r="Y60" s="9">
        <f t="shared" si="40"/>
        <v>7941.040945293522</v>
      </c>
      <c r="Z60" s="9">
        <f t="shared" si="40"/>
        <v>8301.944424426725</v>
      </c>
      <c r="AA60" s="9">
        <f t="shared" si="40"/>
        <v>8679.25020171552</v>
      </c>
      <c r="AB60" s="9">
        <f t="shared" si="40"/>
        <v>9073.703726844766</v>
      </c>
      <c r="AC60" s="9">
        <f t="shared" si="40"/>
        <v>9486.084328607443</v>
      </c>
      <c r="AD60" s="4"/>
      <c r="AE60" s="4"/>
    </row>
    <row r="61" spans="2:31" ht="12.75">
      <c r="B61" t="s">
        <v>464</v>
      </c>
      <c r="E61" s="2"/>
      <c r="J61" s="9">
        <f aca="true" t="shared" si="41" ref="J61:AC61">J60+I61*(1+J$5+$J$141)</f>
        <v>2493.2933660559042</v>
      </c>
      <c r="K61" s="9">
        <f t="shared" si="41"/>
        <v>5704.015277698967</v>
      </c>
      <c r="L61" s="9">
        <f t="shared" si="41"/>
        <v>9526.300083807262</v>
      </c>
      <c r="M61" s="9">
        <f t="shared" si="41"/>
        <v>14210.427896791758</v>
      </c>
      <c r="N61" s="9">
        <f t="shared" si="41"/>
        <v>19912.69978188712</v>
      </c>
      <c r="O61" s="9">
        <f t="shared" si="41"/>
        <v>26314.94675899534</v>
      </c>
      <c r="P61" s="9">
        <f t="shared" si="41"/>
        <v>33172.18759657493</v>
      </c>
      <c r="Q61" s="9">
        <f t="shared" si="41"/>
        <v>40724.90245157766</v>
      </c>
      <c r="R61" s="9">
        <f t="shared" si="41"/>
        <v>49030.266588175335</v>
      </c>
      <c r="S61" s="9">
        <f t="shared" si="41"/>
        <v>58149.735429935565</v>
      </c>
      <c r="T61" s="9">
        <f t="shared" si="41"/>
        <v>68149.34866692628</v>
      </c>
      <c r="U61" s="9">
        <f t="shared" si="41"/>
        <v>79100.05527485731</v>
      </c>
      <c r="V61" s="9">
        <f t="shared" si="41"/>
        <v>90648.82842620893</v>
      </c>
      <c r="W61" s="9">
        <f t="shared" si="41"/>
        <v>103184.9182025705</v>
      </c>
      <c r="X61" s="9">
        <f t="shared" si="41"/>
        <v>116780.08360873602</v>
      </c>
      <c r="Y61" s="9">
        <f t="shared" si="41"/>
        <v>131510.90823038257</v>
      </c>
      <c r="Z61" s="9">
        <f t="shared" si="41"/>
        <v>147459.1103930442</v>
      </c>
      <c r="AA61" s="9">
        <f t="shared" si="41"/>
        <v>164711.87270176195</v>
      </c>
      <c r="AB61" s="9">
        <f t="shared" si="41"/>
        <v>183362.19214947696</v>
      </c>
      <c r="AC61" s="9">
        <f t="shared" si="41"/>
        <v>203509.25205409172</v>
      </c>
      <c r="AD61" s="4"/>
      <c r="AE61" s="4"/>
    </row>
    <row r="62" spans="2:31" s="219" customFormat="1" ht="12.75" hidden="1">
      <c r="B62" s="219" t="s">
        <v>474</v>
      </c>
      <c r="E62" s="220"/>
      <c r="J62" s="221">
        <f>IF(J51=0,J58,0)</f>
        <v>1944.220153202729</v>
      </c>
      <c r="K62" s="221">
        <f>IF(K51=0,K58,0)</f>
        <v>2067.536676105548</v>
      </c>
      <c r="L62" s="221">
        <f aca="true" t="shared" si="42" ref="L62:AC62">IF(L51=0,L58,0)</f>
        <v>0</v>
      </c>
      <c r="M62" s="221">
        <f t="shared" si="42"/>
        <v>0</v>
      </c>
      <c r="N62" s="221">
        <f t="shared" si="42"/>
        <v>0</v>
      </c>
      <c r="O62" s="221">
        <f t="shared" si="42"/>
        <v>0</v>
      </c>
      <c r="P62" s="221">
        <f t="shared" si="42"/>
        <v>0</v>
      </c>
      <c r="Q62" s="221">
        <f t="shared" si="42"/>
        <v>0</v>
      </c>
      <c r="R62" s="221">
        <f t="shared" si="42"/>
        <v>0</v>
      </c>
      <c r="S62" s="221">
        <f t="shared" si="42"/>
        <v>0</v>
      </c>
      <c r="T62" s="221">
        <f t="shared" si="42"/>
        <v>0</v>
      </c>
      <c r="U62" s="221">
        <f t="shared" si="42"/>
        <v>0</v>
      </c>
      <c r="V62" s="221">
        <f t="shared" si="42"/>
        <v>0</v>
      </c>
      <c r="W62" s="221">
        <f t="shared" si="42"/>
        <v>0</v>
      </c>
      <c r="X62" s="221">
        <f t="shared" si="42"/>
        <v>0</v>
      </c>
      <c r="Y62" s="221">
        <f t="shared" si="42"/>
        <v>0</v>
      </c>
      <c r="Z62" s="221">
        <f t="shared" si="42"/>
        <v>0</v>
      </c>
      <c r="AA62" s="221">
        <f t="shared" si="42"/>
        <v>0</v>
      </c>
      <c r="AB62" s="221">
        <f t="shared" si="42"/>
        <v>0</v>
      </c>
      <c r="AC62" s="221">
        <f t="shared" si="42"/>
        <v>0</v>
      </c>
      <c r="AD62" s="222"/>
      <c r="AE62" s="222"/>
    </row>
    <row r="63" spans="2:31" s="219" customFormat="1" ht="12.75" hidden="1">
      <c r="B63" s="219" t="s">
        <v>505</v>
      </c>
      <c r="E63" s="220"/>
      <c r="J63" s="221"/>
      <c r="K63" s="221"/>
      <c r="L63" s="221"/>
      <c r="M63" s="221"/>
      <c r="N63" s="221">
        <f>SUM(J58:N58)-SUM(J62:N62)</f>
        <v>7358.343603106088</v>
      </c>
      <c r="O63" s="221">
        <f>N63+O58</f>
        <v>10058.698890239215</v>
      </c>
      <c r="P63" s="221">
        <f aca="true" t="shared" si="43" ref="P63:AC63">O63+P58</f>
        <v>12799.18145693914</v>
      </c>
      <c r="Q63" s="221">
        <f t="shared" si="43"/>
        <v>15580.387594580228</v>
      </c>
      <c r="R63" s="221">
        <f t="shared" si="43"/>
        <v>18402.922455426662</v>
      </c>
      <c r="S63" s="221">
        <f t="shared" si="43"/>
        <v>21267.400184305276</v>
      </c>
      <c r="T63" s="221">
        <f t="shared" si="43"/>
        <v>24174.444052235023</v>
      </c>
      <c r="U63" s="221">
        <f t="shared" si="43"/>
        <v>27124.686592042206</v>
      </c>
      <c r="V63" s="221">
        <f t="shared" si="43"/>
        <v>30118.769735990925</v>
      </c>
      <c r="W63" s="221">
        <f t="shared" si="43"/>
        <v>33157.34495545872</v>
      </c>
      <c r="X63" s="221">
        <f t="shared" si="43"/>
        <v>36241.07340268781</v>
      </c>
      <c r="Y63" s="221">
        <f t="shared" si="43"/>
        <v>39370.62605464273</v>
      </c>
      <c r="Z63" s="221">
        <f t="shared" si="43"/>
        <v>42546.683859005694</v>
      </c>
      <c r="AA63" s="221">
        <f t="shared" si="43"/>
        <v>45769.937882341495</v>
      </c>
      <c r="AB63" s="221">
        <f t="shared" si="43"/>
        <v>49041.08946046406</v>
      </c>
      <c r="AC63" s="221">
        <f t="shared" si="43"/>
        <v>52360.85035103754</v>
      </c>
      <c r="AD63" s="222"/>
      <c r="AE63" s="222"/>
    </row>
    <row r="64" spans="5:31" ht="12.75">
      <c r="E64" s="2"/>
      <c r="I64" s="223"/>
      <c r="J64" s="9"/>
      <c r="K64" s="9"/>
      <c r="L64" s="9"/>
      <c r="M64" s="9"/>
      <c r="N64" s="9"/>
      <c r="O64" s="9"/>
      <c r="P64" s="9"/>
      <c r="Q64" s="9"/>
      <c r="R64" s="9"/>
      <c r="S64" s="9"/>
      <c r="T64" s="9"/>
      <c r="U64" s="9"/>
      <c r="V64" s="9"/>
      <c r="W64" s="9"/>
      <c r="X64" s="9"/>
      <c r="Y64" s="9"/>
      <c r="Z64" s="9"/>
      <c r="AA64" s="9"/>
      <c r="AB64" s="9"/>
      <c r="AC64" s="9"/>
      <c r="AD64" s="4"/>
      <c r="AE64" s="4"/>
    </row>
    <row r="65" spans="2:31" ht="12.75">
      <c r="B65" s="20" t="s">
        <v>465</v>
      </c>
      <c r="E65" s="2"/>
      <c r="J65" s="1"/>
      <c r="K65" s="1"/>
      <c r="L65" s="1"/>
      <c r="M65" s="1"/>
      <c r="N65" s="1"/>
      <c r="O65" s="1"/>
      <c r="P65" s="1"/>
      <c r="Q65" s="1"/>
      <c r="R65" s="1"/>
      <c r="S65" s="1"/>
      <c r="T65" s="1"/>
      <c r="U65" s="1"/>
      <c r="V65" s="1"/>
      <c r="W65" s="1"/>
      <c r="X65" s="1"/>
      <c r="Y65" s="1"/>
      <c r="Z65" s="1"/>
      <c r="AA65" s="1"/>
      <c r="AB65" s="1"/>
      <c r="AC65" s="1"/>
      <c r="AD65" s="4"/>
      <c r="AE65" s="4"/>
    </row>
    <row r="66" spans="2:31" ht="12.75">
      <c r="B66" s="168" t="s">
        <v>475</v>
      </c>
      <c r="E66" s="2"/>
      <c r="J66" s="1">
        <f>J55</f>
        <v>0.06342724238285391</v>
      </c>
      <c r="K66" s="1">
        <f aca="true" t="shared" si="44" ref="K66:AC66">K55</f>
        <v>0.06342724238285391</v>
      </c>
      <c r="L66" s="1">
        <f t="shared" si="44"/>
        <v>0.06342724238285391</v>
      </c>
      <c r="M66" s="1">
        <f t="shared" si="44"/>
        <v>0.06342724238285391</v>
      </c>
      <c r="N66" s="1">
        <f t="shared" si="44"/>
        <v>0.06342724238285391</v>
      </c>
      <c r="O66" s="1">
        <f t="shared" si="44"/>
        <v>0.01486</v>
      </c>
      <c r="P66" s="1">
        <f t="shared" si="44"/>
        <v>0.01486</v>
      </c>
      <c r="Q66" s="1">
        <f t="shared" si="44"/>
        <v>0.01486</v>
      </c>
      <c r="R66" s="1">
        <f t="shared" si="44"/>
        <v>0.01486</v>
      </c>
      <c r="S66" s="1">
        <f t="shared" si="44"/>
        <v>0.01486</v>
      </c>
      <c r="T66" s="1">
        <f t="shared" si="44"/>
        <v>0.01486</v>
      </c>
      <c r="U66" s="1">
        <f t="shared" si="44"/>
        <v>0.01486</v>
      </c>
      <c r="V66" s="1">
        <f t="shared" si="44"/>
        <v>0.01486</v>
      </c>
      <c r="W66" s="1">
        <f t="shared" si="44"/>
        <v>0.01486</v>
      </c>
      <c r="X66" s="1">
        <f t="shared" si="44"/>
        <v>0.01486</v>
      </c>
      <c r="Y66" s="1">
        <f t="shared" si="44"/>
        <v>0.01486</v>
      </c>
      <c r="Z66" s="1">
        <f t="shared" si="44"/>
        <v>0.01486</v>
      </c>
      <c r="AA66" s="1">
        <f t="shared" si="44"/>
        <v>0.01486</v>
      </c>
      <c r="AB66" s="1">
        <f t="shared" si="44"/>
        <v>0.01486</v>
      </c>
      <c r="AC66" s="1">
        <f t="shared" si="44"/>
        <v>0.01486</v>
      </c>
      <c r="AD66" s="4"/>
      <c r="AE66" s="4"/>
    </row>
    <row r="67" spans="2:31" ht="12.75">
      <c r="B67" t="s">
        <v>460</v>
      </c>
      <c r="E67" s="2"/>
      <c r="I67" s="9">
        <f>I21</f>
        <v>6135.534152832341</v>
      </c>
      <c r="J67" s="167">
        <f>I67*(1+J66)</f>
        <v>6524.694164692316</v>
      </c>
      <c r="K67" s="167">
        <f aca="true" t="shared" si="45" ref="K67:AC67">J67*(1+K66)</f>
        <v>6938.537522950248</v>
      </c>
      <c r="L67" s="167">
        <f t="shared" si="45"/>
        <v>7378.62982420094</v>
      </c>
      <c r="M67" s="167">
        <f t="shared" si="45"/>
        <v>7846.635966513887</v>
      </c>
      <c r="N67" s="167">
        <f t="shared" si="45"/>
        <v>8344.326447851983</v>
      </c>
      <c r="O67" s="167">
        <f t="shared" si="45"/>
        <v>8468.323138867065</v>
      </c>
      <c r="P67" s="167">
        <f t="shared" si="45"/>
        <v>8594.16242071063</v>
      </c>
      <c r="Q67" s="167">
        <f t="shared" si="45"/>
        <v>8721.87167428239</v>
      </c>
      <c r="R67" s="167">
        <f t="shared" si="45"/>
        <v>8851.478687362229</v>
      </c>
      <c r="S67" s="167">
        <f t="shared" si="45"/>
        <v>8983.011660656432</v>
      </c>
      <c r="T67" s="167">
        <f t="shared" si="45"/>
        <v>9116.499213933786</v>
      </c>
      <c r="U67" s="167">
        <f t="shared" si="45"/>
        <v>9251.970392252844</v>
      </c>
      <c r="V67" s="167">
        <f t="shared" si="45"/>
        <v>9389.454672281723</v>
      </c>
      <c r="W67" s="167">
        <f t="shared" si="45"/>
        <v>9528.98196871183</v>
      </c>
      <c r="X67" s="167">
        <f t="shared" si="45"/>
        <v>9670.58264076689</v>
      </c>
      <c r="Y67" s="167">
        <f t="shared" si="45"/>
        <v>9814.287498808688</v>
      </c>
      <c r="Z67" s="167">
        <f t="shared" si="45"/>
        <v>9960.127811040986</v>
      </c>
      <c r="AA67" s="167">
        <f t="shared" si="45"/>
        <v>10108.135310313055</v>
      </c>
      <c r="AB67" s="167">
        <f t="shared" si="45"/>
        <v>10258.342201024308</v>
      </c>
      <c r="AC67" s="167">
        <f t="shared" si="45"/>
        <v>10410.78116613153</v>
      </c>
      <c r="AD67" s="4"/>
      <c r="AE67" s="4"/>
    </row>
    <row r="68" spans="2:31" ht="12.75">
      <c r="B68" t="s">
        <v>461</v>
      </c>
      <c r="E68" s="2"/>
      <c r="J68" s="197">
        <f aca="true" t="shared" si="46" ref="J68:AC68">IF(J$51=0,J22,J22+$J$150*J52)</f>
        <v>0.7129199029126214</v>
      </c>
      <c r="K68" s="197">
        <f t="shared" si="46"/>
        <v>0.7129199029126214</v>
      </c>
      <c r="L68" s="197">
        <f t="shared" si="46"/>
        <v>0.7162532362459547</v>
      </c>
      <c r="M68" s="197">
        <f t="shared" si="46"/>
        <v>0.7195865695792881</v>
      </c>
      <c r="N68" s="197">
        <f t="shared" si="46"/>
        <v>0.7229199029126214</v>
      </c>
      <c r="O68" s="197">
        <f t="shared" si="46"/>
        <v>0.7229199029126214</v>
      </c>
      <c r="P68" s="197">
        <f t="shared" si="46"/>
        <v>0.7229199029126214</v>
      </c>
      <c r="Q68" s="197">
        <f t="shared" si="46"/>
        <v>0.7229199029126214</v>
      </c>
      <c r="R68" s="197">
        <f t="shared" si="46"/>
        <v>0.7229199029126214</v>
      </c>
      <c r="S68" s="197">
        <f t="shared" si="46"/>
        <v>0.7229199029126214</v>
      </c>
      <c r="T68" s="197">
        <f t="shared" si="46"/>
        <v>0.7229199029126214</v>
      </c>
      <c r="U68" s="197">
        <f t="shared" si="46"/>
        <v>0.7229199029126214</v>
      </c>
      <c r="V68" s="197">
        <f t="shared" si="46"/>
        <v>0.7229199029126214</v>
      </c>
      <c r="W68" s="197">
        <f t="shared" si="46"/>
        <v>0.7229199029126214</v>
      </c>
      <c r="X68" s="197">
        <f t="shared" si="46"/>
        <v>0.7229199029126214</v>
      </c>
      <c r="Y68" s="197">
        <f t="shared" si="46"/>
        <v>0.7229199029126214</v>
      </c>
      <c r="Z68" s="197">
        <f t="shared" si="46"/>
        <v>0.7229199029126214</v>
      </c>
      <c r="AA68" s="197">
        <f t="shared" si="46"/>
        <v>0.7229199029126214</v>
      </c>
      <c r="AB68" s="197">
        <f t="shared" si="46"/>
        <v>0.7229199029126214</v>
      </c>
      <c r="AC68" s="197">
        <f t="shared" si="46"/>
        <v>0.7229199029126214</v>
      </c>
      <c r="AD68" s="4"/>
      <c r="AE68" s="4"/>
    </row>
    <row r="69" spans="2:31" ht="12.75">
      <c r="B69" t="s">
        <v>462</v>
      </c>
      <c r="E69" s="2"/>
      <c r="J69" s="107">
        <f>J67*J68</f>
        <v>4651.584330426994</v>
      </c>
      <c r="K69" s="107">
        <f aca="true" t="shared" si="47" ref="K69:AC69">K67*K68</f>
        <v>4946.621497217271</v>
      </c>
      <c r="L69" s="107">
        <f t="shared" si="47"/>
        <v>5284.967490644843</v>
      </c>
      <c r="M69" s="107">
        <f t="shared" si="47"/>
        <v>5646.33385788119</v>
      </c>
      <c r="N69" s="107">
        <f t="shared" si="47"/>
        <v>6032.279665552375</v>
      </c>
      <c r="O69" s="107">
        <f t="shared" si="47"/>
        <v>6121.919341382484</v>
      </c>
      <c r="P69" s="107">
        <f t="shared" si="47"/>
        <v>6212.891062795428</v>
      </c>
      <c r="Q69" s="107">
        <f t="shared" si="47"/>
        <v>6305.214623988569</v>
      </c>
      <c r="R69" s="107">
        <f t="shared" si="47"/>
        <v>6398.91011330104</v>
      </c>
      <c r="S69" s="107">
        <f t="shared" si="47"/>
        <v>6493.997917584694</v>
      </c>
      <c r="T69" s="107">
        <f t="shared" si="47"/>
        <v>6590.498726640002</v>
      </c>
      <c r="U69" s="107">
        <f t="shared" si="47"/>
        <v>6688.433537717874</v>
      </c>
      <c r="V69" s="107">
        <f t="shared" si="47"/>
        <v>6787.823660088363</v>
      </c>
      <c r="W69" s="107">
        <f t="shared" si="47"/>
        <v>6888.690719677277</v>
      </c>
      <c r="X69" s="107">
        <f t="shared" si="47"/>
        <v>6991.056663771682</v>
      </c>
      <c r="Y69" s="107">
        <f t="shared" si="47"/>
        <v>7094.94376579533</v>
      </c>
      <c r="Z69" s="107">
        <f t="shared" si="47"/>
        <v>7200.37463015505</v>
      </c>
      <c r="AA69" s="107">
        <f t="shared" si="47"/>
        <v>7307.372197159154</v>
      </c>
      <c r="AB69" s="107">
        <f t="shared" si="47"/>
        <v>7415.959748008941</v>
      </c>
      <c r="AC69" s="107">
        <f t="shared" si="47"/>
        <v>7526.160909864353</v>
      </c>
      <c r="AD69" s="7"/>
      <c r="AE69" s="4"/>
    </row>
    <row r="70" spans="2:31" ht="12.75">
      <c r="B70" t="s">
        <v>222</v>
      </c>
      <c r="E70" s="2"/>
      <c r="J70" s="107">
        <f aca="true" t="shared" si="48" ref="J70:AC70">IF(J$51=0,J24,J24*(1+$J$138*J52))</f>
        <v>1282.4130857550688</v>
      </c>
      <c r="K70" s="107">
        <f t="shared" si="48"/>
        <v>1404.421866733806</v>
      </c>
      <c r="L70" s="107">
        <f t="shared" si="48"/>
        <v>1481.468172267293</v>
      </c>
      <c r="M70" s="107">
        <f t="shared" si="48"/>
        <v>1562.6085407420176</v>
      </c>
      <c r="N70" s="107">
        <f t="shared" si="48"/>
        <v>1648.0555930980524</v>
      </c>
      <c r="O70" s="107">
        <f t="shared" si="48"/>
        <v>1722.4488225704984</v>
      </c>
      <c r="P70" s="107">
        <f t="shared" si="48"/>
        <v>1782.9756741956255</v>
      </c>
      <c r="Q70" s="107">
        <f t="shared" si="48"/>
        <v>1845.6294393868598</v>
      </c>
      <c r="R70" s="107">
        <f t="shared" si="48"/>
        <v>1910.4848578869141</v>
      </c>
      <c r="S70" s="107">
        <f t="shared" si="48"/>
        <v>1977.61929579306</v>
      </c>
      <c r="T70" s="107">
        <f t="shared" si="48"/>
        <v>2047.112837847228</v>
      </c>
      <c r="U70" s="107">
        <f t="shared" si="48"/>
        <v>2119.0483829691793</v>
      </c>
      <c r="V70" s="107">
        <f t="shared" si="48"/>
        <v>2182.916501231871</v>
      </c>
      <c r="W70" s="107">
        <f t="shared" si="48"/>
        <v>2248.7096045789995</v>
      </c>
      <c r="X70" s="107">
        <f t="shared" si="48"/>
        <v>2316.4857120610104</v>
      </c>
      <c r="Y70" s="107">
        <f t="shared" si="48"/>
        <v>2386.3045914225295</v>
      </c>
      <c r="Z70" s="107">
        <f t="shared" si="48"/>
        <v>2458.227811808005</v>
      </c>
      <c r="AA70" s="107">
        <f t="shared" si="48"/>
        <v>2532.3187980558982</v>
      </c>
      <c r="AB70" s="107">
        <f t="shared" si="48"/>
        <v>2608.642886629303</v>
      </c>
      <c r="AC70" s="107">
        <f t="shared" si="48"/>
        <v>2687.2673832323103</v>
      </c>
      <c r="AD70" s="4"/>
      <c r="AE70" s="4"/>
    </row>
    <row r="71" spans="2:31" ht="12.75">
      <c r="B71" t="s">
        <v>279</v>
      </c>
      <c r="E71" s="2"/>
      <c r="J71" s="9">
        <f>J69*J70/1000</f>
        <v>5965.252614832806</v>
      </c>
      <c r="K71" s="9">
        <f aca="true" t="shared" si="49" ref="K71:AC71">K69*K70/1000</f>
        <v>6947.143397147454</v>
      </c>
      <c r="L71" s="9">
        <f t="shared" si="49"/>
        <v>7829.511128857678</v>
      </c>
      <c r="M71" s="9">
        <f t="shared" si="49"/>
        <v>8823.009510205973</v>
      </c>
      <c r="N71" s="9">
        <f t="shared" si="49"/>
        <v>9941.53224194524</v>
      </c>
      <c r="O71" s="9">
        <f t="shared" si="49"/>
        <v>10544.69276143582</v>
      </c>
      <c r="P71" s="9">
        <f t="shared" si="49"/>
        <v>11077.433631391656</v>
      </c>
      <c r="Q71" s="9">
        <f t="shared" si="49"/>
        <v>11637.089731685852</v>
      </c>
      <c r="R71" s="9">
        <f t="shared" si="49"/>
        <v>12225.020878441075</v>
      </c>
      <c r="S71" s="9">
        <f t="shared" si="49"/>
        <v>12842.65558865544</v>
      </c>
      <c r="T71" s="9">
        <f t="shared" si="49"/>
        <v>13491.494551120559</v>
      </c>
      <c r="U71" s="9">
        <f t="shared" si="49"/>
        <v>14173.114272697889</v>
      </c>
      <c r="V71" s="9">
        <f t="shared" si="49"/>
        <v>14817.252275059001</v>
      </c>
      <c r="W71" s="9">
        <f t="shared" si="49"/>
        <v>15490.664984312514</v>
      </c>
      <c r="X71" s="9">
        <f t="shared" si="49"/>
        <v>16194.682873836016</v>
      </c>
      <c r="Y71" s="9">
        <f t="shared" si="49"/>
        <v>16930.696884202047</v>
      </c>
      <c r="Z71" s="9">
        <f t="shared" si="49"/>
        <v>17700.16117128392</v>
      </c>
      <c r="AA71" s="9">
        <f t="shared" si="49"/>
        <v>18504.59597925716</v>
      </c>
      <c r="AB71" s="9">
        <f t="shared" si="49"/>
        <v>19345.59064417276</v>
      </c>
      <c r="AC71" s="9">
        <f t="shared" si="49"/>
        <v>20224.806734036483</v>
      </c>
      <c r="AD71" s="4"/>
      <c r="AE71" s="4"/>
    </row>
    <row r="72" spans="2:31" ht="12.75">
      <c r="B72" t="s">
        <v>466</v>
      </c>
      <c r="E72" s="2"/>
      <c r="J72" s="9">
        <f aca="true" t="shared" si="50" ref="J72:AC72">J71+I72*(1+J$5+$J$141)</f>
        <v>5965.252614832806</v>
      </c>
      <c r="K72" s="9">
        <f t="shared" si="50"/>
        <v>13646.96690472689</v>
      </c>
      <c r="L72" s="9">
        <f t="shared" si="50"/>
        <v>22474.639351520287</v>
      </c>
      <c r="M72" s="9">
        <f t="shared" si="50"/>
        <v>32941.48047587587</v>
      </c>
      <c r="N72" s="9">
        <f t="shared" si="50"/>
        <v>45292.40608677294</v>
      </c>
      <c r="O72" s="9">
        <f t="shared" si="50"/>
        <v>59149.85897048868</v>
      </c>
      <c r="P72" s="9">
        <f t="shared" si="50"/>
        <v>73962.11073865955</v>
      </c>
      <c r="Q72" s="9">
        <f t="shared" si="50"/>
        <v>90269.28823435915</v>
      </c>
      <c r="R72" s="9">
        <f t="shared" si="50"/>
        <v>108194.05854178943</v>
      </c>
      <c r="S72" s="9">
        <f t="shared" si="50"/>
        <v>127868.262661021</v>
      </c>
      <c r="T72" s="9">
        <f t="shared" si="50"/>
        <v>149433.56693573022</v>
      </c>
      <c r="U72" s="9">
        <f t="shared" si="50"/>
        <v>173042.1592594177</v>
      </c>
      <c r="V72" s="9">
        <f t="shared" si="50"/>
        <v>197920.36364166104</v>
      </c>
      <c r="W72" s="9">
        <f t="shared" si="50"/>
        <v>224918.4399305796</v>
      </c>
      <c r="X72" s="9">
        <f t="shared" si="50"/>
        <v>254190.24610112474</v>
      </c>
      <c r="Y72" s="9">
        <f t="shared" si="50"/>
        <v>285899.9766213026</v>
      </c>
      <c r="Z72" s="9">
        <f t="shared" si="50"/>
        <v>320222.8266479644</v>
      </c>
      <c r="AA72" s="9">
        <f t="shared" si="50"/>
        <v>357345.6977130199</v>
      </c>
      <c r="AB72" s="9">
        <f t="shared" si="50"/>
        <v>397467.9474429663</v>
      </c>
      <c r="AC72" s="9">
        <f t="shared" si="50"/>
        <v>440802.1860084072</v>
      </c>
      <c r="AD72" s="4"/>
      <c r="AE72" s="4"/>
    </row>
    <row r="73" spans="2:31" s="219" customFormat="1" ht="12.75" hidden="1">
      <c r="B73" s="219" t="s">
        <v>474</v>
      </c>
      <c r="E73" s="220"/>
      <c r="J73" s="221">
        <f aca="true" t="shared" si="51" ref="J73:AC73">IF(J51=0,J69,0)</f>
        <v>4651.584330426994</v>
      </c>
      <c r="K73" s="221">
        <f t="shared" si="51"/>
        <v>4946.621497217271</v>
      </c>
      <c r="L73" s="221">
        <f t="shared" si="51"/>
        <v>0</v>
      </c>
      <c r="M73" s="221">
        <f t="shared" si="51"/>
        <v>0</v>
      </c>
      <c r="N73" s="221">
        <f t="shared" si="51"/>
        <v>0</v>
      </c>
      <c r="O73" s="221">
        <f t="shared" si="51"/>
        <v>0</v>
      </c>
      <c r="P73" s="221">
        <f t="shared" si="51"/>
        <v>0</v>
      </c>
      <c r="Q73" s="221">
        <f t="shared" si="51"/>
        <v>0</v>
      </c>
      <c r="R73" s="221">
        <f t="shared" si="51"/>
        <v>0</v>
      </c>
      <c r="S73" s="221">
        <f t="shared" si="51"/>
        <v>0</v>
      </c>
      <c r="T73" s="221">
        <f t="shared" si="51"/>
        <v>0</v>
      </c>
      <c r="U73" s="221">
        <f t="shared" si="51"/>
        <v>0</v>
      </c>
      <c r="V73" s="221">
        <f t="shared" si="51"/>
        <v>0</v>
      </c>
      <c r="W73" s="221">
        <f t="shared" si="51"/>
        <v>0</v>
      </c>
      <c r="X73" s="221">
        <f t="shared" si="51"/>
        <v>0</v>
      </c>
      <c r="Y73" s="221">
        <f t="shared" si="51"/>
        <v>0</v>
      </c>
      <c r="Z73" s="221">
        <f t="shared" si="51"/>
        <v>0</v>
      </c>
      <c r="AA73" s="221">
        <f t="shared" si="51"/>
        <v>0</v>
      </c>
      <c r="AB73" s="221">
        <f t="shared" si="51"/>
        <v>0</v>
      </c>
      <c r="AC73" s="221">
        <f t="shared" si="51"/>
        <v>0</v>
      </c>
      <c r="AD73" s="222"/>
      <c r="AE73" s="222"/>
    </row>
    <row r="74" spans="2:31" s="219" customFormat="1" ht="12.75" hidden="1">
      <c r="B74" s="219" t="s">
        <v>505</v>
      </c>
      <c r="E74" s="220"/>
      <c r="J74" s="221"/>
      <c r="K74" s="221"/>
      <c r="L74" s="221"/>
      <c r="M74" s="221"/>
      <c r="N74" s="221">
        <f>SUM(J69:N69)-SUM(J73:N73)</f>
        <v>16963.581014078405</v>
      </c>
      <c r="O74" s="221">
        <f>N74+O69</f>
        <v>23085.50035546089</v>
      </c>
      <c r="P74" s="221">
        <f aca="true" t="shared" si="52" ref="P74:AB74">O74+P69</f>
        <v>29298.391418256317</v>
      </c>
      <c r="Q74" s="221">
        <f t="shared" si="52"/>
        <v>35603.606042244886</v>
      </c>
      <c r="R74" s="221">
        <f t="shared" si="52"/>
        <v>42002.51615554593</v>
      </c>
      <c r="S74" s="221">
        <f t="shared" si="52"/>
        <v>48496.514073130624</v>
      </c>
      <c r="T74" s="221">
        <f t="shared" si="52"/>
        <v>55087.01279977063</v>
      </c>
      <c r="U74" s="221">
        <f t="shared" si="52"/>
        <v>61775.4463374885</v>
      </c>
      <c r="V74" s="221">
        <f t="shared" si="52"/>
        <v>68563.26999757686</v>
      </c>
      <c r="W74" s="221">
        <f t="shared" si="52"/>
        <v>75451.96071725414</v>
      </c>
      <c r="X74" s="221">
        <f t="shared" si="52"/>
        <v>82443.01738102583</v>
      </c>
      <c r="Y74" s="221">
        <f t="shared" si="52"/>
        <v>89537.96114682115</v>
      </c>
      <c r="Z74" s="221">
        <f t="shared" si="52"/>
        <v>96738.33577697621</v>
      </c>
      <c r="AA74" s="221">
        <f t="shared" si="52"/>
        <v>104045.70797413537</v>
      </c>
      <c r="AB74" s="221">
        <f t="shared" si="52"/>
        <v>111461.66772214431</v>
      </c>
      <c r="AC74" s="221">
        <f>AB74+AC69</f>
        <v>118987.82863200866</v>
      </c>
      <c r="AD74" s="222"/>
      <c r="AE74" s="222"/>
    </row>
    <row r="75" spans="5:31" ht="12.75">
      <c r="E75" s="2"/>
      <c r="H75" s="224"/>
      <c r="I75" s="5"/>
      <c r="J75" s="225"/>
      <c r="K75" s="225"/>
      <c r="L75" s="225"/>
      <c r="M75" s="225"/>
      <c r="N75" s="225"/>
      <c r="O75" s="225"/>
      <c r="P75" s="225"/>
      <c r="Q75" s="225"/>
      <c r="R75" s="225"/>
      <c r="S75" s="225"/>
      <c r="T75" s="225"/>
      <c r="U75" s="225"/>
      <c r="V75" s="225"/>
      <c r="W75" s="225"/>
      <c r="X75" s="225"/>
      <c r="Y75" s="225"/>
      <c r="Z75" s="225"/>
      <c r="AA75" s="225"/>
      <c r="AB75" s="225"/>
      <c r="AC75" s="225"/>
      <c r="AD75" s="4"/>
      <c r="AE75" s="4"/>
    </row>
    <row r="76" spans="2:31" ht="12.75">
      <c r="B76" s="20" t="s">
        <v>289</v>
      </c>
      <c r="E76" s="2"/>
      <c r="H76" s="5"/>
      <c r="I76" s="5"/>
      <c r="J76" s="225"/>
      <c r="K76" s="225"/>
      <c r="L76" s="225"/>
      <c r="M76" s="225"/>
      <c r="N76" s="225"/>
      <c r="O76" s="225"/>
      <c r="P76" s="225"/>
      <c r="Q76" s="225"/>
      <c r="R76" s="225"/>
      <c r="S76" s="225"/>
      <c r="T76" s="225"/>
      <c r="U76" s="225"/>
      <c r="V76" s="225"/>
      <c r="W76" s="225"/>
      <c r="X76" s="225"/>
      <c r="Y76" s="225"/>
      <c r="Z76" s="225"/>
      <c r="AA76" s="225"/>
      <c r="AB76" s="225"/>
      <c r="AC76" s="225"/>
      <c r="AD76" s="4"/>
      <c r="AE76" s="4"/>
    </row>
    <row r="77" spans="2:31" s="13" customFormat="1" ht="12.75">
      <c r="B77" s="13" t="s">
        <v>467</v>
      </c>
      <c r="G77" s="167"/>
      <c r="H77" s="167"/>
      <c r="I77" s="167"/>
      <c r="J77" s="167">
        <f>J56-J58</f>
        <v>782.9026908357844</v>
      </c>
      <c r="K77" s="167">
        <f aca="true" t="shared" si="53" ref="K77:AC77">K56-K58</f>
        <v>832.5600495696144</v>
      </c>
      <c r="L77" s="167">
        <f t="shared" si="53"/>
        <v>833.966339904809</v>
      </c>
      <c r="M77" s="167">
        <f t="shared" si="53"/>
        <v>832.2016228445682</v>
      </c>
      <c r="N77" s="167">
        <f>N56-N58</f>
        <v>826.8579843523344</v>
      </c>
      <c r="O77" s="167">
        <f t="shared" si="53"/>
        <v>839.1450939998099</v>
      </c>
      <c r="P77" s="167">
        <f t="shared" si="53"/>
        <v>851.6147900966475</v>
      </c>
      <c r="Q77" s="167">
        <f t="shared" si="53"/>
        <v>864.2697858774836</v>
      </c>
      <c r="R77" s="167">
        <f t="shared" si="53"/>
        <v>877.1128348956231</v>
      </c>
      <c r="S77" s="167">
        <f t="shared" si="53"/>
        <v>890.146731622172</v>
      </c>
      <c r="T77" s="167">
        <f t="shared" si="53"/>
        <v>903.3743120540776</v>
      </c>
      <c r="U77" s="167">
        <f t="shared" si="53"/>
        <v>916.7984543312014</v>
      </c>
      <c r="V77" s="167">
        <f t="shared" si="53"/>
        <v>930.4220793625632</v>
      </c>
      <c r="W77" s="167">
        <f t="shared" si="53"/>
        <v>944.2481514618908</v>
      </c>
      <c r="X77" s="167">
        <f t="shared" si="53"/>
        <v>958.2796789926147</v>
      </c>
      <c r="Y77" s="167">
        <f t="shared" si="53"/>
        <v>972.5197150224449</v>
      </c>
      <c r="Z77" s="167">
        <f t="shared" si="53"/>
        <v>986.9713579876784</v>
      </c>
      <c r="AA77" s="167">
        <f t="shared" si="53"/>
        <v>1001.6377523673755</v>
      </c>
      <c r="AB77" s="167">
        <f t="shared" si="53"/>
        <v>1016.522089367555</v>
      </c>
      <c r="AC77" s="167">
        <f t="shared" si="53"/>
        <v>1031.6276076155568</v>
      </c>
      <c r="AD77" s="165"/>
      <c r="AE77" s="165"/>
    </row>
    <row r="78" spans="2:31" s="13" customFormat="1" ht="12.75">
      <c r="B78" s="13" t="s">
        <v>468</v>
      </c>
      <c r="G78" s="167"/>
      <c r="H78" s="167"/>
      <c r="I78" s="167"/>
      <c r="J78" s="167">
        <f>J67-J69</f>
        <v>1873.1098342653222</v>
      </c>
      <c r="K78" s="167">
        <f aca="true" t="shared" si="54" ref="K78:AB78">K67-K69</f>
        <v>1991.9160257329768</v>
      </c>
      <c r="L78" s="167">
        <f t="shared" si="54"/>
        <v>2093.662333556097</v>
      </c>
      <c r="M78" s="167">
        <f t="shared" si="54"/>
        <v>2200.302108632697</v>
      </c>
      <c r="N78" s="167">
        <f>N67-N69</f>
        <v>2312.046782299608</v>
      </c>
      <c r="O78" s="167">
        <f t="shared" si="54"/>
        <v>2346.4037974845805</v>
      </c>
      <c r="P78" s="167">
        <f t="shared" si="54"/>
        <v>2381.2713579152023</v>
      </c>
      <c r="Q78" s="167">
        <f t="shared" si="54"/>
        <v>2416.657050293822</v>
      </c>
      <c r="R78" s="167">
        <f t="shared" si="54"/>
        <v>2452.568574061189</v>
      </c>
      <c r="S78" s="167">
        <f t="shared" si="54"/>
        <v>2489.0137430717377</v>
      </c>
      <c r="T78" s="167">
        <f t="shared" si="54"/>
        <v>2526.0004872937843</v>
      </c>
      <c r="U78" s="167">
        <f t="shared" si="54"/>
        <v>2563.53685453497</v>
      </c>
      <c r="V78" s="167">
        <f t="shared" si="54"/>
        <v>2601.63101219336</v>
      </c>
      <c r="W78" s="167">
        <f t="shared" si="54"/>
        <v>2640.2912490345534</v>
      </c>
      <c r="X78" s="167">
        <f t="shared" si="54"/>
        <v>2679.525976995208</v>
      </c>
      <c r="Y78" s="167">
        <f t="shared" si="54"/>
        <v>2719.3437330133575</v>
      </c>
      <c r="Z78" s="167">
        <f t="shared" si="54"/>
        <v>2759.7531808859358</v>
      </c>
      <c r="AA78" s="167">
        <f t="shared" si="54"/>
        <v>2800.763113153901</v>
      </c>
      <c r="AB78" s="167">
        <f t="shared" si="54"/>
        <v>2842.382453015368</v>
      </c>
      <c r="AC78" s="167">
        <f>AC67-AC69</f>
        <v>2884.620256267177</v>
      </c>
      <c r="AD78" s="165"/>
      <c r="AE78" s="165"/>
    </row>
    <row r="79" spans="2:31" s="13" customFormat="1" ht="12.75">
      <c r="B79" s="13" t="s">
        <v>281</v>
      </c>
      <c r="G79" s="167"/>
      <c r="H79" s="167"/>
      <c r="I79" s="167"/>
      <c r="J79" s="167">
        <v>0</v>
      </c>
      <c r="K79" s="167">
        <f>J80*$J$148</f>
        <v>1328.0062625505534</v>
      </c>
      <c r="L79" s="167">
        <f aca="true" t="shared" si="55" ref="L79:AC79">K80*$J$148</f>
        <v>2076.2411689265723</v>
      </c>
      <c r="M79" s="167">
        <f t="shared" si="55"/>
        <v>2501.934921193739</v>
      </c>
      <c r="N79" s="167">
        <f t="shared" si="55"/>
        <v>2767.219326335502</v>
      </c>
      <c r="O79" s="167">
        <f t="shared" si="55"/>
        <v>2953.062046493723</v>
      </c>
      <c r="P79" s="167">
        <f t="shared" si="55"/>
        <v>3069.3054689890564</v>
      </c>
      <c r="Q79" s="167">
        <f t="shared" si="55"/>
        <v>3151.095808500453</v>
      </c>
      <c r="R79" s="167">
        <f t="shared" si="55"/>
        <v>3216.0113223358794</v>
      </c>
      <c r="S79" s="167">
        <f t="shared" si="55"/>
        <v>3272.846365646346</v>
      </c>
      <c r="T79" s="167">
        <f t="shared" si="55"/>
        <v>3326.0034201701274</v>
      </c>
      <c r="U79" s="167">
        <f t="shared" si="55"/>
        <v>3377.689109758994</v>
      </c>
      <c r="V79" s="167">
        <f t="shared" si="55"/>
        <v>3429.012209312583</v>
      </c>
      <c r="W79" s="167">
        <f t="shared" si="55"/>
        <v>3480.532650434253</v>
      </c>
      <c r="X79" s="167">
        <f t="shared" si="55"/>
        <v>3532.5360254653483</v>
      </c>
      <c r="Y79" s="167">
        <f t="shared" si="55"/>
        <v>3585.170840726586</v>
      </c>
      <c r="Z79" s="167">
        <f t="shared" si="55"/>
        <v>3638.5171443811946</v>
      </c>
      <c r="AA79" s="167">
        <f t="shared" si="55"/>
        <v>3692.620841627405</v>
      </c>
      <c r="AB79" s="167">
        <f t="shared" si="55"/>
        <v>3747.5108535743407</v>
      </c>
      <c r="AC79" s="167">
        <f t="shared" si="55"/>
        <v>3803.2076979786316</v>
      </c>
      <c r="AD79" s="165"/>
      <c r="AE79" s="165"/>
    </row>
    <row r="80" spans="2:31" s="13" customFormat="1" ht="12.75">
      <c r="B80" s="13" t="s">
        <v>282</v>
      </c>
      <c r="G80" s="167"/>
      <c r="H80" s="167"/>
      <c r="I80" s="167"/>
      <c r="J80" s="167">
        <f>I80+J77+J78-J79</f>
        <v>2656.012525101107</v>
      </c>
      <c r="K80" s="167">
        <f>J80+K77+K78-K79</f>
        <v>4152.482337853145</v>
      </c>
      <c r="L80" s="167">
        <f aca="true" t="shared" si="56" ref="L80:AC80">K80+L77+L78-L79</f>
        <v>5003.869842387478</v>
      </c>
      <c r="M80" s="167">
        <f t="shared" si="56"/>
        <v>5534.438652671004</v>
      </c>
      <c r="N80" s="167">
        <f t="shared" si="56"/>
        <v>5906.124092987446</v>
      </c>
      <c r="O80" s="167">
        <f t="shared" si="56"/>
        <v>6138.610937978113</v>
      </c>
      <c r="P80" s="167">
        <f t="shared" si="56"/>
        <v>6302.191617000906</v>
      </c>
      <c r="Q80" s="167">
        <f t="shared" si="56"/>
        <v>6432.022644671759</v>
      </c>
      <c r="R80" s="167">
        <f t="shared" si="56"/>
        <v>6545.692731292692</v>
      </c>
      <c r="S80" s="167">
        <f t="shared" si="56"/>
        <v>6652.006840340255</v>
      </c>
      <c r="T80" s="167">
        <f t="shared" si="56"/>
        <v>6755.378219517988</v>
      </c>
      <c r="U80" s="167">
        <f t="shared" si="56"/>
        <v>6858.024418625166</v>
      </c>
      <c r="V80" s="167">
        <f t="shared" si="56"/>
        <v>6961.065300868506</v>
      </c>
      <c r="W80" s="167">
        <f t="shared" si="56"/>
        <v>7065.072050930697</v>
      </c>
      <c r="X80" s="167">
        <f t="shared" si="56"/>
        <v>7170.341681453172</v>
      </c>
      <c r="Y80" s="167">
        <f t="shared" si="56"/>
        <v>7277.034288762389</v>
      </c>
      <c r="Z80" s="167">
        <f t="shared" si="56"/>
        <v>7385.24168325481</v>
      </c>
      <c r="AA80" s="167">
        <f t="shared" si="56"/>
        <v>7495.021707148681</v>
      </c>
      <c r="AB80" s="167">
        <f t="shared" si="56"/>
        <v>7606.415395957263</v>
      </c>
      <c r="AC80" s="167">
        <f t="shared" si="56"/>
        <v>7719.455561861366</v>
      </c>
      <c r="AD80" s="165"/>
      <c r="AE80" s="165"/>
    </row>
    <row r="81" spans="2:31" ht="12.75">
      <c r="B81" s="13" t="s">
        <v>284</v>
      </c>
      <c r="E81" s="2"/>
      <c r="G81" s="167"/>
      <c r="H81" s="167"/>
      <c r="I81" s="167"/>
      <c r="J81" s="9">
        <f>J33</f>
        <v>443.1588</v>
      </c>
      <c r="K81" s="9">
        <f aca="true" t="shared" si="57" ref="K81:AC81">K33</f>
        <v>485.32092823199997</v>
      </c>
      <c r="L81" s="9">
        <f t="shared" si="57"/>
        <v>507.22831493239244</v>
      </c>
      <c r="M81" s="9">
        <f t="shared" si="57"/>
        <v>530.1246010684406</v>
      </c>
      <c r="N81" s="9">
        <f t="shared" si="57"/>
        <v>554.05442556067</v>
      </c>
      <c r="O81" s="9">
        <f t="shared" si="57"/>
        <v>579.0644423304786</v>
      </c>
      <c r="P81" s="9">
        <f t="shared" si="57"/>
        <v>599.4127668339717</v>
      </c>
      <c r="Q81" s="9">
        <f t="shared" si="57"/>
        <v>620.4761314605174</v>
      </c>
      <c r="R81" s="9">
        <f t="shared" si="57"/>
        <v>642.2796627200399</v>
      </c>
      <c r="S81" s="9">
        <f t="shared" si="57"/>
        <v>664.8493700680222</v>
      </c>
      <c r="T81" s="9">
        <f t="shared" si="57"/>
        <v>688.2121769322124</v>
      </c>
      <c r="U81" s="9">
        <f t="shared" si="57"/>
        <v>712.3959528296103</v>
      </c>
      <c r="V81" s="9">
        <f t="shared" si="57"/>
        <v>733.8675668478949</v>
      </c>
      <c r="W81" s="9">
        <f t="shared" si="57"/>
        <v>755.9863353126905</v>
      </c>
      <c r="X81" s="9">
        <f t="shared" si="57"/>
        <v>778.771763459015</v>
      </c>
      <c r="Y81" s="9">
        <f t="shared" si="57"/>
        <v>802.2439444096698</v>
      </c>
      <c r="Z81" s="9">
        <f t="shared" si="57"/>
        <v>826.4235768941772</v>
      </c>
      <c r="AA81" s="9">
        <f t="shared" si="57"/>
        <v>851.3319835017678</v>
      </c>
      <c r="AB81" s="9">
        <f t="shared" si="57"/>
        <v>876.9911294845111</v>
      </c>
      <c r="AC81" s="9">
        <f t="shared" si="57"/>
        <v>903.4236421271744</v>
      </c>
      <c r="AD81" s="4"/>
      <c r="AE81" s="4"/>
    </row>
    <row r="82" spans="2:31" ht="12.75">
      <c r="B82" s="13" t="s">
        <v>293</v>
      </c>
      <c r="E82" s="2"/>
      <c r="G82" s="167"/>
      <c r="H82" s="167"/>
      <c r="I82" s="167"/>
      <c r="J82" s="9">
        <f aca="true" t="shared" si="58" ref="J82:AC82">J80*J81/1000</f>
        <v>1177.0353234087763</v>
      </c>
      <c r="K82" s="9">
        <f t="shared" si="58"/>
        <v>2015.2865826738735</v>
      </c>
      <c r="L82" s="9">
        <f t="shared" si="58"/>
        <v>2538.1044682952165</v>
      </c>
      <c r="M82" s="9">
        <f t="shared" si="58"/>
        <v>2933.942082884974</v>
      </c>
      <c r="N82" s="9">
        <f t="shared" si="58"/>
        <v>3272.314191630192</v>
      </c>
      <c r="O82" s="9">
        <f t="shared" si="58"/>
        <v>3554.6513194840722</v>
      </c>
      <c r="P82" s="9">
        <f t="shared" si="58"/>
        <v>3777.614114264375</v>
      </c>
      <c r="Q82" s="9">
        <f t="shared" si="58"/>
        <v>3990.916528032379</v>
      </c>
      <c r="R82" s="9">
        <f t="shared" si="58"/>
        <v>4204.165319723687</v>
      </c>
      <c r="S82" s="9">
        <f t="shared" si="58"/>
        <v>4422.582557488393</v>
      </c>
      <c r="T82" s="9">
        <f t="shared" si="58"/>
        <v>4649.133550454928</v>
      </c>
      <c r="U82" s="9">
        <f t="shared" si="58"/>
        <v>4885.628840235209</v>
      </c>
      <c r="V82" s="9">
        <f t="shared" si="58"/>
        <v>5108.50005501768</v>
      </c>
      <c r="W82" s="9">
        <f t="shared" si="58"/>
        <v>5341.097928503212</v>
      </c>
      <c r="X82" s="9">
        <f t="shared" si="58"/>
        <v>5584.059635868965</v>
      </c>
      <c r="Y82" s="9">
        <f t="shared" si="58"/>
        <v>5837.956691421155</v>
      </c>
      <c r="Z82" s="9">
        <f t="shared" si="58"/>
        <v>6103.337848103414</v>
      </c>
      <c r="AA82" s="9">
        <f t="shared" si="58"/>
        <v>6380.751696335693</v>
      </c>
      <c r="AB82" s="9">
        <f t="shared" si="58"/>
        <v>6670.758829428935</v>
      </c>
      <c r="AC82" s="9">
        <f t="shared" si="58"/>
        <v>6973.938658935669</v>
      </c>
      <c r="AD82" s="4"/>
      <c r="AE82" s="4"/>
    </row>
    <row r="83" spans="2:31" ht="12.75">
      <c r="B83" s="13"/>
      <c r="E83" s="2"/>
      <c r="G83" s="167"/>
      <c r="H83" s="167"/>
      <c r="I83" s="167"/>
      <c r="J83" s="9"/>
      <c r="K83" s="9"/>
      <c r="L83" s="9"/>
      <c r="M83" s="9"/>
      <c r="N83" s="9"/>
      <c r="O83" s="9"/>
      <c r="P83" s="9"/>
      <c r="Q83" s="9"/>
      <c r="R83" s="9"/>
      <c r="S83" s="9"/>
      <c r="T83" s="9"/>
      <c r="U83" s="9"/>
      <c r="V83" s="9"/>
      <c r="W83" s="9"/>
      <c r="X83" s="9"/>
      <c r="Y83" s="9"/>
      <c r="Z83" s="9"/>
      <c r="AA83" s="9"/>
      <c r="AB83" s="9"/>
      <c r="AC83" s="9"/>
      <c r="AD83" s="4"/>
      <c r="AE83" s="4"/>
    </row>
    <row r="84" spans="2:31" ht="12.75">
      <c r="B84" s="198" t="s">
        <v>425</v>
      </c>
      <c r="E84" s="2"/>
      <c r="G84" s="167"/>
      <c r="H84" s="167"/>
      <c r="I84" s="167"/>
      <c r="J84" s="9"/>
      <c r="K84" s="9"/>
      <c r="L84" s="9"/>
      <c r="M84" s="9"/>
      <c r="N84" s="9"/>
      <c r="O84" s="9"/>
      <c r="P84" s="9"/>
      <c r="Q84" s="9"/>
      <c r="R84" s="9"/>
      <c r="S84" s="9"/>
      <c r="T84" s="9"/>
      <c r="U84" s="9"/>
      <c r="V84" s="9"/>
      <c r="W84" s="9"/>
      <c r="X84" s="9"/>
      <c r="Y84" s="9"/>
      <c r="Z84" s="9"/>
      <c r="AA84" s="9"/>
      <c r="AB84" s="9"/>
      <c r="AC84" s="9"/>
      <c r="AD84" s="4"/>
      <c r="AE84" s="4"/>
    </row>
    <row r="85" spans="2:31" ht="12.75">
      <c r="B85" s="13" t="s">
        <v>427</v>
      </c>
      <c r="E85" s="2"/>
      <c r="G85" s="167"/>
      <c r="H85" s="167"/>
      <c r="I85" s="167"/>
      <c r="J85" s="9">
        <f>J79</f>
        <v>0</v>
      </c>
      <c r="K85" s="9">
        <f>K79</f>
        <v>1328.0062625505534</v>
      </c>
      <c r="L85" s="9">
        <f>L79</f>
        <v>2076.2411689265723</v>
      </c>
      <c r="M85" s="9">
        <f>M79</f>
        <v>2501.934921193739</v>
      </c>
      <c r="N85" s="9">
        <f aca="true" t="shared" si="59" ref="N85:AC85">N79</f>
        <v>2767.219326335502</v>
      </c>
      <c r="O85" s="9">
        <f t="shared" si="59"/>
        <v>2953.062046493723</v>
      </c>
      <c r="P85" s="9">
        <f t="shared" si="59"/>
        <v>3069.3054689890564</v>
      </c>
      <c r="Q85" s="9">
        <f t="shared" si="59"/>
        <v>3151.095808500453</v>
      </c>
      <c r="R85" s="9">
        <f t="shared" si="59"/>
        <v>3216.0113223358794</v>
      </c>
      <c r="S85" s="9">
        <f t="shared" si="59"/>
        <v>3272.846365646346</v>
      </c>
      <c r="T85" s="9">
        <f t="shared" si="59"/>
        <v>3326.0034201701274</v>
      </c>
      <c r="U85" s="9">
        <f t="shared" si="59"/>
        <v>3377.689109758994</v>
      </c>
      <c r="V85" s="9">
        <f t="shared" si="59"/>
        <v>3429.012209312583</v>
      </c>
      <c r="W85" s="9">
        <f t="shared" si="59"/>
        <v>3480.532650434253</v>
      </c>
      <c r="X85" s="9">
        <f t="shared" si="59"/>
        <v>3532.5360254653483</v>
      </c>
      <c r="Y85" s="9">
        <f t="shared" si="59"/>
        <v>3585.170840726586</v>
      </c>
      <c r="Z85" s="9">
        <f t="shared" si="59"/>
        <v>3638.5171443811946</v>
      </c>
      <c r="AA85" s="9">
        <f t="shared" si="59"/>
        <v>3692.620841627405</v>
      </c>
      <c r="AB85" s="9">
        <f t="shared" si="59"/>
        <v>3747.5108535743407</v>
      </c>
      <c r="AC85" s="9">
        <f t="shared" si="59"/>
        <v>3803.2076979786316</v>
      </c>
      <c r="AD85" s="4"/>
      <c r="AE85" s="4"/>
    </row>
    <row r="86" spans="2:31" ht="12.75">
      <c r="B86" s="170" t="s">
        <v>222</v>
      </c>
      <c r="E86" s="2"/>
      <c r="G86" s="167"/>
      <c r="H86" s="167"/>
      <c r="I86" s="167"/>
      <c r="J86" s="9">
        <f>J38</f>
        <v>1282.4130857550688</v>
      </c>
      <c r="K86" s="9">
        <f aca="true" t="shared" si="60" ref="K86:AC86">K38</f>
        <v>1404.421866733806</v>
      </c>
      <c r="L86" s="9">
        <f t="shared" si="60"/>
        <v>1467.81746979817</v>
      </c>
      <c r="M86" s="9">
        <f t="shared" si="60"/>
        <v>1534.0747503848593</v>
      </c>
      <c r="N86" s="9">
        <f t="shared" si="60"/>
        <v>1603.3228846172317</v>
      </c>
      <c r="O86" s="9">
        <f t="shared" si="60"/>
        <v>1675.6968796288534</v>
      </c>
      <c r="P86" s="9">
        <f t="shared" si="60"/>
        <v>1734.5808679790111</v>
      </c>
      <c r="Q86" s="9">
        <f t="shared" si="60"/>
        <v>1795.5340396797935</v>
      </c>
      <c r="R86" s="9">
        <f t="shared" si="60"/>
        <v>1858.6291058341415</v>
      </c>
      <c r="S86" s="9">
        <f t="shared" si="60"/>
        <v>1923.941332613153</v>
      </c>
      <c r="T86" s="9">
        <f t="shared" si="60"/>
        <v>1991.548631041179</v>
      </c>
      <c r="U86" s="9">
        <f t="shared" si="60"/>
        <v>2061.531649935966</v>
      </c>
      <c r="V86" s="9">
        <f t="shared" si="60"/>
        <v>2123.6662138650363</v>
      </c>
      <c r="W86" s="9">
        <f t="shared" si="60"/>
        <v>2187.6735135509284</v>
      </c>
      <c r="X86" s="9">
        <f t="shared" si="60"/>
        <v>2253.6099932493535</v>
      </c>
      <c r="Y86" s="9">
        <f t="shared" si="60"/>
        <v>2321.5337984458893</v>
      </c>
      <c r="Z86" s="9">
        <f t="shared" si="60"/>
        <v>2391.5048271310484</v>
      </c>
      <c r="AA86" s="9">
        <f t="shared" si="60"/>
        <v>2463.5847826207782</v>
      </c>
      <c r="AB86" s="9">
        <f t="shared" si="60"/>
        <v>2537.837227968969</v>
      </c>
      <c r="AC86" s="9">
        <f t="shared" si="60"/>
        <v>2614.3276420199536</v>
      </c>
      <c r="AD86" s="4"/>
      <c r="AE86" s="4"/>
    </row>
    <row r="87" spans="2:31" ht="12.75">
      <c r="B87" s="170" t="s">
        <v>428</v>
      </c>
      <c r="E87" s="2"/>
      <c r="G87" s="167"/>
      <c r="H87" s="167"/>
      <c r="I87" s="167"/>
      <c r="J87" s="9">
        <f aca="true" t="shared" si="61" ref="J87:AC87">J85*J86/1000</f>
        <v>0</v>
      </c>
      <c r="K87" s="9">
        <f t="shared" si="61"/>
        <v>1865.081034285433</v>
      </c>
      <c r="L87" s="9">
        <f t="shared" si="61"/>
        <v>3047.543059264596</v>
      </c>
      <c r="M87" s="9">
        <f t="shared" si="61"/>
        <v>3838.1551897094473</v>
      </c>
      <c r="N87" s="9">
        <f t="shared" si="61"/>
        <v>4436.74607266879</v>
      </c>
      <c r="O87" s="9">
        <f t="shared" si="61"/>
        <v>4948.436856659928</v>
      </c>
      <c r="P87" s="9">
        <f t="shared" si="61"/>
        <v>5323.958544491763</v>
      </c>
      <c r="Q87" s="9">
        <f t="shared" si="61"/>
        <v>5657.899786454884</v>
      </c>
      <c r="R87" s="9">
        <f t="shared" si="61"/>
        <v>5977.37224838561</v>
      </c>
      <c r="S87" s="9">
        <f t="shared" si="61"/>
        <v>6296.764398159745</v>
      </c>
      <c r="T87" s="9">
        <f t="shared" si="61"/>
        <v>6623.897558278097</v>
      </c>
      <c r="U87" s="9">
        <f t="shared" si="61"/>
        <v>6963.213003412204</v>
      </c>
      <c r="V87" s="9">
        <f t="shared" si="61"/>
        <v>7282.077375847836</v>
      </c>
      <c r="W87" s="9">
        <f t="shared" si="61"/>
        <v>7614.269092404228</v>
      </c>
      <c r="X87" s="9">
        <f t="shared" si="61"/>
        <v>7960.958488502062</v>
      </c>
      <c r="Y87" s="9">
        <f t="shared" si="61"/>
        <v>8323.095279949433</v>
      </c>
      <c r="Z87" s="9">
        <f t="shared" si="61"/>
        <v>8701.531314386704</v>
      </c>
      <c r="AA87" s="9">
        <f t="shared" si="61"/>
        <v>9097.084513421607</v>
      </c>
      <c r="AB87" s="9">
        <f t="shared" si="61"/>
        <v>9510.572556418729</v>
      </c>
      <c r="AC87" s="9">
        <f t="shared" si="61"/>
        <v>9942.831013168612</v>
      </c>
      <c r="AD87" s="4"/>
      <c r="AE87" s="4"/>
    </row>
    <row r="88" spans="2:31" ht="12.75">
      <c r="B88" s="170" t="s">
        <v>426</v>
      </c>
      <c r="E88" s="2"/>
      <c r="G88" s="167"/>
      <c r="H88" s="167"/>
      <c r="I88" s="167"/>
      <c r="J88" s="9">
        <f aca="true" t="shared" si="62" ref="J88:AC88">J87+I88*(1+J$5+$J$141)</f>
        <v>0</v>
      </c>
      <c r="K88" s="9">
        <f t="shared" si="62"/>
        <v>1865.081034285433</v>
      </c>
      <c r="L88" s="9">
        <f t="shared" si="62"/>
        <v>5049.039148722065</v>
      </c>
      <c r="M88" s="9">
        <f t="shared" si="62"/>
        <v>9256.48925987313</v>
      </c>
      <c r="N88" s="9">
        <f t="shared" si="62"/>
        <v>14370.269986732554</v>
      </c>
      <c r="O88" s="9">
        <f t="shared" si="62"/>
        <v>20369.771723170332</v>
      </c>
      <c r="P88" s="9">
        <f t="shared" si="62"/>
        <v>26979.910728577575</v>
      </c>
      <c r="Q88" s="9">
        <f t="shared" si="62"/>
        <v>34341.36588560486</v>
      </c>
      <c r="R88" s="9">
        <f t="shared" si="62"/>
        <v>42487.107735942</v>
      </c>
      <c r="S88" s="9">
        <f t="shared" si="62"/>
        <v>51466.57710269108</v>
      </c>
      <c r="T88" s="9">
        <f t="shared" si="62"/>
        <v>61340.157905302505</v>
      </c>
      <c r="U88" s="9">
        <f t="shared" si="62"/>
        <v>72176.48807661743</v>
      </c>
      <c r="V88" s="9">
        <f t="shared" si="62"/>
        <v>83655.02366190644</v>
      </c>
      <c r="W88" s="9">
        <f t="shared" si="62"/>
        <v>96133.13166033152</v>
      </c>
      <c r="X88" s="9">
        <f t="shared" si="62"/>
        <v>109683.42651453547</v>
      </c>
      <c r="Y88" s="9">
        <f t="shared" si="62"/>
        <v>124383.6943045682</v>
      </c>
      <c r="Z88" s="9">
        <f t="shared" si="62"/>
        <v>140317.095567115</v>
      </c>
      <c r="AA88" s="9">
        <f t="shared" si="62"/>
        <v>157572.44384909925</v>
      </c>
      <c r="AB88" s="9">
        <f t="shared" si="62"/>
        <v>176244.53414063316</v>
      </c>
      <c r="AC88" s="9">
        <f t="shared" si="62"/>
        <v>196434.5085362629</v>
      </c>
      <c r="AD88" s="4"/>
      <c r="AE88" s="4"/>
    </row>
    <row r="89" spans="5:31" ht="12.75">
      <c r="E89" s="2"/>
      <c r="J89" s="9"/>
      <c r="K89" s="9"/>
      <c r="L89" s="9"/>
      <c r="M89" s="9"/>
      <c r="N89" s="9"/>
      <c r="O89" s="9"/>
      <c r="P89" s="9"/>
      <c r="Q89" s="9"/>
      <c r="R89" s="9"/>
      <c r="S89" s="9"/>
      <c r="T89" s="9"/>
      <c r="U89" s="9"/>
      <c r="V89" s="9"/>
      <c r="W89" s="9"/>
      <c r="X89" s="9"/>
      <c r="Y89" s="9"/>
      <c r="Z89" s="9"/>
      <c r="AA89" s="9"/>
      <c r="AB89" s="9"/>
      <c r="AC89" s="9"/>
      <c r="AD89" s="4"/>
      <c r="AE89" s="4"/>
    </row>
    <row r="90" spans="2:31" ht="12.75">
      <c r="B90" t="s">
        <v>27</v>
      </c>
      <c r="E90" s="2"/>
      <c r="J90" s="9">
        <f aca="true" t="shared" si="63" ref="J90:AC90">J61+J72+J82+J88</f>
        <v>9635.581304297486</v>
      </c>
      <c r="K90" s="9">
        <f t="shared" si="63"/>
        <v>23231.349799385163</v>
      </c>
      <c r="L90" s="9">
        <f t="shared" si="63"/>
        <v>39588.08305234483</v>
      </c>
      <c r="M90" s="9">
        <f t="shared" si="63"/>
        <v>59342.33971542573</v>
      </c>
      <c r="N90" s="9">
        <f t="shared" si="63"/>
        <v>82847.69004702281</v>
      </c>
      <c r="O90" s="9">
        <f t="shared" si="63"/>
        <v>109389.22877213842</v>
      </c>
      <c r="P90" s="9">
        <f t="shared" si="63"/>
        <v>137891.82317807645</v>
      </c>
      <c r="Q90" s="9">
        <f t="shared" si="63"/>
        <v>169326.47309957404</v>
      </c>
      <c r="R90" s="9">
        <f t="shared" si="63"/>
        <v>203915.59818563046</v>
      </c>
      <c r="S90" s="9">
        <f t="shared" si="63"/>
        <v>241907.15775113602</v>
      </c>
      <c r="T90" s="9">
        <f t="shared" si="63"/>
        <v>283572.2070584139</v>
      </c>
      <c r="U90" s="9">
        <f t="shared" si="63"/>
        <v>329204.33145112765</v>
      </c>
      <c r="V90" s="9">
        <f t="shared" si="63"/>
        <v>377332.71578479407</v>
      </c>
      <c r="W90" s="9">
        <f t="shared" si="63"/>
        <v>429577.58772198483</v>
      </c>
      <c r="X90" s="9">
        <f t="shared" si="63"/>
        <v>486237.81586026517</v>
      </c>
      <c r="Y90" s="9">
        <f t="shared" si="63"/>
        <v>547632.5358476745</v>
      </c>
      <c r="Z90" s="9">
        <f t="shared" si="63"/>
        <v>614102.3704562271</v>
      </c>
      <c r="AA90" s="9">
        <f t="shared" si="63"/>
        <v>686010.7659602168</v>
      </c>
      <c r="AB90" s="9">
        <f t="shared" si="63"/>
        <v>763745.4325625054</v>
      </c>
      <c r="AC90" s="9">
        <f t="shared" si="63"/>
        <v>847719.8852576975</v>
      </c>
      <c r="AD90" s="4"/>
      <c r="AE90" s="4"/>
    </row>
    <row r="91" spans="10:29" ht="12.75">
      <c r="J91" s="9"/>
      <c r="K91" s="9"/>
      <c r="L91" s="9"/>
      <c r="M91" s="9"/>
      <c r="N91" s="9"/>
      <c r="O91" s="9"/>
      <c r="P91" s="9"/>
      <c r="Q91" s="9"/>
      <c r="R91" s="9"/>
      <c r="S91" s="9"/>
      <c r="T91" s="9"/>
      <c r="U91" s="9"/>
      <c r="V91" s="9"/>
      <c r="W91" s="9"/>
      <c r="X91" s="9"/>
      <c r="Y91" s="9"/>
      <c r="Z91" s="9"/>
      <c r="AA91" s="9"/>
      <c r="AB91" s="9"/>
      <c r="AC91" s="9"/>
    </row>
    <row r="92" spans="1:31" ht="12.75">
      <c r="A92" s="3" t="s">
        <v>232</v>
      </c>
      <c r="I92" s="9">
        <v>0</v>
      </c>
      <c r="J92" s="9">
        <f aca="true" t="shared" si="64" ref="J92:AC92">(J90-J48)/1000</f>
        <v>0.012896100002919412</v>
      </c>
      <c r="K92" s="9">
        <f t="shared" si="64"/>
        <v>0.055055776704786695</v>
      </c>
      <c r="L92" s="9">
        <f t="shared" si="64"/>
        <v>0.3853850103371078</v>
      </c>
      <c r="M92" s="9">
        <f t="shared" si="64"/>
        <v>1.060247299801398</v>
      </c>
      <c r="N92" s="9">
        <f t="shared" si="64"/>
        <v>2.16054666763806</v>
      </c>
      <c r="O92" s="9">
        <f t="shared" si="64"/>
        <v>3.343735920751133</v>
      </c>
      <c r="P92" s="9">
        <f t="shared" si="64"/>
        <v>4.587106081073464</v>
      </c>
      <c r="Q92" s="9">
        <f t="shared" si="64"/>
        <v>5.923340462683234</v>
      </c>
      <c r="R92" s="9">
        <f t="shared" si="64"/>
        <v>7.361810464578302</v>
      </c>
      <c r="S92" s="9">
        <f t="shared" si="64"/>
        <v>8.91046003985271</v>
      </c>
      <c r="T92" s="9">
        <f t="shared" si="64"/>
        <v>10.57662595298764</v>
      </c>
      <c r="U92" s="9">
        <f t="shared" si="64"/>
        <v>12.367464802364703</v>
      </c>
      <c r="V92" s="9">
        <f t="shared" si="64"/>
        <v>14.222865227677568</v>
      </c>
      <c r="W92" s="9">
        <f t="shared" si="64"/>
        <v>16.198316006287175</v>
      </c>
      <c r="X92" s="9">
        <f t="shared" si="64"/>
        <v>18.299462222991394</v>
      </c>
      <c r="Y92" s="9">
        <f t="shared" si="64"/>
        <v>20.549754175694428</v>
      </c>
      <c r="Z92" s="9">
        <f t="shared" si="64"/>
        <v>22.97155643013853</v>
      </c>
      <c r="AA92" s="9">
        <f t="shared" si="64"/>
        <v>25.583110690164496</v>
      </c>
      <c r="AB92" s="9">
        <f t="shared" si="64"/>
        <v>28.400981256236438</v>
      </c>
      <c r="AC92" s="9">
        <f t="shared" si="64"/>
        <v>31.441343061833525</v>
      </c>
      <c r="AD92" s="4"/>
      <c r="AE92" s="4"/>
    </row>
    <row r="95" ht="12.75">
      <c r="A95" s="3" t="s">
        <v>146</v>
      </c>
    </row>
    <row r="96" spans="1:8" ht="12.75">
      <c r="A96" s="170"/>
      <c r="B96" s="13"/>
      <c r="C96" s="13"/>
      <c r="D96" s="13"/>
      <c r="E96" s="13"/>
      <c r="F96" s="13"/>
      <c r="G96" s="13"/>
      <c r="H96" s="13"/>
    </row>
    <row r="97" spans="1:29" s="13" customFormat="1" ht="12.75">
      <c r="A97" s="170"/>
      <c r="AA97" s="359"/>
      <c r="AB97" s="359"/>
      <c r="AC97" s="359"/>
    </row>
    <row r="98" spans="2:29" ht="12.75">
      <c r="B98" s="3" t="s">
        <v>154</v>
      </c>
      <c r="J98" s="3" t="s">
        <v>155</v>
      </c>
      <c r="K98" s="3" t="s">
        <v>147</v>
      </c>
      <c r="AA98" s="13"/>
      <c r="AB98" s="13"/>
      <c r="AC98" s="13"/>
    </row>
    <row r="99" spans="2:29" ht="12.75">
      <c r="B99" s="20" t="s">
        <v>234</v>
      </c>
      <c r="J99" s="20"/>
      <c r="K99" s="20"/>
      <c r="AA99" s="13"/>
      <c r="AB99" s="13"/>
      <c r="AC99" s="13"/>
    </row>
    <row r="100" spans="2:29" ht="12.75">
      <c r="B100" s="168" t="s">
        <v>209</v>
      </c>
      <c r="J100" s="168">
        <v>1165</v>
      </c>
      <c r="K100" s="232" t="s">
        <v>235</v>
      </c>
      <c r="AA100" s="13"/>
      <c r="AB100" s="13"/>
      <c r="AC100" s="13"/>
    </row>
    <row r="101" spans="1:11" s="13" customFormat="1" ht="12.75">
      <c r="A101" s="170"/>
      <c r="K101" s="233"/>
    </row>
    <row r="102" spans="2:29" ht="12.75">
      <c r="B102" s="20" t="s">
        <v>233</v>
      </c>
      <c r="K102" s="232"/>
      <c r="AA102" s="13"/>
      <c r="AB102" s="13"/>
      <c r="AC102" s="13"/>
    </row>
    <row r="103" spans="2:29" ht="12.75">
      <c r="B103" t="s">
        <v>431</v>
      </c>
      <c r="J103" s="13">
        <v>2010</v>
      </c>
      <c r="K103" s="232" t="s">
        <v>153</v>
      </c>
      <c r="AA103" s="13"/>
      <c r="AB103" s="13"/>
      <c r="AC103" s="13"/>
    </row>
    <row r="104" spans="2:29" ht="12.75">
      <c r="B104" t="s">
        <v>432</v>
      </c>
      <c r="J104" s="13">
        <f>'ERR &amp; Sensitivity Analysis'!G13</f>
        <v>3</v>
      </c>
      <c r="K104" s="232"/>
      <c r="AA104" s="13"/>
      <c r="AB104" s="13"/>
      <c r="AC104" s="13"/>
    </row>
    <row r="105" spans="10:29" ht="12.75">
      <c r="J105" s="13"/>
      <c r="K105" s="232"/>
      <c r="AA105" s="13"/>
      <c r="AB105" s="13"/>
      <c r="AC105" s="13"/>
    </row>
    <row r="106" spans="2:29" ht="12.75">
      <c r="B106" s="20" t="s">
        <v>149</v>
      </c>
      <c r="J106" s="13"/>
      <c r="K106" s="232"/>
      <c r="AA106" s="13"/>
      <c r="AB106" s="13"/>
      <c r="AC106" s="13"/>
    </row>
    <row r="107" spans="2:29" ht="12.75">
      <c r="B107" t="s">
        <v>152</v>
      </c>
      <c r="J107" s="167">
        <f>Graduates!G41</f>
        <v>7891</v>
      </c>
      <c r="K107" s="232" t="s">
        <v>148</v>
      </c>
      <c r="AA107" s="13"/>
      <c r="AB107" s="13"/>
      <c r="AC107" s="13"/>
    </row>
    <row r="108" spans="2:29" ht="12.75">
      <c r="B108" t="s">
        <v>469</v>
      </c>
      <c r="J108" s="361">
        <f>Graduates!G13</f>
        <v>2326</v>
      </c>
      <c r="K108" s="232" t="s">
        <v>148</v>
      </c>
      <c r="AA108" s="13"/>
      <c r="AB108" s="13"/>
      <c r="AC108" s="13"/>
    </row>
    <row r="109" spans="2:29" ht="12.75">
      <c r="B109" t="s">
        <v>470</v>
      </c>
      <c r="J109" s="167">
        <f>J107-graduates_mcc</f>
        <v>5565</v>
      </c>
      <c r="K109" s="232" t="s">
        <v>236</v>
      </c>
      <c r="AA109" s="13"/>
      <c r="AB109" s="13"/>
      <c r="AC109" s="13"/>
    </row>
    <row r="110" spans="2:29" ht="12.75">
      <c r="B110" t="s">
        <v>448</v>
      </c>
      <c r="J110" s="167">
        <v>8700</v>
      </c>
      <c r="K110" s="232" t="s">
        <v>548</v>
      </c>
      <c r="AA110" s="13"/>
      <c r="AB110" s="13"/>
      <c r="AC110" s="13"/>
    </row>
    <row r="111" spans="2:29" ht="12.75">
      <c r="B111" t="s">
        <v>471</v>
      </c>
      <c r="J111" s="361">
        <f>J110*graduates_mcc/J107</f>
        <v>2564.4658471676594</v>
      </c>
      <c r="K111" s="232" t="s">
        <v>449</v>
      </c>
      <c r="AA111" s="13"/>
      <c r="AB111" s="13"/>
      <c r="AC111" s="13"/>
    </row>
    <row r="112" spans="2:29" ht="12.75">
      <c r="B112" t="s">
        <v>472</v>
      </c>
      <c r="J112" s="167">
        <f>J110*graduates_nonmcc/J107</f>
        <v>6135.534152832341</v>
      </c>
      <c r="K112" s="232" t="s">
        <v>449</v>
      </c>
      <c r="AA112" s="13"/>
      <c r="AB112" s="13"/>
      <c r="AC112" s="13"/>
    </row>
    <row r="113" spans="10:29" ht="12.75">
      <c r="J113" s="167"/>
      <c r="K113" s="232"/>
      <c r="AA113" s="13"/>
      <c r="AB113" s="13"/>
      <c r="AC113" s="13"/>
    </row>
    <row r="114" spans="2:29" ht="12.75">
      <c r="B114" s="20" t="s">
        <v>150</v>
      </c>
      <c r="J114" s="167"/>
      <c r="K114" s="232"/>
      <c r="AA114" s="13"/>
      <c r="AB114" s="13"/>
      <c r="AC114" s="13"/>
    </row>
    <row r="115" spans="2:29" ht="12.75">
      <c r="B115" s="168" t="s">
        <v>506</v>
      </c>
      <c r="J115" s="165">
        <v>2012</v>
      </c>
      <c r="K115" s="232" t="s">
        <v>545</v>
      </c>
      <c r="AA115" s="13"/>
      <c r="AB115" s="13"/>
      <c r="AC115" s="13"/>
    </row>
    <row r="116" spans="2:29" ht="12.75">
      <c r="B116" t="s">
        <v>450</v>
      </c>
      <c r="J116" s="196">
        <v>0.3</v>
      </c>
      <c r="K116" s="232" t="s">
        <v>546</v>
      </c>
      <c r="AA116" s="196"/>
      <c r="AB116" s="196"/>
      <c r="AC116" s="13"/>
    </row>
    <row r="117" spans="2:29" ht="12.75">
      <c r="B117" t="s">
        <v>451</v>
      </c>
      <c r="J117" s="372">
        <f>'ERR &amp; Sensitivity Analysis'!G14</f>
        <v>0.06</v>
      </c>
      <c r="K117" s="232" t="s">
        <v>547</v>
      </c>
      <c r="AA117" s="13"/>
      <c r="AB117" s="13"/>
      <c r="AC117" s="13"/>
    </row>
    <row r="118" spans="2:29" ht="12.75">
      <c r="B118" t="s">
        <v>452</v>
      </c>
      <c r="J118" s="196">
        <f>J116+J117</f>
        <v>0.36</v>
      </c>
      <c r="K118" s="232" t="s">
        <v>236</v>
      </c>
      <c r="AA118" s="13"/>
      <c r="AB118" s="13"/>
      <c r="AC118" s="13"/>
    </row>
    <row r="119" spans="2:29" ht="12.75">
      <c r="B119" t="s">
        <v>478</v>
      </c>
      <c r="J119" s="167">
        <f>J110*(1+J118)</f>
        <v>11831.999999999998</v>
      </c>
      <c r="K119" s="232"/>
      <c r="AA119" s="13"/>
      <c r="AB119" s="13"/>
      <c r="AC119" s="13"/>
    </row>
    <row r="120" spans="2:29" ht="12.75">
      <c r="B120" t="s">
        <v>479</v>
      </c>
      <c r="J120" s="167">
        <f>J110*(1+J116)</f>
        <v>11310</v>
      </c>
      <c r="K120" s="232"/>
      <c r="AA120" s="13"/>
      <c r="AB120" s="13"/>
      <c r="AC120" s="13"/>
    </row>
    <row r="121" spans="2:29" ht="12.75">
      <c r="B121" t="s">
        <v>453</v>
      </c>
      <c r="J121" s="167">
        <f>J119*0.9</f>
        <v>10648.8</v>
      </c>
      <c r="K121" s="232" t="s">
        <v>473</v>
      </c>
      <c r="AA121" s="13"/>
      <c r="AB121" s="13"/>
      <c r="AC121" s="13"/>
    </row>
    <row r="122" spans="2:29" ht="12.75">
      <c r="B122" t="s">
        <v>447</v>
      </c>
      <c r="J122" s="361">
        <v>5</v>
      </c>
      <c r="K122" s="232" t="s">
        <v>476</v>
      </c>
      <c r="AA122" s="13"/>
      <c r="AB122" s="13"/>
      <c r="AC122" s="13"/>
    </row>
    <row r="123" spans="2:29" ht="12.75">
      <c r="B123" t="s">
        <v>456</v>
      </c>
      <c r="J123" s="193">
        <f>(J119/J110)^(1/J122)-1</f>
        <v>0.06342724238285391</v>
      </c>
      <c r="K123" s="232"/>
      <c r="AA123" s="13"/>
      <c r="AB123" s="13"/>
      <c r="AC123" s="13"/>
    </row>
    <row r="124" spans="2:29" ht="12.75">
      <c r="B124" t="s">
        <v>457</v>
      </c>
      <c r="J124" s="193">
        <f>(J120/J110)^(1/J122)-1</f>
        <v>0.05387395206178347</v>
      </c>
      <c r="K124" s="232"/>
      <c r="AA124" s="13"/>
      <c r="AB124" s="13"/>
      <c r="AC124" s="13"/>
    </row>
    <row r="125" spans="2:29" ht="12.75">
      <c r="B125" t="s">
        <v>151</v>
      </c>
      <c r="J125" s="500">
        <v>0.01486</v>
      </c>
      <c r="K125" s="232" t="s">
        <v>482</v>
      </c>
      <c r="AA125" s="13"/>
      <c r="AB125" s="13"/>
      <c r="AC125" s="13"/>
    </row>
    <row r="126" spans="2:29" ht="12.75">
      <c r="B126" t="s">
        <v>458</v>
      </c>
      <c r="J126" s="501">
        <v>10</v>
      </c>
      <c r="K126" s="232"/>
      <c r="AA126" s="13"/>
      <c r="AB126" s="13"/>
      <c r="AC126" s="13"/>
    </row>
    <row r="127" spans="2:29" ht="12.75">
      <c r="B127" t="s">
        <v>480</v>
      </c>
      <c r="J127" s="501">
        <f>J126+N2</f>
        <v>2022</v>
      </c>
      <c r="K127" s="232" t="s">
        <v>481</v>
      </c>
      <c r="AA127" s="13"/>
      <c r="AB127" s="13"/>
      <c r="AC127" s="13"/>
    </row>
    <row r="128" spans="2:29" ht="12.75">
      <c r="B128" t="s">
        <v>459</v>
      </c>
      <c r="J128" s="501">
        <f>INDEX(J56:AC56,J127-$J$2+1)+INDEX(J67:AC67,J127-$J$2+1)</f>
        <v>13712.590766988593</v>
      </c>
      <c r="K128" s="232"/>
      <c r="AA128" s="13"/>
      <c r="AB128" s="13"/>
      <c r="AC128" s="13"/>
    </row>
    <row r="129" spans="2:29" ht="12.75">
      <c r="B129" t="s">
        <v>477</v>
      </c>
      <c r="J129" s="193">
        <f>(J128/J120)^(1/(J127-J115))-1</f>
        <v>0.01944943858201431</v>
      </c>
      <c r="K129" s="232"/>
      <c r="AA129" s="13"/>
      <c r="AB129" s="13"/>
      <c r="AC129" s="13"/>
    </row>
    <row r="130" spans="10:29" ht="12.75">
      <c r="J130" s="196"/>
      <c r="K130" s="232"/>
      <c r="AA130" s="13"/>
      <c r="AB130" s="13"/>
      <c r="AC130" s="13"/>
    </row>
    <row r="131" spans="2:29" ht="12.75">
      <c r="B131" s="20" t="s">
        <v>156</v>
      </c>
      <c r="J131" s="13"/>
      <c r="K131" s="232"/>
      <c r="AA131" s="13"/>
      <c r="AB131" s="13"/>
      <c r="AC131" s="13"/>
    </row>
    <row r="132" spans="2:29" ht="12.75">
      <c r="B132" t="s">
        <v>223</v>
      </c>
      <c r="J132" s="167">
        <f>'Wage Increment'!G26*12</f>
        <v>1215.3961424598335</v>
      </c>
      <c r="K132" s="232" t="s">
        <v>157</v>
      </c>
      <c r="AA132" s="13"/>
      <c r="AB132" s="13"/>
      <c r="AC132" s="13"/>
    </row>
    <row r="133" spans="2:29" ht="12.75">
      <c r="B133" t="s">
        <v>283</v>
      </c>
      <c r="J133" s="167">
        <f>Salaries!F12/exrate*12</f>
        <v>840</v>
      </c>
      <c r="K133" s="232"/>
      <c r="AA133" s="13"/>
      <c r="AB133" s="13"/>
      <c r="AC133" s="13"/>
    </row>
    <row r="134" spans="2:29" ht="12.75">
      <c r="B134" t="s">
        <v>288</v>
      </c>
      <c r="J134" s="167">
        <f>J133*0.5</f>
        <v>420</v>
      </c>
      <c r="K134" s="232" t="s">
        <v>403</v>
      </c>
      <c r="AA134" s="13"/>
      <c r="AB134" s="13"/>
      <c r="AC134" s="13"/>
    </row>
    <row r="135" spans="2:29" ht="12.75">
      <c r="B135" s="13"/>
      <c r="J135" s="13"/>
      <c r="K135" s="232"/>
      <c r="AA135" s="13"/>
      <c r="AB135" s="13"/>
      <c r="AC135" s="13"/>
    </row>
    <row r="136" spans="2:29" ht="12.75">
      <c r="B136" s="198" t="s">
        <v>424</v>
      </c>
      <c r="J136" s="196"/>
      <c r="K136" s="232"/>
      <c r="AA136" s="196"/>
      <c r="AB136" s="196"/>
      <c r="AC136" s="13"/>
    </row>
    <row r="137" spans="2:29" ht="12.75">
      <c r="B137" t="s">
        <v>230</v>
      </c>
      <c r="I137" s="196"/>
      <c r="J137" s="502">
        <f>'ERR &amp; Sensitivity Analysis'!G15</f>
        <v>0.093</v>
      </c>
      <c r="K137" s="232" t="s">
        <v>446</v>
      </c>
      <c r="AA137" s="196"/>
      <c r="AB137" s="196"/>
      <c r="AC137" s="13"/>
    </row>
    <row r="138" spans="2:29" ht="12.75">
      <c r="B138" t="s">
        <v>231</v>
      </c>
      <c r="I138" s="196"/>
      <c r="J138" s="196">
        <f>wage_dif_mcc*0.3</f>
        <v>0.027899999999999998</v>
      </c>
      <c r="K138" s="232" t="s">
        <v>455</v>
      </c>
      <c r="AA138" s="13"/>
      <c r="AB138" s="13"/>
      <c r="AC138" s="13"/>
    </row>
    <row r="139" spans="2:29" ht="12.75">
      <c r="B139" s="13"/>
      <c r="J139" s="13"/>
      <c r="K139" s="232"/>
      <c r="AA139" s="13"/>
      <c r="AB139" s="13"/>
      <c r="AC139" s="13"/>
    </row>
    <row r="140" spans="2:29" ht="12.75">
      <c r="B140" s="20" t="s">
        <v>220</v>
      </c>
      <c r="J140" s="13"/>
      <c r="K140" s="232"/>
      <c r="AA140" s="360"/>
      <c r="AB140" s="196"/>
      <c r="AC140" s="13"/>
    </row>
    <row r="141" spans="2:29" ht="12.75">
      <c r="B141" t="s">
        <v>227</v>
      </c>
      <c r="I141" s="196"/>
      <c r="J141" s="196">
        <f>Salaries!AH52/exrate*12/'Benefit-Graduate Income'!J132</f>
        <v>0.02800162369588423</v>
      </c>
      <c r="K141" s="232" t="s">
        <v>225</v>
      </c>
      <c r="AA141" s="196"/>
      <c r="AB141" s="196"/>
      <c r="AC141" s="13"/>
    </row>
    <row r="142" spans="2:29" ht="12.75">
      <c r="B142" t="s">
        <v>226</v>
      </c>
      <c r="I142" s="196"/>
      <c r="J142" s="196">
        <f>J141</f>
        <v>0.02800162369588423</v>
      </c>
      <c r="K142" s="232" t="s">
        <v>228</v>
      </c>
      <c r="AA142" s="13"/>
      <c r="AB142" s="13"/>
      <c r="AC142" s="13"/>
    </row>
    <row r="143" spans="9:11" s="13" customFormat="1" ht="12.75">
      <c r="I143" s="196"/>
      <c r="J143" s="196"/>
      <c r="K143" s="233"/>
    </row>
    <row r="144" spans="2:29" ht="12.75">
      <c r="B144" s="20" t="s">
        <v>276</v>
      </c>
      <c r="K144" s="232"/>
      <c r="AA144" s="13"/>
      <c r="AB144" s="13"/>
      <c r="AC144" s="13"/>
    </row>
    <row r="145" spans="2:29" ht="12.75">
      <c r="B145" s="168" t="s">
        <v>285</v>
      </c>
      <c r="K145" s="232"/>
      <c r="AA145" s="13"/>
      <c r="AB145" s="13"/>
      <c r="AC145" s="13"/>
    </row>
    <row r="146" spans="2:29" ht="12.75">
      <c r="B146" t="s">
        <v>277</v>
      </c>
      <c r="J146" s="193">
        <f>Employment!F10</f>
        <v>0.7129199029126214</v>
      </c>
      <c r="K146" s="232" t="s">
        <v>157</v>
      </c>
      <c r="AA146" s="13"/>
      <c r="AB146" s="13"/>
      <c r="AC146" s="13"/>
    </row>
    <row r="147" spans="2:29" ht="12.75">
      <c r="B147" t="s">
        <v>278</v>
      </c>
      <c r="J147" s="192">
        <f>J146</f>
        <v>0.7129199029126214</v>
      </c>
      <c r="K147" s="232" t="s">
        <v>157</v>
      </c>
      <c r="AA147" s="13"/>
      <c r="AB147" s="13"/>
      <c r="AC147" s="13"/>
    </row>
    <row r="148" spans="2:29" ht="12.75">
      <c r="B148" t="s">
        <v>280</v>
      </c>
      <c r="J148" s="1">
        <v>0.5</v>
      </c>
      <c r="K148" s="232"/>
      <c r="AA148" s="196"/>
      <c r="AB148" s="196"/>
      <c r="AC148" s="13"/>
    </row>
    <row r="149" spans="2:29" ht="12.75">
      <c r="B149" t="s">
        <v>286</v>
      </c>
      <c r="I149" s="196"/>
      <c r="J149" s="503">
        <f>'ERR &amp; Sensitivity Analysis'!G16</f>
        <v>0.05</v>
      </c>
      <c r="K149" s="232" t="s">
        <v>228</v>
      </c>
      <c r="AA149" s="196"/>
      <c r="AB149" s="196"/>
      <c r="AC149" s="13"/>
    </row>
    <row r="150" spans="2:11" ht="12.75">
      <c r="B150" t="s">
        <v>287</v>
      </c>
      <c r="I150" s="193"/>
      <c r="J150" s="360">
        <f>J149/5</f>
        <v>0.01</v>
      </c>
      <c r="K150" s="232" t="s">
        <v>228</v>
      </c>
    </row>
    <row r="152" spans="4:9" ht="12.75">
      <c r="D152" s="14" t="s">
        <v>440</v>
      </c>
      <c r="E152" s="15"/>
      <c r="F152" s="15"/>
      <c r="G152" s="15"/>
      <c r="H152" s="15"/>
      <c r="I152" s="15"/>
    </row>
    <row r="153" spans="4:9" ht="12.75">
      <c r="D153" s="195" t="s">
        <v>444</v>
      </c>
      <c r="E153" s="15"/>
      <c r="F153" s="15"/>
      <c r="G153" s="15"/>
      <c r="H153" s="15"/>
      <c r="I153" s="15">
        <f>J4/J6</f>
        <v>725.4596910945831</v>
      </c>
    </row>
    <row r="154" spans="4:9" ht="12.75">
      <c r="D154" s="195" t="s">
        <v>445</v>
      </c>
      <c r="E154" s="15"/>
      <c r="F154" s="15"/>
      <c r="G154" s="15"/>
      <c r="H154" s="15"/>
      <c r="I154" s="15">
        <f>D161/D165</f>
        <v>950.3723018988754</v>
      </c>
    </row>
    <row r="155" spans="4:9" ht="12.75">
      <c r="D155" s="195"/>
      <c r="E155" s="15"/>
      <c r="F155" s="15"/>
      <c r="G155" s="15"/>
      <c r="H155" s="15"/>
      <c r="I155" s="15"/>
    </row>
    <row r="156" spans="4:9" ht="12.75">
      <c r="D156" s="195" t="s">
        <v>435</v>
      </c>
      <c r="E156" s="15"/>
      <c r="F156" s="15"/>
      <c r="G156" s="15"/>
      <c r="H156" s="15"/>
      <c r="I156" s="194">
        <f>J14/I153</f>
        <v>2.655908095656909</v>
      </c>
    </row>
    <row r="157" spans="4:9" ht="12.75">
      <c r="D157" s="15" t="s">
        <v>437</v>
      </c>
      <c r="E157" s="15"/>
      <c r="F157" s="15"/>
      <c r="G157" s="15"/>
      <c r="H157" s="15"/>
      <c r="I157" s="194">
        <f>AC15/I154</f>
        <v>2.7508457862212947</v>
      </c>
    </row>
    <row r="158" spans="4:9" ht="12.75">
      <c r="D158" s="195" t="s">
        <v>436</v>
      </c>
      <c r="E158" s="15"/>
      <c r="F158" s="15"/>
      <c r="G158" s="15"/>
      <c r="H158" s="15"/>
      <c r="I158" s="194">
        <f>AC58/I154</f>
        <v>3.493116207133224</v>
      </c>
    </row>
    <row r="159" spans="4:9" ht="12.75">
      <c r="D159" s="195"/>
      <c r="E159" s="15"/>
      <c r="F159" s="15"/>
      <c r="G159" s="15"/>
      <c r="H159" s="15"/>
      <c r="I159" s="15"/>
    </row>
    <row r="160" spans="4:9" ht="12.75">
      <c r="D160" s="195"/>
      <c r="E160" s="15"/>
      <c r="F160" s="15"/>
      <c r="G160" s="15"/>
      <c r="H160" s="15"/>
      <c r="I160" s="15"/>
    </row>
    <row r="161" spans="4:9" ht="12.75">
      <c r="D161" s="195">
        <f>AC4</f>
        <v>5315.073563170232</v>
      </c>
      <c r="E161" s="15" t="s">
        <v>438</v>
      </c>
      <c r="F161" s="15"/>
      <c r="G161" s="15"/>
      <c r="H161" s="15"/>
      <c r="I161" s="15"/>
    </row>
    <row r="162" spans="4:9" ht="12.75">
      <c r="D162" s="195">
        <f>AC48/1000</f>
        <v>816.278542195864</v>
      </c>
      <c r="E162" s="15" t="s">
        <v>439</v>
      </c>
      <c r="F162" s="15"/>
      <c r="G162" s="15"/>
      <c r="H162" s="15"/>
      <c r="I162" s="15"/>
    </row>
    <row r="163" spans="4:9" ht="12.75">
      <c r="D163" s="194">
        <f>D162/D161</f>
        <v>0.15357803283328145</v>
      </c>
      <c r="E163" s="15" t="s">
        <v>433</v>
      </c>
      <c r="F163" s="15"/>
      <c r="G163" s="15"/>
      <c r="H163" s="15"/>
      <c r="I163" s="15"/>
    </row>
    <row r="164" spans="4:9" ht="12.75">
      <c r="D164" s="15"/>
      <c r="E164" s="15"/>
      <c r="F164" s="15"/>
      <c r="G164" s="15"/>
      <c r="H164" s="15"/>
      <c r="I164" s="15"/>
    </row>
    <row r="165" spans="4:9" ht="12.75">
      <c r="D165" s="209">
        <f>AC6</f>
        <v>5.592622546501554</v>
      </c>
      <c r="E165" s="15" t="s">
        <v>442</v>
      </c>
      <c r="F165" s="15"/>
      <c r="G165" s="15"/>
      <c r="H165" s="15"/>
      <c r="I165" s="15"/>
    </row>
    <row r="166" spans="4:9" ht="12.75">
      <c r="D166" s="210">
        <f>SUM(J12:AC12,J21:AC21,J43:AC43)/1000000</f>
        <v>0.2526266206862614</v>
      </c>
      <c r="E166" s="15" t="s">
        <v>443</v>
      </c>
      <c r="F166" s="15"/>
      <c r="G166" s="15"/>
      <c r="H166" s="15"/>
      <c r="I166" s="15"/>
    </row>
    <row r="167" spans="4:9" ht="12.75">
      <c r="D167" s="194">
        <f>D166/D165</f>
        <v>0.045171405469566536</v>
      </c>
      <c r="E167" s="15" t="s">
        <v>434</v>
      </c>
      <c r="F167" s="15"/>
      <c r="G167" s="15"/>
      <c r="H167" s="15"/>
      <c r="I167" s="15"/>
    </row>
    <row r="168" spans="4:9" ht="12.75">
      <c r="D168" s="15"/>
      <c r="E168" s="15"/>
      <c r="F168" s="15"/>
      <c r="G168" s="15"/>
      <c r="H168" s="15"/>
      <c r="I168" s="15"/>
    </row>
    <row r="169" spans="4:9" ht="12.75">
      <c r="D169" s="211" t="s">
        <v>441</v>
      </c>
      <c r="E169" s="15"/>
      <c r="F169" s="15"/>
      <c r="G169" s="15"/>
      <c r="H169" s="15"/>
      <c r="I169" s="15"/>
    </row>
  </sheetData>
  <mergeCells count="1">
    <mergeCell ref="E1:M1"/>
  </mergeCells>
  <conditionalFormatting sqref="E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6"/>
  <dimension ref="A1:X34"/>
  <sheetViews>
    <sheetView workbookViewId="0" topLeftCell="A1">
      <selection activeCell="J27" sqref="J27"/>
    </sheetView>
  </sheetViews>
  <sheetFormatPr defaultColWidth="9.140625" defaultRowHeight="12.75"/>
  <cols>
    <col min="1" max="1" width="3.7109375" style="168" customWidth="1"/>
    <col min="2" max="2" width="4.421875" style="168" customWidth="1"/>
    <col min="3" max="3" width="46.7109375" style="168" customWidth="1"/>
    <col min="4" max="4" width="9.28125" style="168" customWidth="1"/>
    <col min="5" max="6" width="9.28125" style="168" bestFit="1" customWidth="1"/>
    <col min="7" max="7" width="10.28125" style="168" bestFit="1" customWidth="1"/>
    <col min="8" max="23" width="11.28125" style="168" bestFit="1" customWidth="1"/>
    <col min="24" max="24" width="9.28125" style="168" bestFit="1" customWidth="1"/>
    <col min="25" max="16384" width="9.140625" style="168" customWidth="1"/>
  </cols>
  <sheetData>
    <row r="1" spans="1:14" ht="12.75" customHeight="1">
      <c r="A1" s="3" t="s">
        <v>166</v>
      </c>
      <c r="D1" s="468">
        <f>IF('ERR &amp; Sensitivity Analysis'!$I$10="N","Note: Current calculations are based on user input and are not the original MCC estimates.",IF('ERR &amp; Sensitivity Analysis'!$I$11="N","Note: Current calculations are based on user input and are not the original MCC estimates.",0))</f>
        <v>0</v>
      </c>
      <c r="E1" s="468"/>
      <c r="F1" s="468"/>
      <c r="G1" s="468"/>
      <c r="H1" s="468"/>
      <c r="I1" s="468"/>
      <c r="J1" s="468"/>
      <c r="K1" s="468"/>
      <c r="L1" s="468"/>
      <c r="M1" s="442" t="s">
        <v>564</v>
      </c>
      <c r="N1" s="388">
        <v>39310</v>
      </c>
    </row>
    <row r="2" spans="1:2" ht="12.75">
      <c r="A2" s="3"/>
      <c r="B2" s="168" t="s">
        <v>483</v>
      </c>
    </row>
    <row r="3" spans="4:24" ht="12.75">
      <c r="D3" s="168" t="s">
        <v>484</v>
      </c>
      <c r="E3" s="168" t="s">
        <v>29</v>
      </c>
      <c r="F3" s="168" t="s">
        <v>30</v>
      </c>
      <c r="G3" s="168" t="s">
        <v>31</v>
      </c>
      <c r="H3" s="168" t="s">
        <v>32</v>
      </c>
      <c r="I3" s="168" t="s">
        <v>33</v>
      </c>
      <c r="J3" s="168" t="s">
        <v>34</v>
      </c>
      <c r="K3" s="168" t="s">
        <v>35</v>
      </c>
      <c r="L3" s="168" t="s">
        <v>36</v>
      </c>
      <c r="M3" s="168" t="s">
        <v>37</v>
      </c>
      <c r="N3" s="168" t="s">
        <v>38</v>
      </c>
      <c r="O3" s="168" t="s">
        <v>39</v>
      </c>
      <c r="P3" s="168" t="s">
        <v>40</v>
      </c>
      <c r="Q3" s="168" t="s">
        <v>41</v>
      </c>
      <c r="R3" s="168" t="s">
        <v>42</v>
      </c>
      <c r="S3" s="168" t="s">
        <v>43</v>
      </c>
      <c r="T3" s="168" t="s">
        <v>44</v>
      </c>
      <c r="U3" s="168" t="s">
        <v>45</v>
      </c>
      <c r="V3" s="168" t="s">
        <v>46</v>
      </c>
      <c r="W3" s="168" t="s">
        <v>47</v>
      </c>
      <c r="X3" s="168" t="s">
        <v>48</v>
      </c>
    </row>
    <row r="4" spans="3:10" ht="12.75">
      <c r="C4" s="335" t="s">
        <v>5</v>
      </c>
      <c r="D4" s="336"/>
      <c r="E4" s="337"/>
      <c r="F4" s="337"/>
      <c r="G4" s="337"/>
      <c r="H4" s="337"/>
      <c r="I4" s="337"/>
      <c r="J4" s="349"/>
    </row>
    <row r="5" spans="3:24" ht="12.75">
      <c r="C5" s="338" t="s">
        <v>485</v>
      </c>
      <c r="D5" s="339">
        <v>120</v>
      </c>
      <c r="E5" s="337">
        <v>180</v>
      </c>
      <c r="F5" s="337">
        <v>200</v>
      </c>
      <c r="G5" s="337">
        <v>0</v>
      </c>
      <c r="H5" s="337">
        <v>0</v>
      </c>
      <c r="I5" s="337">
        <v>0</v>
      </c>
      <c r="J5" s="349">
        <v>0</v>
      </c>
      <c r="K5" s="349">
        <v>0</v>
      </c>
      <c r="L5" s="349">
        <v>0</v>
      </c>
      <c r="M5" s="349">
        <v>0</v>
      </c>
      <c r="N5" s="349">
        <v>0</v>
      </c>
      <c r="O5" s="349">
        <v>0</v>
      </c>
      <c r="P5" s="349">
        <v>0</v>
      </c>
      <c r="Q5" s="349">
        <v>0</v>
      </c>
      <c r="R5" s="349">
        <v>0</v>
      </c>
      <c r="S5" s="349">
        <v>0</v>
      </c>
      <c r="T5" s="349">
        <v>0</v>
      </c>
      <c r="U5" s="349">
        <v>0</v>
      </c>
      <c r="V5" s="349">
        <v>0</v>
      </c>
      <c r="W5" s="349">
        <v>0</v>
      </c>
      <c r="X5" s="349">
        <v>0</v>
      </c>
    </row>
    <row r="6" spans="3:24" ht="12.75">
      <c r="C6" s="338" t="s">
        <v>486</v>
      </c>
      <c r="D6" s="339">
        <v>200</v>
      </c>
      <c r="E6" s="337">
        <v>300</v>
      </c>
      <c r="F6" s="337">
        <v>2500</v>
      </c>
      <c r="G6" s="337">
        <v>3000</v>
      </c>
      <c r="H6" s="337">
        <v>2000</v>
      </c>
      <c r="I6" s="337">
        <v>200</v>
      </c>
      <c r="J6" s="349">
        <v>0</v>
      </c>
      <c r="K6" s="349">
        <v>0</v>
      </c>
      <c r="L6" s="349">
        <v>0</v>
      </c>
      <c r="M6" s="349">
        <v>0</v>
      </c>
      <c r="N6" s="349">
        <v>0</v>
      </c>
      <c r="O6" s="349">
        <v>0</v>
      </c>
      <c r="P6" s="349">
        <v>0</v>
      </c>
      <c r="Q6" s="349">
        <v>0</v>
      </c>
      <c r="R6" s="349">
        <v>0</v>
      </c>
      <c r="S6" s="349">
        <v>0</v>
      </c>
      <c r="T6" s="349">
        <v>0</v>
      </c>
      <c r="U6" s="349">
        <v>0</v>
      </c>
      <c r="V6" s="349">
        <v>0</v>
      </c>
      <c r="W6" s="349">
        <v>0</v>
      </c>
      <c r="X6" s="349">
        <v>0</v>
      </c>
    </row>
    <row r="7" spans="3:24" ht="12.75">
      <c r="C7" s="338" t="s">
        <v>487</v>
      </c>
      <c r="D7" s="339">
        <v>320</v>
      </c>
      <c r="E7" s="337">
        <v>480</v>
      </c>
      <c r="F7" s="337">
        <v>5000</v>
      </c>
      <c r="G7" s="337">
        <v>5000</v>
      </c>
      <c r="H7" s="337">
        <v>3000</v>
      </c>
      <c r="I7" s="337">
        <v>500</v>
      </c>
      <c r="J7" s="349">
        <v>0</v>
      </c>
      <c r="K7" s="349">
        <v>0</v>
      </c>
      <c r="L7" s="349">
        <v>0</v>
      </c>
      <c r="M7" s="349">
        <v>0</v>
      </c>
      <c r="N7" s="349">
        <v>0</v>
      </c>
      <c r="O7" s="349">
        <v>0</v>
      </c>
      <c r="P7" s="349">
        <v>0</v>
      </c>
      <c r="Q7" s="349">
        <v>0</v>
      </c>
      <c r="R7" s="349">
        <v>0</v>
      </c>
      <c r="S7" s="349">
        <v>0</v>
      </c>
      <c r="T7" s="349">
        <v>0</v>
      </c>
      <c r="U7" s="349">
        <v>0</v>
      </c>
      <c r="V7" s="349">
        <v>0</v>
      </c>
      <c r="W7" s="349">
        <v>0</v>
      </c>
      <c r="X7" s="349">
        <v>0</v>
      </c>
    </row>
    <row r="8" spans="3:24" ht="12.75">
      <c r="C8" s="338" t="s">
        <v>488</v>
      </c>
      <c r="D8" s="339">
        <v>100</v>
      </c>
      <c r="E8" s="337">
        <v>150</v>
      </c>
      <c r="F8" s="337">
        <v>300</v>
      </c>
      <c r="G8" s="337">
        <v>100</v>
      </c>
      <c r="H8" s="337">
        <v>0</v>
      </c>
      <c r="I8" s="337">
        <v>0</v>
      </c>
      <c r="J8" s="349">
        <v>0</v>
      </c>
      <c r="K8" s="349">
        <v>0</v>
      </c>
      <c r="L8" s="349">
        <v>0</v>
      </c>
      <c r="M8" s="349">
        <v>0</v>
      </c>
      <c r="N8" s="349">
        <v>0</v>
      </c>
      <c r="O8" s="349">
        <v>0</v>
      </c>
      <c r="P8" s="349">
        <v>0</v>
      </c>
      <c r="Q8" s="349">
        <v>0</v>
      </c>
      <c r="R8" s="349">
        <v>0</v>
      </c>
      <c r="S8" s="349">
        <v>0</v>
      </c>
      <c r="T8" s="349">
        <v>0</v>
      </c>
      <c r="U8" s="349">
        <v>0</v>
      </c>
      <c r="V8" s="349">
        <v>0</v>
      </c>
      <c r="W8" s="349">
        <v>0</v>
      </c>
      <c r="X8" s="349">
        <v>0</v>
      </c>
    </row>
    <row r="9" spans="3:24" ht="12.75">
      <c r="C9" s="338" t="s">
        <v>489</v>
      </c>
      <c r="D9" s="340">
        <v>168.3</v>
      </c>
      <c r="E9" s="341">
        <v>252.5</v>
      </c>
      <c r="F9" s="341">
        <v>322.8</v>
      </c>
      <c r="G9" s="341">
        <v>314</v>
      </c>
      <c r="H9" s="341">
        <v>290.2</v>
      </c>
      <c r="I9" s="341">
        <v>274.2</v>
      </c>
      <c r="J9" s="349">
        <v>0</v>
      </c>
      <c r="K9" s="349">
        <v>0</v>
      </c>
      <c r="L9" s="349">
        <v>0</v>
      </c>
      <c r="M9" s="349">
        <v>0</v>
      </c>
      <c r="N9" s="349">
        <v>0</v>
      </c>
      <c r="O9" s="349">
        <v>0</v>
      </c>
      <c r="P9" s="349">
        <v>0</v>
      </c>
      <c r="Q9" s="349">
        <v>0</v>
      </c>
      <c r="R9" s="349">
        <v>0</v>
      </c>
      <c r="S9" s="349">
        <v>0</v>
      </c>
      <c r="T9" s="349">
        <v>0</v>
      </c>
      <c r="U9" s="349">
        <v>0</v>
      </c>
      <c r="V9" s="349">
        <v>0</v>
      </c>
      <c r="W9" s="349">
        <v>0</v>
      </c>
      <c r="X9" s="349">
        <v>0</v>
      </c>
    </row>
    <row r="10" spans="3:24" ht="12.75">
      <c r="C10" s="350" t="s">
        <v>490</v>
      </c>
      <c r="D10" s="340">
        <f aca="true" t="shared" si="0" ref="D10:I10">SUM(D5:D9)</f>
        <v>908.3</v>
      </c>
      <c r="E10" s="340">
        <f t="shared" si="0"/>
        <v>1362.5</v>
      </c>
      <c r="F10" s="340">
        <f t="shared" si="0"/>
        <v>8322.8</v>
      </c>
      <c r="G10" s="340">
        <f t="shared" si="0"/>
        <v>8414</v>
      </c>
      <c r="H10" s="340">
        <f t="shared" si="0"/>
        <v>5290.2</v>
      </c>
      <c r="I10" s="340">
        <f t="shared" si="0"/>
        <v>974.2</v>
      </c>
      <c r="J10" s="349"/>
      <c r="K10" s="349"/>
      <c r="L10" s="349"/>
      <c r="M10" s="349"/>
      <c r="N10" s="349"/>
      <c r="O10" s="349"/>
      <c r="P10" s="349"/>
      <c r="Q10" s="349"/>
      <c r="R10" s="349"/>
      <c r="S10" s="349"/>
      <c r="T10" s="349"/>
      <c r="U10" s="349"/>
      <c r="V10" s="349"/>
      <c r="W10" s="349"/>
      <c r="X10" s="349"/>
    </row>
    <row r="11" spans="3:24" ht="12.75">
      <c r="C11" s="351" t="s">
        <v>491</v>
      </c>
      <c r="D11" s="334">
        <f aca="true" t="shared" si="1" ref="D11:I11">D10/1000</f>
        <v>0.9083</v>
      </c>
      <c r="E11" s="334">
        <f>E10/1000+E13</f>
        <v>1.6625</v>
      </c>
      <c r="F11" s="334">
        <f t="shared" si="1"/>
        <v>8.322799999999999</v>
      </c>
      <c r="G11" s="334">
        <f t="shared" si="1"/>
        <v>8.414</v>
      </c>
      <c r="H11" s="334">
        <f t="shared" si="1"/>
        <v>5.2902</v>
      </c>
      <c r="I11" s="334">
        <f t="shared" si="1"/>
        <v>0.9742000000000001</v>
      </c>
      <c r="J11" s="3">
        <f aca="true" t="shared" si="2" ref="J11:X11">SUM(J5:J9)</f>
        <v>0</v>
      </c>
      <c r="K11" s="3">
        <f t="shared" si="2"/>
        <v>0</v>
      </c>
      <c r="L11" s="3">
        <f t="shared" si="2"/>
        <v>0</v>
      </c>
      <c r="M11" s="3">
        <f t="shared" si="2"/>
        <v>0</v>
      </c>
      <c r="N11" s="3">
        <f t="shared" si="2"/>
        <v>0</v>
      </c>
      <c r="O11" s="3">
        <f t="shared" si="2"/>
        <v>0</v>
      </c>
      <c r="P11" s="3">
        <f t="shared" si="2"/>
        <v>0</v>
      </c>
      <c r="Q11" s="3">
        <f t="shared" si="2"/>
        <v>0</v>
      </c>
      <c r="R11" s="3">
        <f t="shared" si="2"/>
        <v>0</v>
      </c>
      <c r="S11" s="3">
        <f t="shared" si="2"/>
        <v>0</v>
      </c>
      <c r="T11" s="3">
        <f t="shared" si="2"/>
        <v>0</v>
      </c>
      <c r="U11" s="3">
        <f t="shared" si="2"/>
        <v>0</v>
      </c>
      <c r="V11" s="3">
        <f t="shared" si="2"/>
        <v>0</v>
      </c>
      <c r="W11" s="3">
        <f t="shared" si="2"/>
        <v>0</v>
      </c>
      <c r="X11" s="3">
        <f t="shared" si="2"/>
        <v>0</v>
      </c>
    </row>
    <row r="12" spans="3:9" ht="12.75">
      <c r="C12" s="350" t="s">
        <v>454</v>
      </c>
      <c r="D12" s="350"/>
      <c r="E12" s="342"/>
      <c r="F12" s="342"/>
      <c r="G12" s="342"/>
      <c r="H12" s="342"/>
      <c r="I12" s="343">
        <f>SUM(D11:I11)</f>
        <v>25.572</v>
      </c>
    </row>
    <row r="13" spans="5:6" ht="12.75">
      <c r="E13" s="344">
        <v>0.3</v>
      </c>
      <c r="F13" s="344" t="s">
        <v>499</v>
      </c>
    </row>
    <row r="14" ht="12.75">
      <c r="B14" s="168" t="s">
        <v>494</v>
      </c>
    </row>
    <row r="15" spans="3:24" ht="12.75">
      <c r="C15" s="168" t="s">
        <v>492</v>
      </c>
      <c r="D15" s="345">
        <v>436.842572263182</v>
      </c>
      <c r="E15" s="345">
        <v>1140.010838060184</v>
      </c>
      <c r="F15" s="345">
        <v>237.24087475389518</v>
      </c>
      <c r="G15" s="345">
        <v>222.5083685091621</v>
      </c>
      <c r="H15" s="345">
        <v>184.5840459823976</v>
      </c>
      <c r="I15" s="345">
        <v>213.95401004447837</v>
      </c>
      <c r="J15" s="345">
        <v>0</v>
      </c>
      <c r="K15" s="345">
        <v>0</v>
      </c>
      <c r="L15" s="345">
        <v>0</v>
      </c>
      <c r="M15" s="345">
        <v>0</v>
      </c>
      <c r="N15" s="345">
        <v>0</v>
      </c>
      <c r="O15" s="345">
        <v>0</v>
      </c>
      <c r="P15" s="345">
        <v>0</v>
      </c>
      <c r="Q15" s="345">
        <v>0</v>
      </c>
      <c r="R15" s="345">
        <v>0</v>
      </c>
      <c r="S15" s="345">
        <v>0</v>
      </c>
      <c r="T15" s="345">
        <v>0</v>
      </c>
      <c r="U15" s="345">
        <v>0</v>
      </c>
      <c r="V15" s="345">
        <v>0</v>
      </c>
      <c r="W15" s="345">
        <v>0</v>
      </c>
      <c r="X15" s="345">
        <v>0</v>
      </c>
    </row>
    <row r="16" spans="3:24" ht="12.75">
      <c r="C16" s="3" t="s">
        <v>493</v>
      </c>
      <c r="D16" s="226">
        <f aca="true" t="shared" si="3" ref="D16:I16">D15/1000</f>
        <v>0.43684257226318196</v>
      </c>
      <c r="E16" s="226">
        <f t="shared" si="3"/>
        <v>1.1400108380601839</v>
      </c>
      <c r="F16" s="226">
        <f t="shared" si="3"/>
        <v>0.2372408747538952</v>
      </c>
      <c r="G16" s="226">
        <f t="shared" si="3"/>
        <v>0.22250836850916209</v>
      </c>
      <c r="H16" s="226">
        <f t="shared" si="3"/>
        <v>0.1845840459823976</v>
      </c>
      <c r="I16" s="226">
        <f t="shared" si="3"/>
        <v>0.21395401004447837</v>
      </c>
      <c r="J16" s="3">
        <v>0</v>
      </c>
      <c r="K16" s="3">
        <v>0</v>
      </c>
      <c r="L16" s="3">
        <v>0</v>
      </c>
      <c r="M16" s="3">
        <v>0</v>
      </c>
      <c r="N16" s="3">
        <v>0</v>
      </c>
      <c r="O16" s="3">
        <v>0</v>
      </c>
      <c r="P16" s="3">
        <v>0</v>
      </c>
      <c r="Q16" s="3">
        <v>0</v>
      </c>
      <c r="R16" s="3">
        <v>0</v>
      </c>
      <c r="S16" s="3">
        <v>0</v>
      </c>
      <c r="T16" s="3">
        <v>0</v>
      </c>
      <c r="U16" s="3">
        <v>0</v>
      </c>
      <c r="V16" s="3">
        <v>0</v>
      </c>
      <c r="W16" s="3">
        <v>0</v>
      </c>
      <c r="X16" s="3">
        <v>0</v>
      </c>
    </row>
    <row r="17" ht="12.75"/>
    <row r="18" ht="12.75">
      <c r="A18" s="3" t="s">
        <v>56</v>
      </c>
    </row>
    <row r="19" ht="12.75"/>
    <row r="20" spans="2:9" ht="12.75">
      <c r="B20" s="168" t="s">
        <v>208</v>
      </c>
      <c r="I20" s="346">
        <f>'Govt Expenditure'!G5</f>
        <v>941635.7217242682</v>
      </c>
    </row>
    <row r="21" spans="2:9" ht="12.75">
      <c r="B21" s="168" t="s">
        <v>210</v>
      </c>
      <c r="I21" s="347">
        <f>I20/exrate</f>
        <v>808.271005771904</v>
      </c>
    </row>
    <row r="22" ht="12.75"/>
    <row r="23" ht="12.75">
      <c r="B23" s="20" t="s">
        <v>238</v>
      </c>
    </row>
    <row r="24" spans="2:24" ht="12.75">
      <c r="B24" s="168" t="s">
        <v>6</v>
      </c>
      <c r="E24" s="345">
        <f>'Benefit-Graduate Income'!J56-'Benefit-Graduate Income'!J12</f>
        <v>24.499086756462475</v>
      </c>
      <c r="F24" s="345">
        <f>'Benefit-Graduate Income'!K56-'Benefit-Graduate Income'!K12</f>
        <v>51.871945652261275</v>
      </c>
      <c r="G24" s="345">
        <f>'Benefit-Graduate Income'!L56-'Benefit-Graduate Income'!L12</f>
        <v>82.37195834524346</v>
      </c>
      <c r="H24" s="345">
        <f>'Benefit-Graduate Income'!M56-'Benefit-Graduate Income'!M12</f>
        <v>116.27240856594653</v>
      </c>
      <c r="I24" s="345">
        <f>'Benefit-Graduate Income'!N56-'Benefit-Graduate Income'!N12</f>
        <v>153.86795083005973</v>
      </c>
      <c r="J24" s="345">
        <f>'Benefit-Graduate Income'!O56-'Benefit-Graduate Income'!O12</f>
        <v>140.85413252777062</v>
      </c>
      <c r="K24" s="345">
        <f>'Benefit-Graduate Income'!P56-'Benefit-Graduate Income'!P12</f>
        <v>127.34934671716701</v>
      </c>
      <c r="L24" s="345">
        <f>'Benefit-Graduate Income'!Q56-'Benefit-Graduate Income'!Q12</f>
        <v>113.34050981496875</v>
      </c>
      <c r="M24" s="345">
        <f>'Benefit-Graduate Income'!R56-'Benefit-Graduate Income'!R12</f>
        <v>98.81423124626917</v>
      </c>
      <c r="N24" s="345">
        <f>'Benefit-Graduate Income'!S56-'Benefit-Graduate Income'!S12</f>
        <v>83.75680669322401</v>
      </c>
      <c r="O24" s="345">
        <f>'Benefit-Graduate Income'!T56-'Benefit-Graduate Income'!T12</f>
        <v>68.15421120083283</v>
      </c>
      <c r="P24" s="345">
        <f>'Benefit-Graduate Income'!U56-'Benefit-Graduate Income'!U12</f>
        <v>51.99209213686254</v>
      </c>
      <c r="Q24" s="345">
        <f>'Benefit-Graduate Income'!V56-'Benefit-Graduate Income'!V12</f>
        <v>35.2557620028997</v>
      </c>
      <c r="R24" s="345">
        <f>'Benefit-Graduate Income'!W56-'Benefit-Graduate Income'!W12</f>
        <v>17.93019109345596</v>
      </c>
      <c r="S24" s="345">
        <f>'Benefit-Graduate Income'!X56-'Benefit-Graduate Income'!X12</f>
        <v>0</v>
      </c>
      <c r="T24" s="345">
        <f>'Benefit-Graduate Income'!Y56-'Benefit-Graduate Income'!Y12</f>
        <v>0</v>
      </c>
      <c r="U24" s="345">
        <f>'Benefit-Graduate Income'!Z56-'Benefit-Graduate Income'!Z12</f>
        <v>0</v>
      </c>
      <c r="V24" s="345">
        <f>'Benefit-Graduate Income'!AA56-'Benefit-Graduate Income'!AA12</f>
        <v>0</v>
      </c>
      <c r="W24" s="345">
        <f>'Benefit-Graduate Income'!AB56-'Benefit-Graduate Income'!AB12</f>
        <v>0</v>
      </c>
      <c r="X24" s="345">
        <f>'Benefit-Graduate Income'!AC56-'Benefit-Graduate Income'!AC12</f>
        <v>0</v>
      </c>
    </row>
    <row r="25" spans="2:24" ht="12.75">
      <c r="B25" s="168" t="s">
        <v>7</v>
      </c>
      <c r="E25" s="345">
        <f>'Benefit-Graduate Income'!J67-'Benefit-Graduate Income'!J21</f>
        <v>58.614539036851056</v>
      </c>
      <c r="F25" s="345">
        <f>'Benefit-Graduate Income'!K67-'Benefit-Graduate Income'!K21</f>
        <v>124.10463351454564</v>
      </c>
      <c r="G25" s="345">
        <f>'Benefit-Graduate Income'!L67-'Benefit-Graduate Income'!L21</f>
        <v>197.07650395153814</v>
      </c>
      <c r="H25" s="345">
        <f>'Benefit-Graduate Income'!M67-'Benefit-Graduate Income'!M21</f>
        <v>278.18398696022723</v>
      </c>
      <c r="I25" s="345">
        <f>'Benefit-Graduate Income'!N67-'Benefit-Graduate Income'!N21</f>
        <v>368.1320491699389</v>
      </c>
      <c r="J25" s="345">
        <f>'Benefit-Graduate Income'!O67-'Benefit-Graduate Income'!O21</f>
        <v>336.99623710964715</v>
      </c>
      <c r="K25" s="345">
        <f>'Benefit-Graduate Income'!P67-'Benefit-Graduate Income'!P21</f>
        <v>304.68577578720215</v>
      </c>
      <c r="L25" s="345">
        <f>'Benefit-Graduate Income'!Q67-'Benefit-Graduate Income'!Q21</f>
        <v>271.1693624764812</v>
      </c>
      <c r="M25" s="345">
        <f>'Benefit-Graduate Income'!R67-'Benefit-Graduate Income'!R21</f>
        <v>236.41495996796402</v>
      </c>
      <c r="N25" s="345">
        <f>'Benefit-Graduate Income'!S67-'Benefit-Graduate Income'!S21</f>
        <v>200.38978041607334</v>
      </c>
      <c r="O25" s="345">
        <f>'Benefit-Graduate Income'!T67-'Benefit-Graduate Income'!T21</f>
        <v>163.0602688446379</v>
      </c>
      <c r="P25" s="345">
        <f>'Benefit-Graduate Income'!U67-'Benefit-Graduate Income'!U21</f>
        <v>124.39208630336907</v>
      </c>
      <c r="Q25" s="345">
        <f>'Benefit-Graduate Income'!V67-'Benefit-Graduate Income'!V21</f>
        <v>84.35009266815723</v>
      </c>
      <c r="R25" s="345">
        <f>'Benefit-Graduate Income'!W67-'Benefit-Graduate Income'!W21</f>
        <v>42.898329077850576</v>
      </c>
      <c r="S25" s="345">
        <f>'Benefit-Graduate Income'!X67-'Benefit-Graduate Income'!X21</f>
        <v>0</v>
      </c>
      <c r="T25" s="345">
        <f>'Benefit-Graduate Income'!Y67-'Benefit-Graduate Income'!Y21</f>
        <v>0</v>
      </c>
      <c r="U25" s="345">
        <f>'Benefit-Graduate Income'!Z67-'Benefit-Graduate Income'!Z21</f>
        <v>0</v>
      </c>
      <c r="V25" s="345">
        <f>'Benefit-Graduate Income'!AA67-'Benefit-Graduate Income'!AA21</f>
        <v>0</v>
      </c>
      <c r="W25" s="345">
        <f>'Benefit-Graduate Income'!AB67-'Benefit-Graduate Income'!AB21</f>
        <v>0</v>
      </c>
      <c r="X25" s="345">
        <f>'Benefit-Graduate Income'!AC67-'Benefit-Graduate Income'!AC21</f>
        <v>0</v>
      </c>
    </row>
    <row r="26" spans="2:24" ht="12.75">
      <c r="B26" s="168" t="s">
        <v>211</v>
      </c>
      <c r="E26" s="345">
        <f>E24+E25</f>
        <v>83.11362579331353</v>
      </c>
      <c r="F26" s="345">
        <f aca="true" t="shared" si="4" ref="F26:X26">F24+F25</f>
        <v>175.9765791668069</v>
      </c>
      <c r="G26" s="345">
        <f t="shared" si="4"/>
        <v>279.4484622967816</v>
      </c>
      <c r="H26" s="345">
        <f t="shared" si="4"/>
        <v>394.45639552617376</v>
      </c>
      <c r="I26" s="345">
        <f t="shared" si="4"/>
        <v>521.9999999999986</v>
      </c>
      <c r="J26" s="345">
        <f t="shared" si="4"/>
        <v>477.85036963741777</v>
      </c>
      <c r="K26" s="345">
        <f t="shared" si="4"/>
        <v>432.03512250436916</v>
      </c>
      <c r="L26" s="345">
        <f t="shared" si="4"/>
        <v>384.50987229144994</v>
      </c>
      <c r="M26" s="345">
        <f t="shared" si="4"/>
        <v>335.2291912142332</v>
      </c>
      <c r="N26" s="345">
        <f t="shared" si="4"/>
        <v>284.14658710929734</v>
      </c>
      <c r="O26" s="345">
        <f t="shared" si="4"/>
        <v>231.21448004547074</v>
      </c>
      <c r="P26" s="345">
        <f t="shared" si="4"/>
        <v>176.3841784402316</v>
      </c>
      <c r="Q26" s="345">
        <f t="shared" si="4"/>
        <v>119.60585467105693</v>
      </c>
      <c r="R26" s="345">
        <f t="shared" si="4"/>
        <v>60.828520171306536</v>
      </c>
      <c r="S26" s="345">
        <f t="shared" si="4"/>
        <v>0</v>
      </c>
      <c r="T26" s="345">
        <f t="shared" si="4"/>
        <v>0</v>
      </c>
      <c r="U26" s="345">
        <f t="shared" si="4"/>
        <v>0</v>
      </c>
      <c r="V26" s="345">
        <f t="shared" si="4"/>
        <v>0</v>
      </c>
      <c r="W26" s="345">
        <f t="shared" si="4"/>
        <v>0</v>
      </c>
      <c r="X26" s="345">
        <f t="shared" si="4"/>
        <v>0</v>
      </c>
    </row>
    <row r="27" spans="2:24" ht="12.75">
      <c r="B27" s="168" t="s">
        <v>212</v>
      </c>
      <c r="E27" s="348">
        <f>E26*$I$21/1000000</f>
        <v>0.06717833391331118</v>
      </c>
      <c r="F27" s="348">
        <f aca="true" t="shared" si="5" ref="F27:X27">F26*$I$21/1000000</f>
        <v>0.14223676663545412</v>
      </c>
      <c r="G27" s="348">
        <f t="shared" si="5"/>
        <v>0.22587008968203165</v>
      </c>
      <c r="H27" s="348">
        <f t="shared" si="5"/>
        <v>0.31882766754510045</v>
      </c>
      <c r="I27" s="348">
        <f t="shared" si="5"/>
        <v>0.42191746501293276</v>
      </c>
      <c r="J27" s="348">
        <f t="shared" si="5"/>
        <v>0.3862325988753118</v>
      </c>
      <c r="K27" s="348">
        <f t="shared" si="5"/>
        <v>0.3492014629953942</v>
      </c>
      <c r="L27" s="348">
        <f t="shared" si="5"/>
        <v>0.3107881812062366</v>
      </c>
      <c r="M27" s="348">
        <f t="shared" si="5"/>
        <v>0.27095603554683023</v>
      </c>
      <c r="N27" s="348">
        <f t="shared" si="5"/>
        <v>0.2296674477494857</v>
      </c>
      <c r="O27" s="348">
        <f t="shared" si="5"/>
        <v>0.18688396033538046</v>
      </c>
      <c r="P27" s="348">
        <f t="shared" si="5"/>
        <v>0.142566217310137</v>
      </c>
      <c r="Q27" s="348">
        <f t="shared" si="5"/>
        <v>0.09667394445118337</v>
      </c>
      <c r="R27" s="348">
        <f t="shared" si="5"/>
        <v>0.049165929178478486</v>
      </c>
      <c r="S27" s="348">
        <f t="shared" si="5"/>
        <v>0</v>
      </c>
      <c r="T27" s="348">
        <f t="shared" si="5"/>
        <v>0</v>
      </c>
      <c r="U27" s="348">
        <f t="shared" si="5"/>
        <v>0</v>
      </c>
      <c r="V27" s="348">
        <f t="shared" si="5"/>
        <v>0</v>
      </c>
      <c r="W27" s="348">
        <f t="shared" si="5"/>
        <v>0</v>
      </c>
      <c r="X27" s="348">
        <f t="shared" si="5"/>
        <v>0</v>
      </c>
    </row>
    <row r="28" spans="5:24" ht="12.75">
      <c r="E28" s="348"/>
      <c r="F28" s="348"/>
      <c r="G28" s="348"/>
      <c r="H28" s="348"/>
      <c r="I28" s="348"/>
      <c r="J28" s="348"/>
      <c r="K28" s="348"/>
      <c r="L28" s="348"/>
      <c r="M28" s="348"/>
      <c r="N28" s="348"/>
      <c r="O28" s="348"/>
      <c r="P28" s="348"/>
      <c r="Q28" s="348"/>
      <c r="R28" s="348"/>
      <c r="S28" s="348"/>
      <c r="T28" s="348"/>
      <c r="U28" s="348"/>
      <c r="V28" s="348"/>
      <c r="W28" s="348"/>
      <c r="X28" s="348"/>
    </row>
    <row r="29" spans="2:24" ht="12.75">
      <c r="B29" s="20" t="s">
        <v>239</v>
      </c>
      <c r="E29" s="348"/>
      <c r="F29" s="348"/>
      <c r="G29" s="348"/>
      <c r="H29" s="348"/>
      <c r="I29" s="348"/>
      <c r="J29" s="348"/>
      <c r="K29" s="348"/>
      <c r="L29" s="348"/>
      <c r="M29" s="348"/>
      <c r="N29" s="348"/>
      <c r="O29" s="348"/>
      <c r="P29" s="348"/>
      <c r="Q29" s="348"/>
      <c r="R29" s="348"/>
      <c r="S29" s="348"/>
      <c r="T29" s="348"/>
      <c r="U29" s="348"/>
      <c r="V29" s="348"/>
      <c r="W29" s="348"/>
      <c r="X29" s="348"/>
    </row>
    <row r="30" spans="2:24" ht="12.75">
      <c r="B30" s="168" t="s">
        <v>240</v>
      </c>
      <c r="E30" s="348">
        <f>F24+G24+0.5*H24</f>
        <v>192.380108280478</v>
      </c>
      <c r="F30" s="348">
        <f aca="true" t="shared" si="6" ref="F30:X30">G24+H24+0.5*I24</f>
        <v>275.57834232621985</v>
      </c>
      <c r="G30" s="348">
        <f t="shared" si="6"/>
        <v>340.56742565989157</v>
      </c>
      <c r="H30" s="348">
        <f t="shared" si="6"/>
        <v>358.39675671641385</v>
      </c>
      <c r="I30" s="348">
        <f t="shared" si="6"/>
        <v>324.873734152422</v>
      </c>
      <c r="J30" s="348">
        <f t="shared" si="6"/>
        <v>290.09697215527035</v>
      </c>
      <c r="K30" s="348">
        <f t="shared" si="6"/>
        <v>254.03314440784993</v>
      </c>
      <c r="L30" s="348">
        <f t="shared" si="6"/>
        <v>216.6481435399096</v>
      </c>
      <c r="M30" s="348">
        <f t="shared" si="6"/>
        <v>177.9070639624881</v>
      </c>
      <c r="N30" s="348">
        <f t="shared" si="6"/>
        <v>137.77418433914522</v>
      </c>
      <c r="O30" s="348">
        <f t="shared" si="6"/>
        <v>96.21294968649022</v>
      </c>
      <c r="P30" s="348">
        <f t="shared" si="6"/>
        <v>53.18595309635566</v>
      </c>
      <c r="Q30" s="348">
        <f t="shared" si="6"/>
        <v>17.93019109345596</v>
      </c>
      <c r="R30" s="348">
        <f t="shared" si="6"/>
        <v>0</v>
      </c>
      <c r="S30" s="348">
        <f t="shared" si="6"/>
        <v>0</v>
      </c>
      <c r="T30" s="348">
        <f t="shared" si="6"/>
        <v>0</v>
      </c>
      <c r="U30" s="348">
        <f t="shared" si="6"/>
        <v>0</v>
      </c>
      <c r="V30" s="348">
        <f t="shared" si="6"/>
        <v>0</v>
      </c>
      <c r="W30" s="348">
        <f t="shared" si="6"/>
        <v>0</v>
      </c>
      <c r="X30" s="348">
        <f t="shared" si="6"/>
        <v>0</v>
      </c>
    </row>
    <row r="31" spans="2:24" ht="12.75">
      <c r="B31" s="168" t="s">
        <v>224</v>
      </c>
      <c r="E31" s="348">
        <f>'Benefit-Graduate Income'!J44</f>
        <v>886.3176</v>
      </c>
      <c r="F31" s="348">
        <f>'Benefit-Graduate Income'!K44</f>
        <v>970.6418564639999</v>
      </c>
      <c r="G31" s="348">
        <f>'Benefit-Graduate Income'!L44</f>
        <v>1014.4566298647849</v>
      </c>
      <c r="H31" s="348">
        <f>'Benefit-Graduate Income'!M44</f>
        <v>1060.2492021368812</v>
      </c>
      <c r="I31" s="348">
        <f>'Benefit-Graduate Income'!N44</f>
        <v>1108.10885112134</v>
      </c>
      <c r="J31" s="348">
        <f>'Benefit-Graduate Income'!O44</f>
        <v>1158.1288846609573</v>
      </c>
      <c r="K31" s="348">
        <f>'Benefit-Graduate Income'!P44</f>
        <v>1198.8255336679433</v>
      </c>
      <c r="L31" s="348">
        <f>'Benefit-Graduate Income'!Q44</f>
        <v>1240.9522629210348</v>
      </c>
      <c r="M31" s="348">
        <f>'Benefit-Graduate Income'!R44</f>
        <v>1284.5593254400799</v>
      </c>
      <c r="N31" s="348">
        <f>'Benefit-Graduate Income'!S44</f>
        <v>1329.6987401360443</v>
      </c>
      <c r="O31" s="348">
        <f>'Benefit-Graduate Income'!T44</f>
        <v>1376.4243538644248</v>
      </c>
      <c r="P31" s="348">
        <f>'Benefit-Graduate Income'!U44</f>
        <v>1424.7919056592207</v>
      </c>
      <c r="Q31" s="348">
        <f>'Benefit-Graduate Income'!V44</f>
        <v>1467.7351336957897</v>
      </c>
      <c r="R31" s="348">
        <f>'Benefit-Graduate Income'!W44</f>
        <v>1511.972670625381</v>
      </c>
      <c r="S31" s="348">
        <f>'Benefit-Graduate Income'!X44</f>
        <v>1557.54352691803</v>
      </c>
      <c r="T31" s="348">
        <f>'Benefit-Graduate Income'!Y44</f>
        <v>1604.4878888193396</v>
      </c>
      <c r="U31" s="348">
        <f>'Benefit-Graduate Income'!Z44</f>
        <v>1652.8471537883545</v>
      </c>
      <c r="V31" s="348">
        <f>'Benefit-Graduate Income'!AA44</f>
        <v>1702.6639670035356</v>
      </c>
      <c r="W31" s="348">
        <f>'Benefit-Graduate Income'!AB44</f>
        <v>1753.9822589690223</v>
      </c>
      <c r="X31" s="348">
        <f>'Benefit-Graduate Income'!AC44</f>
        <v>1806.8472842543488</v>
      </c>
    </row>
    <row r="32" spans="2:24" ht="12.75">
      <c r="B32" s="168" t="s">
        <v>241</v>
      </c>
      <c r="E32" s="348">
        <f>E30*E31/1000000</f>
        <v>0.17050987585889338</v>
      </c>
      <c r="F32" s="348">
        <f aca="true" t="shared" si="7" ref="F32:X32">F30*F31/1000000</f>
        <v>0.26748787379679373</v>
      </c>
      <c r="G32" s="348">
        <f t="shared" si="7"/>
        <v>0.3454908828766593</v>
      </c>
      <c r="H32" s="348">
        <f t="shared" si="7"/>
        <v>0.37998987535702367</v>
      </c>
      <c r="I32" s="348">
        <f t="shared" si="7"/>
        <v>0.35999546031114</v>
      </c>
      <c r="J32" s="348">
        <f t="shared" si="7"/>
        <v>0.335969682805704</v>
      </c>
      <c r="K32" s="348">
        <f t="shared" si="7"/>
        <v>0.3045414199140864</v>
      </c>
      <c r="L32" s="348">
        <f t="shared" si="7"/>
        <v>0.26885000398349196</v>
      </c>
      <c r="M32" s="348">
        <f t="shared" si="7"/>
        <v>0.22853217807467888</v>
      </c>
      <c r="N32" s="348">
        <f t="shared" si="7"/>
        <v>0.18319815933903252</v>
      </c>
      <c r="O32" s="348">
        <f t="shared" si="7"/>
        <v>0.13242984710561773</v>
      </c>
      <c r="P32" s="348">
        <f t="shared" si="7"/>
        <v>0.07577891546645851</v>
      </c>
      <c r="Q32" s="348">
        <f t="shared" si="7"/>
        <v>0.026316771421744642</v>
      </c>
      <c r="R32" s="348">
        <f t="shared" si="7"/>
        <v>0</v>
      </c>
      <c r="S32" s="348">
        <f t="shared" si="7"/>
        <v>0</v>
      </c>
      <c r="T32" s="348">
        <f t="shared" si="7"/>
        <v>0</v>
      </c>
      <c r="U32" s="348">
        <f t="shared" si="7"/>
        <v>0</v>
      </c>
      <c r="V32" s="348">
        <f t="shared" si="7"/>
        <v>0</v>
      </c>
      <c r="W32" s="348">
        <f t="shared" si="7"/>
        <v>0</v>
      </c>
      <c r="X32" s="348">
        <f t="shared" si="7"/>
        <v>0</v>
      </c>
    </row>
    <row r="33" ht="12.75"/>
    <row r="34" spans="1:24" ht="12.75">
      <c r="A34" s="3" t="s">
        <v>213</v>
      </c>
      <c r="E34" s="348">
        <f>E11+E27+E32</f>
        <v>1.9001882097722047</v>
      </c>
      <c r="F34" s="348">
        <f aca="true" t="shared" si="8" ref="F34:X34">F11+F27+F32</f>
        <v>8.732524640432247</v>
      </c>
      <c r="G34" s="348">
        <f t="shared" si="8"/>
        <v>8.98536097255869</v>
      </c>
      <c r="H34" s="348">
        <f t="shared" si="8"/>
        <v>5.989017542902124</v>
      </c>
      <c r="I34" s="348">
        <f t="shared" si="8"/>
        <v>1.7561129253240728</v>
      </c>
      <c r="J34" s="348">
        <f t="shared" si="8"/>
        <v>0.7222022816810159</v>
      </c>
      <c r="K34" s="348">
        <f t="shared" si="8"/>
        <v>0.6537428829094806</v>
      </c>
      <c r="L34" s="348">
        <f t="shared" si="8"/>
        <v>0.5796381851897285</v>
      </c>
      <c r="M34" s="348">
        <f t="shared" si="8"/>
        <v>0.4994882136215091</v>
      </c>
      <c r="N34" s="348">
        <f t="shared" si="8"/>
        <v>0.4128656070885182</v>
      </c>
      <c r="O34" s="348">
        <f t="shared" si="8"/>
        <v>0.3193138074409982</v>
      </c>
      <c r="P34" s="348">
        <f t="shared" si="8"/>
        <v>0.2183451327765955</v>
      </c>
      <c r="Q34" s="348">
        <f t="shared" si="8"/>
        <v>0.12299071587292801</v>
      </c>
      <c r="R34" s="348">
        <f t="shared" si="8"/>
        <v>0.049165929178478486</v>
      </c>
      <c r="S34" s="348">
        <f t="shared" si="8"/>
        <v>0</v>
      </c>
      <c r="T34" s="348">
        <f t="shared" si="8"/>
        <v>0</v>
      </c>
      <c r="U34" s="348">
        <f t="shared" si="8"/>
        <v>0</v>
      </c>
      <c r="V34" s="348">
        <f t="shared" si="8"/>
        <v>0</v>
      </c>
      <c r="W34" s="348">
        <f t="shared" si="8"/>
        <v>0</v>
      </c>
      <c r="X34" s="348">
        <f t="shared" si="8"/>
        <v>0</v>
      </c>
    </row>
  </sheetData>
  <mergeCells count="1">
    <mergeCell ref="D1:L1"/>
  </mergeCells>
  <conditionalFormatting sqref="D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dimension ref="A1:I15"/>
  <sheetViews>
    <sheetView workbookViewId="0" topLeftCell="A1">
      <selection activeCell="D45" sqref="D45"/>
    </sheetView>
  </sheetViews>
  <sheetFormatPr defaultColWidth="9.140625" defaultRowHeight="12.75"/>
  <cols>
    <col min="1" max="1" width="43.140625" style="0" customWidth="1"/>
    <col min="2" max="2" width="24.57421875" style="0" customWidth="1"/>
    <col min="3" max="3" width="17.00390625" style="0" customWidth="1"/>
    <col min="4" max="4" width="28.57421875" style="0" customWidth="1"/>
    <col min="5" max="5" width="32.57421875" style="0" customWidth="1"/>
    <col min="6" max="6" width="18.28125" style="0" customWidth="1"/>
  </cols>
  <sheetData>
    <row r="1" spans="1:9" ht="12.75" customHeight="1">
      <c r="A1" s="468">
        <f>IF('ERR &amp; Sensitivity Analysis'!$I$10="N","Note: Current calculations are based on user input and are not the original MCC estimates.",IF('ERR &amp; Sensitivity Analysis'!$I$11="N","Note: Current calculations are based on user input and are not the original MCC estimates.",0))</f>
        <v>0</v>
      </c>
      <c r="B1" s="468"/>
      <c r="C1" s="468"/>
      <c r="D1" s="415" t="s">
        <v>564</v>
      </c>
      <c r="E1" s="388">
        <v>39310</v>
      </c>
      <c r="F1" s="441"/>
      <c r="G1" s="441"/>
      <c r="H1" s="441"/>
      <c r="I1" s="441"/>
    </row>
    <row r="2" spans="1:9" ht="12.75" customHeight="1">
      <c r="A2" s="436"/>
      <c r="B2" s="436"/>
      <c r="C2" s="436"/>
      <c r="D2" s="415"/>
      <c r="E2" s="388"/>
      <c r="F2" s="441"/>
      <c r="G2" s="441"/>
      <c r="H2" s="441"/>
      <c r="I2" s="441"/>
    </row>
    <row r="3" spans="3:6" ht="12.75">
      <c r="C3" s="3" t="s">
        <v>271</v>
      </c>
      <c r="D3" s="3" t="s">
        <v>272</v>
      </c>
      <c r="E3" s="3" t="s">
        <v>273</v>
      </c>
      <c r="F3" s="3" t="s">
        <v>275</v>
      </c>
    </row>
    <row r="4" spans="1:5" ht="12.75">
      <c r="A4" s="174" t="s">
        <v>57</v>
      </c>
      <c r="B4" s="174" t="s">
        <v>89</v>
      </c>
      <c r="C4" s="9">
        <f>Graduates!G5</f>
        <v>272</v>
      </c>
      <c r="D4" s="192">
        <f>Salaries!F56</f>
        <v>0.683</v>
      </c>
      <c r="E4">
        <f aca="true" t="shared" si="0" ref="E4:E9">D4*C4</f>
        <v>185.776</v>
      </c>
    </row>
    <row r="5" spans="1:5" ht="12.75">
      <c r="A5" s="174" t="s">
        <v>59</v>
      </c>
      <c r="B5" s="174" t="s">
        <v>98</v>
      </c>
      <c r="C5" s="9">
        <f>Graduates!G7</f>
        <v>191</v>
      </c>
      <c r="D5" s="1">
        <f>Salaries!F194</f>
        <v>0.74</v>
      </c>
      <c r="E5">
        <f t="shared" si="0"/>
        <v>141.34</v>
      </c>
    </row>
    <row r="6" spans="1:5" ht="12.75">
      <c r="A6" s="174" t="s">
        <v>60</v>
      </c>
      <c r="B6" s="174" t="s">
        <v>93</v>
      </c>
      <c r="C6" s="9">
        <f>Graduates!G8</f>
        <v>272</v>
      </c>
      <c r="D6" s="192">
        <f>Salaries!F88</f>
        <v>0.638</v>
      </c>
      <c r="E6">
        <f t="shared" si="0"/>
        <v>173.536</v>
      </c>
    </row>
    <row r="7" spans="1:5" ht="12.75">
      <c r="A7" s="174" t="s">
        <v>61</v>
      </c>
      <c r="B7" s="174" t="s">
        <v>92</v>
      </c>
      <c r="C7" s="9">
        <f>Graduates!G9</f>
        <v>253</v>
      </c>
      <c r="D7" s="1">
        <f>Salaries!F118</f>
        <v>0.68</v>
      </c>
      <c r="E7">
        <f t="shared" si="0"/>
        <v>172.04000000000002</v>
      </c>
    </row>
    <row r="8" spans="1:5" ht="12.75">
      <c r="A8" s="174" t="s">
        <v>62</v>
      </c>
      <c r="B8" s="174" t="s">
        <v>91</v>
      </c>
      <c r="C8" s="9">
        <f>Graduates!G10</f>
        <v>306</v>
      </c>
      <c r="D8" s="1">
        <f>Salaries!F138</f>
        <v>0.6</v>
      </c>
      <c r="E8">
        <f t="shared" si="0"/>
        <v>183.6</v>
      </c>
    </row>
    <row r="9" spans="1:5" ht="12.75">
      <c r="A9" s="174" t="s">
        <v>63</v>
      </c>
      <c r="B9" s="174" t="s">
        <v>110</v>
      </c>
      <c r="C9" s="9">
        <f>Graduates!G11</f>
        <v>354</v>
      </c>
      <c r="D9" s="1">
        <f>Salaries!F281</f>
        <v>0.9</v>
      </c>
      <c r="E9">
        <f t="shared" si="0"/>
        <v>318.6</v>
      </c>
    </row>
    <row r="10" spans="1:6" ht="12.75">
      <c r="A10" s="174" t="s">
        <v>28</v>
      </c>
      <c r="C10" s="9">
        <f>SUM(C4:C9)</f>
        <v>1648</v>
      </c>
      <c r="E10">
        <f>SUM(E4:E9)</f>
        <v>1174.892</v>
      </c>
      <c r="F10" s="1">
        <f>E10/C10</f>
        <v>0.7129199029126214</v>
      </c>
    </row>
    <row r="11" spans="1:3" ht="12.75">
      <c r="A11" s="174"/>
      <c r="B11" s="191"/>
      <c r="C11" s="9"/>
    </row>
    <row r="12" spans="1:3" ht="12.75">
      <c r="A12" s="175" t="s">
        <v>274</v>
      </c>
      <c r="B12" s="191"/>
      <c r="C12" s="9"/>
    </row>
    <row r="13" spans="1:3" ht="12.75">
      <c r="A13" s="174" t="s">
        <v>58</v>
      </c>
      <c r="B13" s="174" t="s">
        <v>244</v>
      </c>
      <c r="C13" s="9">
        <f>Graduates!G6</f>
        <v>406</v>
      </c>
    </row>
    <row r="14" spans="1:3" ht="14.25">
      <c r="A14" s="174" t="s">
        <v>64</v>
      </c>
      <c r="B14" s="191" t="s">
        <v>270</v>
      </c>
      <c r="C14" s="9">
        <f>Graduates!G12</f>
        <v>272</v>
      </c>
    </row>
    <row r="15" spans="1:2" ht="12.75">
      <c r="A15" s="189">
        <v>3</v>
      </c>
      <c r="B15" s="190" t="s">
        <v>248</v>
      </c>
    </row>
  </sheetData>
  <mergeCells count="1">
    <mergeCell ref="A1:C1"/>
  </mergeCells>
  <conditionalFormatting sqref="A1:A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BX552"/>
  <sheetViews>
    <sheetView workbookViewId="0" topLeftCell="A1">
      <pane xSplit="2" topLeftCell="C1" activePane="topRight" state="frozen"/>
      <selection pane="topLeft" activeCell="A1" sqref="A1"/>
      <selection pane="topRight" activeCell="A4" sqref="A4"/>
    </sheetView>
  </sheetViews>
  <sheetFormatPr defaultColWidth="9.140625" defaultRowHeight="12.75"/>
  <cols>
    <col min="1" max="2" width="10.140625" style="0" customWidth="1"/>
    <col min="3" max="3" width="16.00390625" style="0" customWidth="1"/>
    <col min="4" max="5" width="10.140625" style="0" customWidth="1"/>
    <col min="6" max="6" width="9.57421875" style="0" customWidth="1"/>
    <col min="7" max="7" width="10.28125" style="13" customWidth="1"/>
    <col min="8" max="8" width="7.8515625" style="0" customWidth="1"/>
    <col min="9" max="9" width="12.57421875" style="0" customWidth="1"/>
    <col min="10" max="18" width="10.140625" style="0" customWidth="1"/>
    <col min="19" max="20" width="10.140625" style="13" customWidth="1"/>
    <col min="21" max="16384" width="10.140625" style="0" customWidth="1"/>
  </cols>
  <sheetData>
    <row r="1" spans="1:20" s="199" customFormat="1" ht="12.75">
      <c r="A1" s="199" t="s">
        <v>585</v>
      </c>
      <c r="G1" s="200"/>
      <c r="L1" s="387" t="s">
        <v>564</v>
      </c>
      <c r="M1" s="388">
        <v>39310</v>
      </c>
      <c r="S1" s="200"/>
      <c r="T1" s="200"/>
    </row>
    <row r="2" ht="12.75">
      <c r="A2" s="12" t="s">
        <v>507</v>
      </c>
    </row>
    <row r="3" spans="1:17" ht="12.75" customHeight="1">
      <c r="A3" s="468">
        <f>IF('ERR &amp; Sensitivity Analysis'!$I$10="N","Note: Current calculations are based on user input and are not the original MCC estimates.",IF('ERR &amp; Sensitivity Analysis'!$I$11="N","Note: Current calculations are based on user input and are not the original MCC estimates.",0))</f>
        <v>0</v>
      </c>
      <c r="B3" s="468"/>
      <c r="C3" s="468"/>
      <c r="D3" s="468"/>
      <c r="E3" s="468"/>
      <c r="F3" s="468"/>
      <c r="G3" s="468"/>
      <c r="H3" s="468"/>
      <c r="N3" s="14" t="s">
        <v>144</v>
      </c>
      <c r="O3" s="15"/>
      <c r="P3" s="15"/>
      <c r="Q3" s="15"/>
    </row>
    <row r="4" spans="1:17" ht="12.75">
      <c r="A4" s="12"/>
      <c r="C4" t="s">
        <v>209</v>
      </c>
      <c r="F4">
        <v>1165</v>
      </c>
      <c r="G4"/>
      <c r="N4" s="16" t="s">
        <v>142</v>
      </c>
      <c r="O4" s="173" t="s">
        <v>111</v>
      </c>
      <c r="P4" s="173" t="s">
        <v>112</v>
      </c>
      <c r="Q4" s="15" t="s">
        <v>114</v>
      </c>
    </row>
    <row r="5" spans="1:17" ht="12.75">
      <c r="A5" s="12"/>
      <c r="G5"/>
      <c r="N5" s="15"/>
      <c r="O5" s="15">
        <v>60</v>
      </c>
      <c r="P5" s="15">
        <v>80</v>
      </c>
      <c r="Q5" s="108">
        <f>AVERAGE(O5:P5)</f>
        <v>70</v>
      </c>
    </row>
    <row r="6" spans="1:17" ht="26.25" thickBot="1">
      <c r="A6" s="12"/>
      <c r="C6" s="160" t="s">
        <v>410</v>
      </c>
      <c r="D6" s="476"/>
      <c r="E6" s="476"/>
      <c r="F6" s="161"/>
      <c r="G6" s="161"/>
      <c r="H6" s="476"/>
      <c r="I6" s="476"/>
      <c r="N6" s="15"/>
      <c r="O6" s="15"/>
      <c r="P6" s="15"/>
      <c r="Q6" s="15"/>
    </row>
    <row r="7" spans="1:17" ht="13.5" thickBot="1">
      <c r="A7" s="12"/>
      <c r="C7" s="177"/>
      <c r="D7" s="481" t="s">
        <v>409</v>
      </c>
      <c r="E7" s="482"/>
      <c r="F7" s="483"/>
      <c r="G7" s="178"/>
      <c r="H7" s="481" t="s">
        <v>24</v>
      </c>
      <c r="I7" s="484"/>
      <c r="J7" s="485"/>
      <c r="N7" s="16" t="s">
        <v>143</v>
      </c>
      <c r="O7" s="15"/>
      <c r="P7" s="15"/>
      <c r="Q7" s="15"/>
    </row>
    <row r="8" spans="1:17" ht="27" customHeight="1" thickBot="1">
      <c r="A8" s="12"/>
      <c r="C8" s="163"/>
      <c r="D8" s="477" t="s">
        <v>267</v>
      </c>
      <c r="E8" s="478"/>
      <c r="F8" s="180"/>
      <c r="G8" s="184"/>
      <c r="H8" s="477" t="s">
        <v>267</v>
      </c>
      <c r="I8" s="478"/>
      <c r="J8" s="180"/>
      <c r="N8" s="15"/>
      <c r="O8" s="17">
        <f>ROUND(O5*exrate,-4)</f>
        <v>70000</v>
      </c>
      <c r="P8" s="17">
        <f>ROUND(P5*exrate,-4)</f>
        <v>90000</v>
      </c>
      <c r="Q8" s="15"/>
    </row>
    <row r="9" spans="1:14" ht="36.75" customHeight="1" thickBot="1">
      <c r="A9" s="12"/>
      <c r="C9" s="162" t="s">
        <v>214</v>
      </c>
      <c r="D9" s="179">
        <v>2005</v>
      </c>
      <c r="E9" s="181">
        <v>2015</v>
      </c>
      <c r="F9" s="179" t="s">
        <v>215</v>
      </c>
      <c r="G9" s="185"/>
      <c r="H9" s="179">
        <v>2005</v>
      </c>
      <c r="I9" s="181">
        <v>2015</v>
      </c>
      <c r="J9" s="179" t="s">
        <v>215</v>
      </c>
      <c r="N9" s="13"/>
    </row>
    <row r="10" spans="1:14" ht="26.25" thickBot="1">
      <c r="A10" s="12"/>
      <c r="C10" s="162" t="s">
        <v>216</v>
      </c>
      <c r="D10" s="182">
        <f>'Benefit-Graduate Income'!G12</f>
        <v>2326</v>
      </c>
      <c r="E10" s="183">
        <f>'Benefit-Graduate Income'!Q12</f>
        <v>3532.1354137036014</v>
      </c>
      <c r="F10" s="182">
        <f>AU56</f>
        <v>118765.91354585781</v>
      </c>
      <c r="G10" s="186"/>
      <c r="H10" s="182">
        <f>D10</f>
        <v>2326</v>
      </c>
      <c r="I10" s="182">
        <f>'Benefit-Graduate Income'!Q56</f>
        <v>3645.47592351857</v>
      </c>
      <c r="J10" s="182">
        <f>F10*(1+wage_dif_mcc)</f>
        <v>129811.14350562259</v>
      </c>
      <c r="N10" s="13" t="s">
        <v>399</v>
      </c>
    </row>
    <row r="11" spans="1:14" ht="51.75" thickBot="1">
      <c r="A11" s="12"/>
      <c r="C11" s="162" t="s">
        <v>217</v>
      </c>
      <c r="D11" s="182">
        <f>'Benefit-Graduate Income'!G21</f>
        <v>5565</v>
      </c>
      <c r="E11" s="183">
        <f>'Benefit-Graduate Income'!Q21</f>
        <v>8450.70231180591</v>
      </c>
      <c r="F11" s="182">
        <f>AU56</f>
        <v>118765.91354585781</v>
      </c>
      <c r="G11" s="186"/>
      <c r="H11" s="182">
        <f>D11</f>
        <v>5565</v>
      </c>
      <c r="I11" s="182">
        <f>'Benefit-Graduate Income'!Q67</f>
        <v>8721.87167428239</v>
      </c>
      <c r="J11" s="182">
        <f>F11*(1+wage_dif_nonmcc)</f>
        <v>122079.48253378725</v>
      </c>
      <c r="N11" t="s">
        <v>400</v>
      </c>
    </row>
    <row r="12" spans="1:14" ht="26.25" thickBot="1">
      <c r="A12" s="12"/>
      <c r="C12" s="162" t="s">
        <v>218</v>
      </c>
      <c r="D12" s="479" t="s">
        <v>219</v>
      </c>
      <c r="E12" s="480"/>
      <c r="F12" s="182">
        <f>Q5*exrate</f>
        <v>81550</v>
      </c>
      <c r="G12" s="163"/>
      <c r="H12" s="162" t="s">
        <v>219</v>
      </c>
      <c r="I12" s="162"/>
      <c r="J12" s="182">
        <f>F12</f>
        <v>81550</v>
      </c>
      <c r="N12" t="s">
        <v>401</v>
      </c>
    </row>
    <row r="13" spans="1:14" ht="12.75">
      <c r="A13" s="12"/>
      <c r="C13" s="164" t="s">
        <v>584</v>
      </c>
      <c r="N13" t="s">
        <v>402</v>
      </c>
    </row>
    <row r="14" ht="12.75">
      <c r="A14" s="12"/>
    </row>
    <row r="15" ht="12.75">
      <c r="A15" s="12"/>
    </row>
    <row r="16" ht="12.75">
      <c r="A16" s="12"/>
    </row>
    <row r="17" ht="12.75">
      <c r="A17" s="12"/>
    </row>
    <row r="18" ht="12.75">
      <c r="A18" s="12"/>
    </row>
    <row r="19" ht="12.75">
      <c r="A19" s="12"/>
    </row>
    <row r="20" ht="12.75">
      <c r="A20" s="12"/>
    </row>
    <row r="21" ht="12.75">
      <c r="A21" s="12"/>
    </row>
    <row r="22" spans="1:59" ht="12.75">
      <c r="A22" s="12"/>
      <c r="BG22" t="s">
        <v>249</v>
      </c>
    </row>
    <row r="23" spans="1:64" ht="12.75">
      <c r="A23" s="12"/>
      <c r="BG23" t="s">
        <v>250</v>
      </c>
      <c r="BL23" s="3" t="s">
        <v>249</v>
      </c>
    </row>
    <row r="24" spans="1:64" ht="38.25">
      <c r="A24" s="12"/>
      <c r="BG24" s="160"/>
      <c r="BH24" s="160" t="s">
        <v>251</v>
      </c>
      <c r="BI24" s="160" t="s">
        <v>252</v>
      </c>
      <c r="BJ24" s="160" t="s">
        <v>253</v>
      </c>
      <c r="BL24" s="176" t="s">
        <v>261</v>
      </c>
    </row>
    <row r="25" spans="1:66" ht="12.75">
      <c r="A25" s="12"/>
      <c r="BG25">
        <v>1</v>
      </c>
      <c r="BH25" t="s">
        <v>254</v>
      </c>
      <c r="BI25">
        <v>140</v>
      </c>
      <c r="BJ25">
        <v>250</v>
      </c>
      <c r="BL25" t="s">
        <v>255</v>
      </c>
      <c r="BM25">
        <f>AVERAGE(BI25:BI39)</f>
        <v>140</v>
      </c>
      <c r="BN25">
        <f>AVERAGE(BJ25:BJ39)</f>
        <v>283.3333333333333</v>
      </c>
    </row>
    <row r="26" spans="1:66" ht="12.75">
      <c r="A26" s="12"/>
      <c r="BG26">
        <v>2</v>
      </c>
      <c r="BH26" t="s">
        <v>254</v>
      </c>
      <c r="BI26">
        <v>140</v>
      </c>
      <c r="BJ26">
        <v>250</v>
      </c>
      <c r="BL26" t="s">
        <v>256</v>
      </c>
      <c r="BN26" s="1">
        <f>(BN25-BM25)/BM25</f>
        <v>1.0238095238095237</v>
      </c>
    </row>
    <row r="27" spans="1:62" ht="12.75">
      <c r="A27" s="12"/>
      <c r="BG27">
        <v>3</v>
      </c>
      <c r="BH27" t="s">
        <v>254</v>
      </c>
      <c r="BI27">
        <v>140</v>
      </c>
      <c r="BJ27">
        <v>250</v>
      </c>
    </row>
    <row r="28" spans="1:64" ht="12.75">
      <c r="A28" s="12"/>
      <c r="BG28">
        <v>4</v>
      </c>
      <c r="BH28" t="s">
        <v>254</v>
      </c>
      <c r="BI28">
        <v>140</v>
      </c>
      <c r="BJ28">
        <v>250</v>
      </c>
      <c r="BL28" s="20" t="s">
        <v>262</v>
      </c>
    </row>
    <row r="29" spans="1:66" ht="12.75">
      <c r="A29" s="12"/>
      <c r="BG29">
        <v>5</v>
      </c>
      <c r="BH29" t="s">
        <v>254</v>
      </c>
      <c r="BI29">
        <v>160</v>
      </c>
      <c r="BJ29">
        <v>250</v>
      </c>
      <c r="BL29" t="s">
        <v>255</v>
      </c>
      <c r="BM29">
        <f>AVERAGE(BI44:BI54)</f>
        <v>132.6</v>
      </c>
      <c r="BN29">
        <f>AVERAGE(BJ44:BJ54)</f>
        <v>320.54545454545456</v>
      </c>
    </row>
    <row r="30" spans="3:66" ht="12.75">
      <c r="C30" t="s">
        <v>291</v>
      </c>
      <c r="D30" t="s">
        <v>292</v>
      </c>
      <c r="BG30">
        <v>6</v>
      </c>
      <c r="BH30" t="s">
        <v>254</v>
      </c>
      <c r="BI30">
        <v>140</v>
      </c>
      <c r="BJ30">
        <v>300</v>
      </c>
      <c r="BL30" t="s">
        <v>256</v>
      </c>
      <c r="BN30" s="1">
        <f>(BN29-BM29)/BM29</f>
        <v>1.4173865350335941</v>
      </c>
    </row>
    <row r="31" spans="3:62" ht="12.75">
      <c r="C31">
        <v>10</v>
      </c>
      <c r="D31">
        <f>PERCENTILE(D56:D356,C31/100)</f>
        <v>70000</v>
      </c>
      <c r="BG31">
        <v>7</v>
      </c>
      <c r="BH31" t="s">
        <v>254</v>
      </c>
      <c r="BI31">
        <v>150</v>
      </c>
      <c r="BJ31">
        <v>300</v>
      </c>
    </row>
    <row r="32" spans="3:64" ht="12.75">
      <c r="C32">
        <v>20</v>
      </c>
      <c r="D32">
        <f aca="true" t="shared" si="0" ref="D32:D40">PERCENTILE(D57:D357,C32/100)</f>
        <v>80000</v>
      </c>
      <c r="BG32">
        <v>8</v>
      </c>
      <c r="BH32" t="s">
        <v>254</v>
      </c>
      <c r="BI32">
        <v>120</v>
      </c>
      <c r="BJ32">
        <v>300</v>
      </c>
      <c r="BL32" s="3" t="s">
        <v>264</v>
      </c>
    </row>
    <row r="33" spans="3:64" ht="12.75">
      <c r="C33">
        <v>30</v>
      </c>
      <c r="D33">
        <f t="shared" si="0"/>
        <v>90000</v>
      </c>
      <c r="BG33">
        <v>9</v>
      </c>
      <c r="BH33" t="s">
        <v>254</v>
      </c>
      <c r="BI33">
        <v>140</v>
      </c>
      <c r="BJ33">
        <v>300</v>
      </c>
      <c r="BL33" s="20" t="s">
        <v>263</v>
      </c>
    </row>
    <row r="34" spans="3:66" ht="12.75">
      <c r="C34">
        <v>40</v>
      </c>
      <c r="D34">
        <f t="shared" si="0"/>
        <v>110000</v>
      </c>
      <c r="BG34">
        <v>10</v>
      </c>
      <c r="BH34" t="s">
        <v>254</v>
      </c>
      <c r="BI34">
        <v>160</v>
      </c>
      <c r="BJ34">
        <v>300</v>
      </c>
      <c r="BL34" t="s">
        <v>255</v>
      </c>
      <c r="BM34" s="9">
        <f>F12</f>
        <v>81550</v>
      </c>
      <c r="BN34" s="9">
        <f>F11</f>
        <v>118765.91354585781</v>
      </c>
    </row>
    <row r="35" spans="3:66" ht="12.75">
      <c r="C35">
        <v>50</v>
      </c>
      <c r="D35">
        <f t="shared" si="0"/>
        <v>120000</v>
      </c>
      <c r="BG35">
        <v>11</v>
      </c>
      <c r="BH35" t="s">
        <v>254</v>
      </c>
      <c r="BI35">
        <v>150</v>
      </c>
      <c r="BJ35">
        <v>300</v>
      </c>
      <c r="BL35" t="s">
        <v>256</v>
      </c>
      <c r="BN35" s="1">
        <f>(BN34-BM34)/BM34</f>
        <v>0.45635700240168986</v>
      </c>
    </row>
    <row r="36" spans="3:62" ht="12.75">
      <c r="C36">
        <v>60</v>
      </c>
      <c r="D36">
        <f t="shared" si="0"/>
        <v>133999.9999999999</v>
      </c>
      <c r="E36">
        <f>(D36-D35)/D35</f>
        <v>0.11666666666666593</v>
      </c>
      <c r="BG36">
        <v>12</v>
      </c>
      <c r="BH36" t="s">
        <v>254</v>
      </c>
      <c r="BI36">
        <v>160</v>
      </c>
      <c r="BJ36">
        <v>300</v>
      </c>
    </row>
    <row r="37" spans="3:64" ht="12.75">
      <c r="C37">
        <v>70</v>
      </c>
      <c r="D37">
        <f t="shared" si="0"/>
        <v>156999.99999999988</v>
      </c>
      <c r="BG37">
        <v>13</v>
      </c>
      <c r="BH37" t="s">
        <v>254</v>
      </c>
      <c r="BI37">
        <v>100</v>
      </c>
      <c r="BJ37">
        <v>300</v>
      </c>
      <c r="BL37" s="20" t="s">
        <v>265</v>
      </c>
    </row>
    <row r="38" spans="3:66" ht="12.75">
      <c r="C38">
        <v>80</v>
      </c>
      <c r="D38">
        <f t="shared" si="0"/>
        <v>180000</v>
      </c>
      <c r="BG38">
        <v>14</v>
      </c>
      <c r="BH38" t="s">
        <v>254</v>
      </c>
      <c r="BI38">
        <v>160</v>
      </c>
      <c r="BJ38">
        <v>300</v>
      </c>
      <c r="BL38" t="s">
        <v>255</v>
      </c>
      <c r="BM38" s="9">
        <f>J12</f>
        <v>81550</v>
      </c>
      <c r="BN38">
        <f>J11</f>
        <v>122079.48253378725</v>
      </c>
    </row>
    <row r="39" spans="3:66" ht="12.75">
      <c r="C39">
        <v>90</v>
      </c>
      <c r="D39">
        <f t="shared" si="0"/>
        <v>220000</v>
      </c>
      <c r="BG39">
        <v>15</v>
      </c>
      <c r="BH39" t="s">
        <v>254</v>
      </c>
      <c r="BI39">
        <v>100</v>
      </c>
      <c r="BJ39">
        <v>300</v>
      </c>
      <c r="BL39" t="s">
        <v>256</v>
      </c>
      <c r="BN39" s="1">
        <f>(BN38-BM38)/BM38</f>
        <v>0.4969893627686971</v>
      </c>
    </row>
    <row r="40" spans="3:4" ht="12.75">
      <c r="C40">
        <v>100</v>
      </c>
      <c r="D40">
        <f t="shared" si="0"/>
        <v>600000</v>
      </c>
    </row>
    <row r="41" spans="2:64" ht="13.5" thickBot="1">
      <c r="B41" s="18"/>
      <c r="C41" s="18"/>
      <c r="D41" s="18"/>
      <c r="E41" s="19"/>
      <c r="AG41" s="20" t="s">
        <v>141</v>
      </c>
      <c r="AU41" s="20" t="s">
        <v>508</v>
      </c>
      <c r="BL41" s="20" t="s">
        <v>266</v>
      </c>
    </row>
    <row r="42" spans="1:66" ht="12.75">
      <c r="A42" s="12"/>
      <c r="B42" s="18"/>
      <c r="C42" s="18"/>
      <c r="D42" s="18"/>
      <c r="E42" s="19"/>
      <c r="AG42" s="21"/>
      <c r="AH42" s="21" t="s">
        <v>131</v>
      </c>
      <c r="AI42" s="21" t="s">
        <v>128</v>
      </c>
      <c r="AJ42" s="21" t="s">
        <v>132</v>
      </c>
      <c r="AK42" s="21" t="s">
        <v>133</v>
      </c>
      <c r="AL42" s="21" t="s">
        <v>134</v>
      </c>
      <c r="AM42" s="21" t="s">
        <v>135</v>
      </c>
      <c r="AN42" s="21" t="s">
        <v>136</v>
      </c>
      <c r="AO42" s="21" t="s">
        <v>137</v>
      </c>
      <c r="AQ42" s="22" t="s">
        <v>124</v>
      </c>
      <c r="AR42" s="22"/>
      <c r="AU42" t="s">
        <v>164</v>
      </c>
      <c r="BL42" t="s">
        <v>255</v>
      </c>
      <c r="BM42" s="9">
        <f>J12</f>
        <v>81550</v>
      </c>
      <c r="BN42" s="9">
        <f>J10</f>
        <v>129811.14350562259</v>
      </c>
    </row>
    <row r="43" spans="1:66" ht="51.75" thickBot="1">
      <c r="A43" s="12"/>
      <c r="B43" s="18"/>
      <c r="C43" s="18"/>
      <c r="D43" s="18"/>
      <c r="E43" s="19"/>
      <c r="AG43" s="23" t="s">
        <v>130</v>
      </c>
      <c r="AH43" s="24">
        <v>69048.1631304471</v>
      </c>
      <c r="AI43" s="24">
        <v>9088.411037095068</v>
      </c>
      <c r="AJ43" s="25">
        <v>7.5973855989371035</v>
      </c>
      <c r="AK43" s="23">
        <v>7.138546412895742E-13</v>
      </c>
      <c r="AL43" s="24">
        <v>51142.99358097229</v>
      </c>
      <c r="AM43" s="24">
        <v>86953.3326799219</v>
      </c>
      <c r="AN43" s="24">
        <v>51142.99358097229</v>
      </c>
      <c r="AO43" s="24">
        <v>86953.3326799219</v>
      </c>
      <c r="AP43" s="9">
        <f>AH43</f>
        <v>69048.1631304471</v>
      </c>
      <c r="AQ43" s="23" t="s">
        <v>125</v>
      </c>
      <c r="AR43" s="23">
        <v>0.7221667069877474</v>
      </c>
      <c r="BG43" s="160"/>
      <c r="BH43" s="160" t="s">
        <v>251</v>
      </c>
      <c r="BI43" s="160" t="s">
        <v>257</v>
      </c>
      <c r="BJ43" s="160" t="s">
        <v>258</v>
      </c>
      <c r="BL43" t="s">
        <v>256</v>
      </c>
      <c r="BN43" s="1">
        <f>(BN42-BM42)/BM42</f>
        <v>0.5917982036250471</v>
      </c>
    </row>
    <row r="44" spans="1:70" ht="12.75">
      <c r="A44" s="12"/>
      <c r="B44" s="18"/>
      <c r="C44" s="18"/>
      <c r="D44" s="18"/>
      <c r="E44" s="19"/>
      <c r="AG44" s="23" t="s">
        <v>93</v>
      </c>
      <c r="AH44" s="24">
        <v>3481.1267681097993</v>
      </c>
      <c r="AI44" s="24">
        <v>12811.883408870075</v>
      </c>
      <c r="AJ44" s="25">
        <v>0.27171077483422185</v>
      </c>
      <c r="AK44" s="23">
        <v>0.7860829641982112</v>
      </c>
      <c r="AL44" s="24">
        <v>-21759.69296898308</v>
      </c>
      <c r="AM44" s="24">
        <v>28721.94650520268</v>
      </c>
      <c r="AN44" s="24">
        <v>-21759.69296898308</v>
      </c>
      <c r="AO44" s="24">
        <v>28721.94650520268</v>
      </c>
      <c r="AP44" s="9">
        <f aca="true" t="shared" si="1" ref="AP44:AP51">$AH$43+AH44</f>
        <v>72529.28989855689</v>
      </c>
      <c r="AQ44" s="23" t="s">
        <v>126</v>
      </c>
      <c r="AR44" s="23">
        <v>0.521524752681527</v>
      </c>
      <c r="AU44" s="110" t="s">
        <v>124</v>
      </c>
      <c r="AV44" s="110"/>
      <c r="BG44">
        <v>1</v>
      </c>
      <c r="BH44" t="s">
        <v>259</v>
      </c>
      <c r="BI44">
        <v>78</v>
      </c>
      <c r="BJ44">
        <v>278</v>
      </c>
      <c r="BR44" t="s">
        <v>509</v>
      </c>
    </row>
    <row r="45" spans="1:71" ht="12.75">
      <c r="A45" s="12"/>
      <c r="B45" s="18"/>
      <c r="C45" s="18"/>
      <c r="D45" s="18"/>
      <c r="E45" s="19"/>
      <c r="AG45" s="23" t="s">
        <v>92</v>
      </c>
      <c r="AH45" s="24">
        <v>35794.957315330896</v>
      </c>
      <c r="AI45" s="24">
        <v>22496.06255645589</v>
      </c>
      <c r="AJ45" s="25">
        <v>1.5911654417523171</v>
      </c>
      <c r="AK45" s="23">
        <v>0.11291662536830349</v>
      </c>
      <c r="AL45" s="24">
        <v>-8524.760688717499</v>
      </c>
      <c r="AM45" s="24">
        <v>80114.67531937928</v>
      </c>
      <c r="AN45" s="24">
        <v>-8524.760688717499</v>
      </c>
      <c r="AO45" s="24">
        <v>80114.67531937928</v>
      </c>
      <c r="AP45" s="9">
        <f t="shared" si="1"/>
        <v>104843.12044577798</v>
      </c>
      <c r="AQ45" s="23" t="s">
        <v>127</v>
      </c>
      <c r="AR45" s="23">
        <v>0.5032001687416706</v>
      </c>
      <c r="AU45" s="23" t="s">
        <v>125</v>
      </c>
      <c r="AV45" s="23">
        <v>0.3378717987345254</v>
      </c>
      <c r="BG45">
        <v>2</v>
      </c>
      <c r="BH45" t="s">
        <v>259</v>
      </c>
      <c r="BI45">
        <v>100</v>
      </c>
      <c r="BJ45">
        <v>300</v>
      </c>
      <c r="BR45" t="s">
        <v>291</v>
      </c>
      <c r="BS45" t="s">
        <v>419</v>
      </c>
    </row>
    <row r="46" spans="1:71" ht="12.75">
      <c r="A46" s="12"/>
      <c r="B46" s="18"/>
      <c r="C46" s="18"/>
      <c r="D46" s="18"/>
      <c r="E46" s="19"/>
      <c r="M46" s="9"/>
      <c r="AG46" s="23" t="s">
        <v>91</v>
      </c>
      <c r="AH46" s="24">
        <v>66258.90454588771</v>
      </c>
      <c r="AI46" s="24">
        <v>14842.96055454688</v>
      </c>
      <c r="AJ46" s="25">
        <v>4.463995191686369</v>
      </c>
      <c r="AK46" s="23">
        <v>1.2489864415072931E-05</v>
      </c>
      <c r="AL46" s="24">
        <v>37016.63939518263</v>
      </c>
      <c r="AM46" s="24">
        <v>95501.16969659278</v>
      </c>
      <c r="AN46" s="24">
        <v>37016.63939518263</v>
      </c>
      <c r="AO46" s="24">
        <v>95501.16969659278</v>
      </c>
      <c r="AP46" s="9">
        <f t="shared" si="1"/>
        <v>135307.06767633482</v>
      </c>
      <c r="AQ46" s="23" t="s">
        <v>128</v>
      </c>
      <c r="AR46" s="23">
        <v>50275.346536458455</v>
      </c>
      <c r="AU46" s="23" t="s">
        <v>126</v>
      </c>
      <c r="AV46" s="23">
        <v>0.11415735238010363</v>
      </c>
      <c r="BG46">
        <v>3</v>
      </c>
      <c r="BH46" t="s">
        <v>259</v>
      </c>
      <c r="BI46">
        <v>140</v>
      </c>
      <c r="BJ46">
        <v>340</v>
      </c>
      <c r="BR46">
        <v>10</v>
      </c>
      <c r="BS46" s="9">
        <f>PERCENTILE($BM$56:$BM$356,BR46/100)</f>
        <v>56152.687506447946</v>
      </c>
    </row>
    <row r="47" spans="1:71" ht="13.5" thickBot="1">
      <c r="A47" s="12"/>
      <c r="B47" s="18"/>
      <c r="C47" s="18"/>
      <c r="D47" s="18"/>
      <c r="E47" s="19"/>
      <c r="AG47" s="23" t="s">
        <v>90</v>
      </c>
      <c r="AH47" s="24">
        <v>152121.52777777793</v>
      </c>
      <c r="AI47" s="24">
        <v>14812.51602601393</v>
      </c>
      <c r="AJ47" s="25">
        <v>10.26979667131635</v>
      </c>
      <c r="AK47" s="23">
        <v>1.1164234903955984E-20</v>
      </c>
      <c r="AL47" s="24">
        <v>122939.24169745285</v>
      </c>
      <c r="AM47" s="24">
        <v>181303.813858103</v>
      </c>
      <c r="AN47" s="24">
        <v>122939.24169745285</v>
      </c>
      <c r="AO47" s="24">
        <v>181303.813858103</v>
      </c>
      <c r="AP47" s="9">
        <f t="shared" si="1"/>
        <v>221169.69090822502</v>
      </c>
      <c r="AQ47" s="26" t="s">
        <v>129</v>
      </c>
      <c r="AR47" s="26">
        <v>245</v>
      </c>
      <c r="AU47" s="23" t="s">
        <v>127</v>
      </c>
      <c r="AV47" s="23">
        <v>0.11051190938578306</v>
      </c>
      <c r="BG47">
        <v>4</v>
      </c>
      <c r="BH47" t="s">
        <v>259</v>
      </c>
      <c r="BI47">
        <v>84</v>
      </c>
      <c r="BJ47">
        <v>284</v>
      </c>
      <c r="BR47">
        <v>20</v>
      </c>
      <c r="BS47" s="9">
        <f aca="true" t="shared" si="2" ref="BS47:BS53">PERCENTILE($BM$56:$BM$356,BR47/100)</f>
        <v>62396.98751676467</v>
      </c>
    </row>
    <row r="48" spans="1:71" ht="12.75">
      <c r="A48" s="12"/>
      <c r="B48" s="18"/>
      <c r="C48" s="18"/>
      <c r="D48" s="18"/>
      <c r="E48" s="19"/>
      <c r="H48" s="27" t="s">
        <v>139</v>
      </c>
      <c r="I48" s="28"/>
      <c r="J48" s="28"/>
      <c r="K48" s="28"/>
      <c r="L48" s="28"/>
      <c r="M48" s="28"/>
      <c r="N48" s="28"/>
      <c r="O48" s="28"/>
      <c r="P48" s="28"/>
      <c r="Q48" s="28"/>
      <c r="R48" s="29"/>
      <c r="T48" s="27" t="s">
        <v>140</v>
      </c>
      <c r="U48" s="28"/>
      <c r="V48" s="28"/>
      <c r="W48" s="28"/>
      <c r="X48" s="28"/>
      <c r="Y48" s="28"/>
      <c r="Z48" s="28"/>
      <c r="AA48" s="28"/>
      <c r="AB48" s="28"/>
      <c r="AC48" s="28"/>
      <c r="AD48" s="28"/>
      <c r="AE48" s="28"/>
      <c r="AF48" s="29"/>
      <c r="AG48" s="23" t="s">
        <v>100</v>
      </c>
      <c r="AH48" s="24">
        <v>69667.11762394615</v>
      </c>
      <c r="AI48" s="24">
        <v>15205.594002751597</v>
      </c>
      <c r="AJ48" s="25">
        <v>4.581676823104656</v>
      </c>
      <c r="AK48" s="23">
        <v>7.488884738352769E-06</v>
      </c>
      <c r="AL48" s="24">
        <v>39710.424687359206</v>
      </c>
      <c r="AM48" s="24">
        <v>99623.8105605331</v>
      </c>
      <c r="AN48" s="24">
        <v>39710.424687359206</v>
      </c>
      <c r="AO48" s="24">
        <v>99623.8105605331</v>
      </c>
      <c r="AP48" s="9">
        <f t="shared" si="1"/>
        <v>138715.28075439326</v>
      </c>
      <c r="AU48" s="23" t="s">
        <v>128</v>
      </c>
      <c r="AV48" s="23">
        <v>67272.01274959533</v>
      </c>
      <c r="BG48">
        <v>5</v>
      </c>
      <c r="BH48" t="s">
        <v>259</v>
      </c>
      <c r="BI48">
        <v>84</v>
      </c>
      <c r="BJ48">
        <v>284</v>
      </c>
      <c r="BR48">
        <v>30</v>
      </c>
      <c r="BS48" s="9">
        <f t="shared" si="2"/>
        <v>66152.68750644795</v>
      </c>
    </row>
    <row r="49" spans="1:71" ht="13.5" thickBot="1">
      <c r="A49" s="12"/>
      <c r="B49" s="13" t="s">
        <v>120</v>
      </c>
      <c r="C49" s="18"/>
      <c r="D49" s="18"/>
      <c r="E49" s="19"/>
      <c r="G49" s="13" t="s">
        <v>120</v>
      </c>
      <c r="H49" s="30">
        <f>COUNT(H56:H324)</f>
        <v>32</v>
      </c>
      <c r="I49" s="31">
        <f aca="true" t="shared" si="3" ref="I49:AE49">COUNT(I56:I324)</f>
        <v>24</v>
      </c>
      <c r="J49" s="31">
        <f t="shared" si="3"/>
        <v>30</v>
      </c>
      <c r="K49" s="31">
        <f t="shared" si="3"/>
        <v>20</v>
      </c>
      <c r="L49" s="31">
        <f t="shared" si="3"/>
        <v>18</v>
      </c>
      <c r="M49" s="31">
        <f t="shared" si="3"/>
        <v>18</v>
      </c>
      <c r="N49" s="31">
        <f t="shared" si="3"/>
        <v>20</v>
      </c>
      <c r="O49" s="31">
        <f t="shared" si="3"/>
        <v>40</v>
      </c>
      <c r="P49" s="31">
        <f t="shared" si="3"/>
        <v>47</v>
      </c>
      <c r="Q49" s="31">
        <f t="shared" si="3"/>
        <v>20</v>
      </c>
      <c r="R49" s="32">
        <f>COUNT(R56:R324)</f>
        <v>269</v>
      </c>
      <c r="S49" s="33"/>
      <c r="T49" s="30">
        <f>COUNT(T56:T324)</f>
        <v>21</v>
      </c>
      <c r="U49" s="31">
        <f t="shared" si="3"/>
        <v>114</v>
      </c>
      <c r="V49" s="31">
        <f t="shared" si="3"/>
        <v>38</v>
      </c>
      <c r="W49" s="31">
        <f t="shared" si="3"/>
        <v>19</v>
      </c>
      <c r="X49" s="31">
        <f t="shared" si="3"/>
        <v>1</v>
      </c>
      <c r="Y49" s="31">
        <f t="shared" si="3"/>
        <v>11</v>
      </c>
      <c r="Z49" s="31">
        <f t="shared" si="3"/>
        <v>3</v>
      </c>
      <c r="AA49" s="31">
        <f t="shared" si="3"/>
        <v>6</v>
      </c>
      <c r="AB49" s="31">
        <f t="shared" si="3"/>
        <v>0</v>
      </c>
      <c r="AC49" s="31">
        <f t="shared" si="3"/>
        <v>3</v>
      </c>
      <c r="AD49" s="31">
        <f t="shared" si="3"/>
        <v>0</v>
      </c>
      <c r="AE49" s="31">
        <f t="shared" si="3"/>
        <v>29</v>
      </c>
      <c r="AF49" s="32">
        <f>COUNT(AF56:AF324)</f>
        <v>245</v>
      </c>
      <c r="AG49" s="23" t="s">
        <v>98</v>
      </c>
      <c r="AH49" s="24">
        <v>49312.33479782835</v>
      </c>
      <c r="AI49" s="24">
        <v>11928.482202669915</v>
      </c>
      <c r="AJ49" s="25">
        <v>4.133999109022515</v>
      </c>
      <c r="AK49" s="23">
        <v>4.962851235792416E-05</v>
      </c>
      <c r="AL49" s="24">
        <v>25811.912618973565</v>
      </c>
      <c r="AM49" s="24">
        <v>72812.75697668313</v>
      </c>
      <c r="AN49" s="24">
        <v>25811.912618973565</v>
      </c>
      <c r="AO49" s="24">
        <v>72812.75697668313</v>
      </c>
      <c r="AP49" s="9">
        <f t="shared" si="1"/>
        <v>118360.49792827544</v>
      </c>
      <c r="AU49" s="26" t="s">
        <v>129</v>
      </c>
      <c r="AV49" s="26">
        <v>245</v>
      </c>
      <c r="BG49">
        <v>6</v>
      </c>
      <c r="BH49" t="s">
        <v>259</v>
      </c>
      <c r="BI49">
        <v>120</v>
      </c>
      <c r="BJ49">
        <v>320</v>
      </c>
      <c r="BR49">
        <v>40</v>
      </c>
      <c r="BS49" s="9">
        <f t="shared" si="2"/>
        <v>70000</v>
      </c>
    </row>
    <row r="50" spans="1:71" ht="12.75">
      <c r="A50" s="18"/>
      <c r="B50" s="13" t="s">
        <v>113</v>
      </c>
      <c r="C50" s="18"/>
      <c r="D50" s="18"/>
      <c r="E50" s="19"/>
      <c r="G50" s="13" t="s">
        <v>113</v>
      </c>
      <c r="H50" s="34">
        <f>MEDIAN(H56:H324)</f>
        <v>74000</v>
      </c>
      <c r="I50" s="35">
        <f aca="true" t="shared" si="4" ref="I50:AE50">MEDIAN(I56:I324)</f>
        <v>176250</v>
      </c>
      <c r="J50" s="35">
        <f t="shared" si="4"/>
        <v>72500</v>
      </c>
      <c r="K50" s="35">
        <f t="shared" si="4"/>
        <v>167500</v>
      </c>
      <c r="L50" s="35">
        <f t="shared" si="4"/>
        <v>120000</v>
      </c>
      <c r="M50" s="35">
        <f t="shared" si="4"/>
        <v>210000</v>
      </c>
      <c r="N50" s="35">
        <f t="shared" si="4"/>
        <v>130000</v>
      </c>
      <c r="O50" s="35">
        <f t="shared" si="4"/>
        <v>125000</v>
      </c>
      <c r="P50" s="35">
        <f t="shared" si="4"/>
        <v>110000</v>
      </c>
      <c r="Q50" s="35">
        <f t="shared" si="4"/>
        <v>190000</v>
      </c>
      <c r="R50" s="36">
        <f>MEDIAN(R56:R324)</f>
        <v>120000</v>
      </c>
      <c r="S50" s="37"/>
      <c r="T50" s="34">
        <f>MEDIAN(T56:T324)</f>
        <v>110000</v>
      </c>
      <c r="U50" s="35">
        <f t="shared" si="4"/>
        <v>105000</v>
      </c>
      <c r="V50" s="35">
        <f t="shared" si="4"/>
        <v>92500</v>
      </c>
      <c r="W50" s="35">
        <f t="shared" si="4"/>
        <v>121000</v>
      </c>
      <c r="X50" s="35">
        <f t="shared" si="4"/>
        <v>85000</v>
      </c>
      <c r="Y50" s="35">
        <f t="shared" si="4"/>
        <v>140000</v>
      </c>
      <c r="Z50" s="35">
        <f t="shared" si="4"/>
        <v>200000</v>
      </c>
      <c r="AA50" s="35">
        <f t="shared" si="4"/>
        <v>120000</v>
      </c>
      <c r="AB50" s="35" t="e">
        <f t="shared" si="4"/>
        <v>#NUM!</v>
      </c>
      <c r="AC50" s="35">
        <f t="shared" si="4"/>
        <v>200000</v>
      </c>
      <c r="AD50" s="35" t="e">
        <f t="shared" si="4"/>
        <v>#NUM!</v>
      </c>
      <c r="AE50" s="35">
        <f t="shared" si="4"/>
        <v>170000</v>
      </c>
      <c r="AF50" s="36">
        <f>MEDIAN(AF56:AF324)</f>
        <v>120000</v>
      </c>
      <c r="AG50" s="23" t="s">
        <v>97</v>
      </c>
      <c r="AH50" s="24">
        <v>38966.94237094667</v>
      </c>
      <c r="AI50" s="24">
        <v>11561.557867651873</v>
      </c>
      <c r="AJ50" s="25">
        <v>3.3703885598300234</v>
      </c>
      <c r="AK50" s="23">
        <v>0.0008773462945471822</v>
      </c>
      <c r="AL50" s="24">
        <v>16189.401497031886</v>
      </c>
      <c r="AM50" s="24">
        <v>61744.48324486146</v>
      </c>
      <c r="AN50" s="24">
        <v>16189.401497031886</v>
      </c>
      <c r="AO50" s="24">
        <v>61744.48324486146</v>
      </c>
      <c r="AP50" s="9">
        <f t="shared" si="1"/>
        <v>108015.10550139376</v>
      </c>
      <c r="AU50" s="109"/>
      <c r="AV50" s="109" t="s">
        <v>131</v>
      </c>
      <c r="AW50" s="109" t="s">
        <v>128</v>
      </c>
      <c r="AX50" s="109" t="s">
        <v>132</v>
      </c>
      <c r="AY50" s="109" t="s">
        <v>133</v>
      </c>
      <c r="AZ50" s="109" t="s">
        <v>134</v>
      </c>
      <c r="BA50" s="109" t="s">
        <v>135</v>
      </c>
      <c r="BG50">
        <v>7</v>
      </c>
      <c r="BH50" t="s">
        <v>259</v>
      </c>
      <c r="BI50" s="105" t="s">
        <v>260</v>
      </c>
      <c r="BJ50">
        <v>200</v>
      </c>
      <c r="BR50">
        <v>50</v>
      </c>
      <c r="BS50" s="9">
        <f t="shared" si="2"/>
        <v>74152.68750644795</v>
      </c>
    </row>
    <row r="51" spans="1:71" ht="12.75">
      <c r="A51" s="18"/>
      <c r="B51" s="13" t="s">
        <v>114</v>
      </c>
      <c r="C51" s="18"/>
      <c r="D51" s="18"/>
      <c r="E51" s="19"/>
      <c r="G51" s="13" t="s">
        <v>114</v>
      </c>
      <c r="H51" s="34">
        <f>AVERAGE(H56:H324)</f>
        <v>75656.25</v>
      </c>
      <c r="I51" s="35">
        <f aca="true" t="shared" si="5" ref="I51:AE51">AVERAGE(I56:I324)</f>
        <v>234312.5</v>
      </c>
      <c r="J51" s="35">
        <f t="shared" si="5"/>
        <v>75833.33333333333</v>
      </c>
      <c r="K51" s="35">
        <f t="shared" si="5"/>
        <v>171750</v>
      </c>
      <c r="L51" s="35">
        <f t="shared" si="5"/>
        <v>138611.11111111112</v>
      </c>
      <c r="M51" s="35">
        <f t="shared" si="5"/>
        <v>227777.77777777778</v>
      </c>
      <c r="N51" s="35">
        <f t="shared" si="5"/>
        <v>163000</v>
      </c>
      <c r="O51" s="35">
        <f t="shared" si="5"/>
        <v>126125</v>
      </c>
      <c r="P51" s="35">
        <f t="shared" si="5"/>
        <v>111319.14893617021</v>
      </c>
      <c r="Q51" s="35">
        <f t="shared" si="5"/>
        <v>227750</v>
      </c>
      <c r="R51" s="36">
        <f>AVERAGE(R56:R324)</f>
        <v>142905.20446096655</v>
      </c>
      <c r="S51" s="37"/>
      <c r="T51" s="34">
        <f>AVERAGE(T56:T324)</f>
        <v>112666.66666666667</v>
      </c>
      <c r="U51" s="35">
        <f t="shared" si="5"/>
        <v>114456.14035087719</v>
      </c>
      <c r="V51" s="35">
        <f t="shared" si="5"/>
        <v>127684.21052631579</v>
      </c>
      <c r="W51" s="35">
        <f t="shared" si="5"/>
        <v>159473.68421052632</v>
      </c>
      <c r="X51" s="35">
        <f t="shared" si="5"/>
        <v>85000</v>
      </c>
      <c r="Y51" s="35">
        <f t="shared" si="5"/>
        <v>148181.81818181818</v>
      </c>
      <c r="Z51" s="35">
        <f t="shared" si="5"/>
        <v>233333.33333333334</v>
      </c>
      <c r="AA51" s="35">
        <f t="shared" si="5"/>
        <v>117000</v>
      </c>
      <c r="AB51" s="35" t="e">
        <f t="shared" si="5"/>
        <v>#DIV/0!</v>
      </c>
      <c r="AC51" s="35">
        <f t="shared" si="5"/>
        <v>260000</v>
      </c>
      <c r="AD51" s="35" t="e">
        <f t="shared" si="5"/>
        <v>#DIV/0!</v>
      </c>
      <c r="AE51" s="35">
        <f t="shared" si="5"/>
        <v>193965.5172413793</v>
      </c>
      <c r="AF51" s="36">
        <f>AVERAGE(AF56:AF324)</f>
        <v>133951.02040816325</v>
      </c>
      <c r="AG51" s="23" t="s">
        <v>110</v>
      </c>
      <c r="AH51" s="24">
        <v>137886.36323046172</v>
      </c>
      <c r="AI51" s="24">
        <v>14901.74458643953</v>
      </c>
      <c r="AJ51" s="25">
        <v>9.253034933637046</v>
      </c>
      <c r="AK51" s="23">
        <v>1.3949303154284794E-17</v>
      </c>
      <c r="AL51" s="24">
        <v>108528.28707015951</v>
      </c>
      <c r="AM51" s="24">
        <v>167244.43939076393</v>
      </c>
      <c r="AN51" s="24">
        <v>108528.28707015951</v>
      </c>
      <c r="AO51" s="24">
        <v>167244.43939076393</v>
      </c>
      <c r="AP51" s="9">
        <f t="shared" si="1"/>
        <v>206934.5263609088</v>
      </c>
      <c r="AU51" s="23" t="s">
        <v>130</v>
      </c>
      <c r="AV51" s="24">
        <v>118765.91354585781</v>
      </c>
      <c r="AW51" s="24">
        <v>5082.813063466101</v>
      </c>
      <c r="AX51" s="25">
        <v>23.366177756863692</v>
      </c>
      <c r="AY51" s="23">
        <v>4.421907306006133E-64</v>
      </c>
      <c r="AZ51" s="24">
        <v>108753.9187954348</v>
      </c>
      <c r="BA51" s="24">
        <v>128777.90829628082</v>
      </c>
      <c r="BG51">
        <v>8</v>
      </c>
      <c r="BH51" t="s">
        <v>259</v>
      </c>
      <c r="BI51">
        <v>120</v>
      </c>
      <c r="BJ51">
        <v>320</v>
      </c>
      <c r="BO51" s="207" t="s">
        <v>416</v>
      </c>
      <c r="BP51" s="207" t="s">
        <v>142</v>
      </c>
      <c r="BR51">
        <v>60</v>
      </c>
      <c r="BS51" s="9">
        <f t="shared" si="2"/>
        <v>80000</v>
      </c>
    </row>
    <row r="52" spans="1:71" ht="13.5" thickBot="1">
      <c r="A52" s="18"/>
      <c r="B52" s="13" t="s">
        <v>115</v>
      </c>
      <c r="C52" s="18"/>
      <c r="D52" s="18"/>
      <c r="E52" s="19"/>
      <c r="G52" s="13" t="s">
        <v>115</v>
      </c>
      <c r="H52" s="34">
        <f>MIN(H56:H324)</f>
        <v>65000</v>
      </c>
      <c r="I52" s="35">
        <f aca="true" t="shared" si="6" ref="I52:AE52">MIN(I56:I324)</f>
        <v>70000</v>
      </c>
      <c r="J52" s="35">
        <f t="shared" si="6"/>
        <v>30000</v>
      </c>
      <c r="K52" s="35">
        <f t="shared" si="6"/>
        <v>120000</v>
      </c>
      <c r="L52" s="35">
        <f t="shared" si="6"/>
        <v>75000</v>
      </c>
      <c r="M52" s="35">
        <f t="shared" si="6"/>
        <v>80000</v>
      </c>
      <c r="N52" s="35">
        <f t="shared" si="6"/>
        <v>100000</v>
      </c>
      <c r="O52" s="35">
        <f t="shared" si="6"/>
        <v>75000</v>
      </c>
      <c r="P52" s="35">
        <f t="shared" si="6"/>
        <v>40000</v>
      </c>
      <c r="Q52" s="35">
        <f t="shared" si="6"/>
        <v>115000</v>
      </c>
      <c r="R52" s="36">
        <f>MIN(R56:R324)</f>
        <v>30000</v>
      </c>
      <c r="S52" s="37"/>
      <c r="T52" s="34">
        <f>MIN(T56:T324)</f>
        <v>70000</v>
      </c>
      <c r="U52" s="35">
        <f t="shared" si="6"/>
        <v>30000</v>
      </c>
      <c r="V52" s="35">
        <f t="shared" si="6"/>
        <v>65000</v>
      </c>
      <c r="W52" s="35">
        <f t="shared" si="6"/>
        <v>74000</v>
      </c>
      <c r="X52" s="35">
        <f t="shared" si="6"/>
        <v>85000</v>
      </c>
      <c r="Y52" s="35">
        <f t="shared" si="6"/>
        <v>70000</v>
      </c>
      <c r="Z52" s="35">
        <f t="shared" si="6"/>
        <v>200000</v>
      </c>
      <c r="AA52" s="35">
        <f t="shared" si="6"/>
        <v>90000</v>
      </c>
      <c r="AB52" s="35">
        <f t="shared" si="6"/>
        <v>0</v>
      </c>
      <c r="AC52" s="35">
        <f t="shared" si="6"/>
        <v>200000</v>
      </c>
      <c r="AD52" s="35">
        <f t="shared" si="6"/>
        <v>0</v>
      </c>
      <c r="AE52" s="35">
        <f t="shared" si="6"/>
        <v>120000</v>
      </c>
      <c r="AF52" s="36">
        <f>MIN(AF56:AF324)</f>
        <v>30000</v>
      </c>
      <c r="AG52" s="26" t="s">
        <v>121</v>
      </c>
      <c r="AH52" s="38">
        <v>3304.043434776403</v>
      </c>
      <c r="AI52" s="38">
        <v>950.1826155613727</v>
      </c>
      <c r="AJ52" s="39">
        <v>3.4772720324127984</v>
      </c>
      <c r="AK52" s="26">
        <v>0.000603331063611002</v>
      </c>
      <c r="AL52" s="38">
        <v>1432.0791535451542</v>
      </c>
      <c r="AM52" s="38">
        <v>5176.007716007652</v>
      </c>
      <c r="AN52" s="38">
        <v>1432.0791535451542</v>
      </c>
      <c r="AO52" s="38">
        <v>5176.007716007652</v>
      </c>
      <c r="AP52" s="9"/>
      <c r="AU52" s="26" t="s">
        <v>121</v>
      </c>
      <c r="AV52" s="24">
        <v>3847.312493552052</v>
      </c>
      <c r="AW52" s="24">
        <v>687.5126201702326</v>
      </c>
      <c r="AX52" s="25">
        <v>5.595988176332577</v>
      </c>
      <c r="AY52" s="23">
        <v>5.9013277579533285E-08</v>
      </c>
      <c r="AZ52" s="24">
        <v>2493.067775510034</v>
      </c>
      <c r="BA52" s="24">
        <v>5201.5572115940695</v>
      </c>
      <c r="BG52">
        <v>9</v>
      </c>
      <c r="BH52" t="s">
        <v>259</v>
      </c>
      <c r="BI52">
        <v>200</v>
      </c>
      <c r="BJ52">
        <v>400</v>
      </c>
      <c r="BL52" t="s">
        <v>413</v>
      </c>
      <c r="BO52" s="9">
        <f>MEDIAN(BL56:BL300)</f>
        <v>103068.81254513565</v>
      </c>
      <c r="BP52" s="4">
        <f>BO52/exrate</f>
        <v>88.47108372973017</v>
      </c>
      <c r="BR52">
        <v>70</v>
      </c>
      <c r="BS52" s="9">
        <f t="shared" si="2"/>
        <v>83526.87506447948</v>
      </c>
    </row>
    <row r="53" spans="1:73" ht="13.5" thickBot="1">
      <c r="A53" s="18"/>
      <c r="B53" s="13" t="s">
        <v>116</v>
      </c>
      <c r="C53" s="18"/>
      <c r="D53" s="9"/>
      <c r="E53" s="19"/>
      <c r="G53" s="13" t="s">
        <v>116</v>
      </c>
      <c r="H53" s="34">
        <f>MAX(H56:H324)</f>
        <v>90000</v>
      </c>
      <c r="I53" s="35">
        <f aca="true" t="shared" si="7" ref="I53:AE53">MAX(I56:I324)</f>
        <v>600000</v>
      </c>
      <c r="J53" s="35">
        <f t="shared" si="7"/>
        <v>120000</v>
      </c>
      <c r="K53" s="35">
        <f t="shared" si="7"/>
        <v>250000</v>
      </c>
      <c r="L53" s="35">
        <f t="shared" si="7"/>
        <v>210000</v>
      </c>
      <c r="M53" s="35">
        <f t="shared" si="7"/>
        <v>480000</v>
      </c>
      <c r="N53" s="35">
        <f t="shared" si="7"/>
        <v>380000</v>
      </c>
      <c r="O53" s="35">
        <f t="shared" si="7"/>
        <v>220000</v>
      </c>
      <c r="P53" s="35">
        <f t="shared" si="7"/>
        <v>200000</v>
      </c>
      <c r="Q53" s="35">
        <f t="shared" si="7"/>
        <v>400000</v>
      </c>
      <c r="R53" s="36">
        <f>MAX(R56:R324)</f>
        <v>600000</v>
      </c>
      <c r="S53" s="37"/>
      <c r="T53" s="34">
        <f>MAX(T56:T324)</f>
        <v>185000</v>
      </c>
      <c r="U53" s="35">
        <f t="shared" si="7"/>
        <v>380000</v>
      </c>
      <c r="V53" s="35">
        <f t="shared" si="7"/>
        <v>350000</v>
      </c>
      <c r="W53" s="35">
        <f t="shared" si="7"/>
        <v>480000</v>
      </c>
      <c r="X53" s="35">
        <f t="shared" si="7"/>
        <v>85000</v>
      </c>
      <c r="Y53" s="35">
        <f t="shared" si="7"/>
        <v>260000</v>
      </c>
      <c r="Z53" s="35">
        <f t="shared" si="7"/>
        <v>300000</v>
      </c>
      <c r="AA53" s="35">
        <f t="shared" si="7"/>
        <v>150000</v>
      </c>
      <c r="AB53" s="35">
        <f t="shared" si="7"/>
        <v>0</v>
      </c>
      <c r="AC53" s="35">
        <f t="shared" si="7"/>
        <v>380000</v>
      </c>
      <c r="AD53" s="35">
        <f t="shared" si="7"/>
        <v>0</v>
      </c>
      <c r="AE53" s="35">
        <f t="shared" si="7"/>
        <v>400000</v>
      </c>
      <c r="AF53" s="36">
        <f>MAX(AF56:AF324)</f>
        <v>480000</v>
      </c>
      <c r="AG53" s="38"/>
      <c r="AH53" s="38"/>
      <c r="AI53" s="38"/>
      <c r="AJ53" s="39"/>
      <c r="AK53" s="26"/>
      <c r="AL53" s="26"/>
      <c r="AM53" s="26"/>
      <c r="AN53" s="26"/>
      <c r="AO53" s="26"/>
      <c r="AP53" s="9"/>
      <c r="BG53">
        <v>10</v>
      </c>
      <c r="BH53" t="s">
        <v>259</v>
      </c>
      <c r="BI53">
        <v>150</v>
      </c>
      <c r="BJ53">
        <v>350</v>
      </c>
      <c r="BL53" t="s">
        <v>415</v>
      </c>
      <c r="BO53" s="9">
        <f>AVERAGE(BN56:BN356)</f>
        <v>162258.42102548244</v>
      </c>
      <c r="BP53" s="4">
        <f>BO53/exrate</f>
        <v>139.277614614148</v>
      </c>
      <c r="BR53">
        <v>80</v>
      </c>
      <c r="BS53" s="9">
        <f t="shared" si="2"/>
        <v>88891.61250386879</v>
      </c>
      <c r="BU53" s="3"/>
    </row>
    <row r="54" spans="2:71" ht="12.75">
      <c r="B54" s="13" t="s">
        <v>117</v>
      </c>
      <c r="E54" s="40"/>
      <c r="G54" s="13" t="s">
        <v>117</v>
      </c>
      <c r="H54" s="34">
        <f>STDEV(H56:H324)</f>
        <v>6631.349665573123</v>
      </c>
      <c r="I54" s="35">
        <f aca="true" t="shared" si="8" ref="I54:AE54">STDEV(I56:I324)</f>
        <v>172050.91590294856</v>
      </c>
      <c r="J54" s="35">
        <f t="shared" si="8"/>
        <v>20723.27249708659</v>
      </c>
      <c r="K54" s="35">
        <f t="shared" si="8"/>
        <v>31425.55949340734</v>
      </c>
      <c r="L54" s="35">
        <f t="shared" si="8"/>
        <v>48743.191245654576</v>
      </c>
      <c r="M54" s="35">
        <f t="shared" si="8"/>
        <v>108495.35395612735</v>
      </c>
      <c r="N54" s="35">
        <f t="shared" si="8"/>
        <v>66101.9945554635</v>
      </c>
      <c r="O54" s="35">
        <f t="shared" si="8"/>
        <v>36013.66371752497</v>
      </c>
      <c r="P54" s="35">
        <f t="shared" si="8"/>
        <v>35765.60552249016</v>
      </c>
      <c r="Q54" s="35">
        <f t="shared" si="8"/>
        <v>91485.90630600748</v>
      </c>
      <c r="R54" s="36">
        <f>STDEV(R56:R324)</f>
        <v>89409.8568957917</v>
      </c>
      <c r="S54" s="41"/>
      <c r="T54" s="34">
        <f>STDEV(T56:T324)</f>
        <v>37058.51229249945</v>
      </c>
      <c r="U54" s="35">
        <f t="shared" si="8"/>
        <v>53634.14913199305</v>
      </c>
      <c r="V54" s="35">
        <f t="shared" si="8"/>
        <v>72340.0772116087</v>
      </c>
      <c r="W54" s="35">
        <f t="shared" si="8"/>
        <v>107040.68199679589</v>
      </c>
      <c r="X54" s="35" t="e">
        <f t="shared" si="8"/>
        <v>#DIV/0!</v>
      </c>
      <c r="Y54" s="35">
        <f t="shared" si="8"/>
        <v>63058.41447708335</v>
      </c>
      <c r="Z54" s="35">
        <f t="shared" si="8"/>
        <v>57735.02691896253</v>
      </c>
      <c r="AA54" s="35">
        <f t="shared" si="8"/>
        <v>23790.75450674064</v>
      </c>
      <c r="AB54" s="35" t="e">
        <f t="shared" si="8"/>
        <v>#DIV/0!</v>
      </c>
      <c r="AC54" s="35">
        <f t="shared" si="8"/>
        <v>103923.04845413264</v>
      </c>
      <c r="AD54" s="35" t="e">
        <f t="shared" si="8"/>
        <v>#DIV/0!</v>
      </c>
      <c r="AE54" s="35">
        <f t="shared" si="8"/>
        <v>76384.59210685128</v>
      </c>
      <c r="AF54" s="36">
        <f>STDEV(AF56:AF324)</f>
        <v>71328.70723918607</v>
      </c>
      <c r="AG54" s="3" t="s">
        <v>411</v>
      </c>
      <c r="AU54">
        <v>0</v>
      </c>
      <c r="AV54">
        <v>1</v>
      </c>
      <c r="AW54">
        <v>2</v>
      </c>
      <c r="AX54">
        <v>3</v>
      </c>
      <c r="AY54">
        <v>4</v>
      </c>
      <c r="AZ54">
        <v>5</v>
      </c>
      <c r="BA54">
        <v>6</v>
      </c>
      <c r="BB54">
        <v>7</v>
      </c>
      <c r="BC54">
        <v>8</v>
      </c>
      <c r="BD54">
        <v>9</v>
      </c>
      <c r="BE54">
        <v>10</v>
      </c>
      <c r="BG54">
        <v>11</v>
      </c>
      <c r="BH54" t="s">
        <v>259</v>
      </c>
      <c r="BI54">
        <v>250</v>
      </c>
      <c r="BJ54">
        <v>450</v>
      </c>
      <c r="BL54" t="s">
        <v>414</v>
      </c>
      <c r="BO54" s="9">
        <f>AVERAGE(BM56:BM356)</f>
        <v>73730.99663546857</v>
      </c>
      <c r="BP54" s="4">
        <f>BO54/exrate</f>
        <v>63.28840912915757</v>
      </c>
      <c r="BR54">
        <v>90</v>
      </c>
      <c r="BS54" s="9">
        <f>PERCENTILE($BM$56:$BM$356,BR54/100)</f>
        <v>96152.68750644795</v>
      </c>
    </row>
    <row r="55" spans="1:76" ht="38.25">
      <c r="A55" s="42"/>
      <c r="B55" s="43" t="s">
        <v>96</v>
      </c>
      <c r="C55" s="43" t="s">
        <v>94</v>
      </c>
      <c r="D55" s="44" t="s">
        <v>138</v>
      </c>
      <c r="E55" s="45" t="s">
        <v>101</v>
      </c>
      <c r="F55" s="46" t="s">
        <v>99</v>
      </c>
      <c r="G55" s="47"/>
      <c r="H55" s="48" t="s">
        <v>89</v>
      </c>
      <c r="I55" s="49" t="s">
        <v>95</v>
      </c>
      <c r="J55" s="50" t="s">
        <v>93</v>
      </c>
      <c r="K55" s="51" t="s">
        <v>92</v>
      </c>
      <c r="L55" s="52" t="s">
        <v>91</v>
      </c>
      <c r="M55" s="53" t="s">
        <v>90</v>
      </c>
      <c r="N55" s="54" t="s">
        <v>100</v>
      </c>
      <c r="O55" s="55" t="s">
        <v>98</v>
      </c>
      <c r="P55" s="56" t="s">
        <v>97</v>
      </c>
      <c r="Q55" s="50" t="s">
        <v>110</v>
      </c>
      <c r="R55" s="57" t="s">
        <v>123</v>
      </c>
      <c r="T55" s="52">
        <v>2007</v>
      </c>
      <c r="U55" s="52">
        <v>2006</v>
      </c>
      <c r="V55" s="52">
        <v>2005</v>
      </c>
      <c r="W55" s="52">
        <v>2004</v>
      </c>
      <c r="X55" s="52">
        <v>2003</v>
      </c>
      <c r="Y55" s="52">
        <v>2002</v>
      </c>
      <c r="Z55" s="52">
        <v>2001</v>
      </c>
      <c r="AA55" s="52">
        <v>2000</v>
      </c>
      <c r="AB55" s="52">
        <v>1999</v>
      </c>
      <c r="AC55" s="52">
        <v>1998</v>
      </c>
      <c r="AD55" s="52">
        <v>1997</v>
      </c>
      <c r="AE55" s="52" t="s">
        <v>118</v>
      </c>
      <c r="AF55" s="58" t="s">
        <v>122</v>
      </c>
      <c r="AG55" s="48" t="s">
        <v>89</v>
      </c>
      <c r="AH55" s="50" t="s">
        <v>93</v>
      </c>
      <c r="AI55" s="51" t="s">
        <v>92</v>
      </c>
      <c r="AJ55" s="52" t="s">
        <v>91</v>
      </c>
      <c r="AK55" s="53" t="s">
        <v>90</v>
      </c>
      <c r="AL55" s="54" t="s">
        <v>100</v>
      </c>
      <c r="AM55" s="55" t="s">
        <v>98</v>
      </c>
      <c r="AN55" s="56" t="s">
        <v>97</v>
      </c>
      <c r="AO55" s="50" t="s">
        <v>110</v>
      </c>
      <c r="AP55" t="s">
        <v>121</v>
      </c>
      <c r="AU55" s="52">
        <v>2007</v>
      </c>
      <c r="AV55" s="52">
        <v>2006</v>
      </c>
      <c r="AW55" s="52">
        <v>2005</v>
      </c>
      <c r="AX55" s="52">
        <v>2004</v>
      </c>
      <c r="AY55" s="52">
        <v>2003</v>
      </c>
      <c r="AZ55" s="52">
        <v>2002</v>
      </c>
      <c r="BA55" s="52">
        <v>2001</v>
      </c>
      <c r="BB55" s="52">
        <v>2000</v>
      </c>
      <c r="BC55" s="52">
        <v>1999</v>
      </c>
      <c r="BD55" s="52">
        <v>1998</v>
      </c>
      <c r="BE55" s="52">
        <v>1997</v>
      </c>
      <c r="BL55" t="s">
        <v>412</v>
      </c>
      <c r="BU55" s="10"/>
      <c r="BV55" s="10"/>
      <c r="BW55" s="10"/>
      <c r="BX55" s="10"/>
    </row>
    <row r="56" spans="1:76" ht="12.75">
      <c r="A56" s="59">
        <v>1</v>
      </c>
      <c r="B56" s="48" t="s">
        <v>89</v>
      </c>
      <c r="C56" s="48">
        <v>2005</v>
      </c>
      <c r="D56" s="60">
        <v>68000</v>
      </c>
      <c r="E56" s="61" t="s">
        <v>104</v>
      </c>
      <c r="F56" s="62">
        <v>0.683</v>
      </c>
      <c r="G56" s="63"/>
      <c r="H56">
        <f aca="true" t="shared" si="9" ref="H56:Q71">IF($B56=H$55,$D56,"")</f>
        <v>68000</v>
      </c>
      <c r="I56">
        <f t="shared" si="9"/>
      </c>
      <c r="J56">
        <f t="shared" si="9"/>
      </c>
      <c r="K56">
        <f t="shared" si="9"/>
      </c>
      <c r="L56">
        <f t="shared" si="9"/>
      </c>
      <c r="M56">
        <f t="shared" si="9"/>
      </c>
      <c r="N56">
        <f t="shared" si="9"/>
      </c>
      <c r="O56">
        <f t="shared" si="9"/>
      </c>
      <c r="P56">
        <f t="shared" si="9"/>
      </c>
      <c r="Q56">
        <f t="shared" si="9"/>
      </c>
      <c r="R56" s="9">
        <f>D56</f>
        <v>68000</v>
      </c>
      <c r="T56">
        <f>IF($C56=T$55,$D56,"")</f>
      </c>
      <c r="U56">
        <f aca="true" t="shared" si="10" ref="U56:AD71">IF($C56=U$55,$D56,"")</f>
      </c>
      <c r="V56">
        <f t="shared" si="10"/>
        <v>68000</v>
      </c>
      <c r="W56">
        <f t="shared" si="10"/>
      </c>
      <c r="X56">
        <f t="shared" si="10"/>
      </c>
      <c r="Y56">
        <f t="shared" si="10"/>
      </c>
      <c r="Z56">
        <f t="shared" si="10"/>
      </c>
      <c r="AA56">
        <f t="shared" si="10"/>
      </c>
      <c r="AB56">
        <f t="shared" si="10"/>
      </c>
      <c r="AC56">
        <f t="shared" si="10"/>
      </c>
      <c r="AD56">
        <f t="shared" si="10"/>
      </c>
      <c r="AE56">
        <f aca="true" t="shared" si="11" ref="AE56:AE119">IF($C56&lt;1997,$D56,"")</f>
      </c>
      <c r="AF56" s="9">
        <f aca="true" t="shared" si="12" ref="AF56:AF119">IF(C56=".","",D56)</f>
        <v>68000</v>
      </c>
      <c r="AG56">
        <f>IF($B56=AG$55,1,0)</f>
        <v>1</v>
      </c>
      <c r="AH56">
        <f aca="true" t="shared" si="13" ref="AH56:AO71">IF($B56=AH$55,1,0)</f>
        <v>0</v>
      </c>
      <c r="AI56">
        <f t="shared" si="13"/>
        <v>0</v>
      </c>
      <c r="AJ56">
        <f t="shared" si="13"/>
        <v>0</v>
      </c>
      <c r="AK56">
        <f t="shared" si="13"/>
        <v>0</v>
      </c>
      <c r="AL56">
        <f t="shared" si="13"/>
        <v>0</v>
      </c>
      <c r="AM56">
        <f t="shared" si="13"/>
        <v>0</v>
      </c>
      <c r="AN56">
        <f t="shared" si="13"/>
        <v>0</v>
      </c>
      <c r="AO56">
        <f t="shared" si="13"/>
        <v>0</v>
      </c>
      <c r="AP56">
        <f>2007-C56</f>
        <v>2</v>
      </c>
      <c r="AU56" s="24">
        <f>$AV$51+$AV$52*AU54</f>
        <v>118765.91354585781</v>
      </c>
      <c r="AV56" s="24">
        <f>$AV$51+$AV$52*AV54</f>
        <v>122613.22603940986</v>
      </c>
      <c r="AW56" s="24">
        <f aca="true" t="shared" si="14" ref="AW56:BE56">$AV$51+$AV$52*AW54</f>
        <v>126460.53853296192</v>
      </c>
      <c r="AX56" s="24">
        <f t="shared" si="14"/>
        <v>130307.85102651396</v>
      </c>
      <c r="AY56" s="24">
        <f t="shared" si="14"/>
        <v>134155.163520066</v>
      </c>
      <c r="AZ56" s="24">
        <f t="shared" si="14"/>
        <v>138002.47601361806</v>
      </c>
      <c r="BA56" s="24">
        <f t="shared" si="14"/>
        <v>141849.78850717013</v>
      </c>
      <c r="BB56" s="24">
        <f t="shared" si="14"/>
        <v>145697.10100072218</v>
      </c>
      <c r="BC56" s="24">
        <f t="shared" si="14"/>
        <v>149544.41349427422</v>
      </c>
      <c r="BD56" s="24">
        <f t="shared" si="14"/>
        <v>153391.72598782627</v>
      </c>
      <c r="BE56" s="24">
        <f t="shared" si="14"/>
        <v>157239.03848137835</v>
      </c>
      <c r="BL56" s="9">
        <f aca="true" t="shared" si="15" ref="BL56:BL119">D56-AP56*$AV$52</f>
        <v>60305.37501289589</v>
      </c>
      <c r="BM56" s="9">
        <f aca="true" t="shared" si="16" ref="BM56:BM87">IF(BL56&lt;$BO$52,BL56,"")</f>
        <v>60305.37501289589</v>
      </c>
      <c r="BN56" s="9">
        <f>IF(BL56&gt;$BO$52,BL56,"")</f>
      </c>
      <c r="BU56" s="9"/>
      <c r="BV56" s="9"/>
      <c r="BW56" s="9"/>
      <c r="BX56" s="9"/>
    </row>
    <row r="57" spans="1:76" ht="12.75">
      <c r="A57" s="59">
        <f>A56+1</f>
        <v>2</v>
      </c>
      <c r="B57" s="48" t="s">
        <v>89</v>
      </c>
      <c r="C57" s="48">
        <v>2005</v>
      </c>
      <c r="D57" s="60">
        <v>74000</v>
      </c>
      <c r="E57" s="64">
        <f>AVERAGE(D56:D87)</f>
        <v>75656.25</v>
      </c>
      <c r="F57" s="65"/>
      <c r="G57" s="66"/>
      <c r="H57">
        <f t="shared" si="9"/>
        <v>74000</v>
      </c>
      <c r="I57">
        <f t="shared" si="9"/>
      </c>
      <c r="J57">
        <f t="shared" si="9"/>
      </c>
      <c r="K57">
        <f t="shared" si="9"/>
      </c>
      <c r="L57">
        <f t="shared" si="9"/>
      </c>
      <c r="M57">
        <f t="shared" si="9"/>
      </c>
      <c r="N57">
        <f t="shared" si="9"/>
      </c>
      <c r="O57">
        <f t="shared" si="9"/>
      </c>
      <c r="P57">
        <f t="shared" si="9"/>
      </c>
      <c r="Q57">
        <f t="shared" si="9"/>
      </c>
      <c r="R57" s="9">
        <f aca="true" t="shared" si="17" ref="R57:R120">D57</f>
        <v>74000</v>
      </c>
      <c r="T57">
        <f aca="true" t="shared" si="18" ref="T57:T120">IF($C57=T$55,$D57,"")</f>
      </c>
      <c r="U57">
        <f t="shared" si="10"/>
      </c>
      <c r="V57">
        <f t="shared" si="10"/>
        <v>74000</v>
      </c>
      <c r="W57">
        <f t="shared" si="10"/>
      </c>
      <c r="X57">
        <f t="shared" si="10"/>
      </c>
      <c r="Y57">
        <f t="shared" si="10"/>
      </c>
      <c r="Z57">
        <f t="shared" si="10"/>
      </c>
      <c r="AA57">
        <f t="shared" si="10"/>
      </c>
      <c r="AB57">
        <f t="shared" si="10"/>
      </c>
      <c r="AC57">
        <f t="shared" si="10"/>
      </c>
      <c r="AD57">
        <f t="shared" si="10"/>
      </c>
      <c r="AE57">
        <f t="shared" si="11"/>
      </c>
      <c r="AF57" s="9">
        <f t="shared" si="12"/>
        <v>74000</v>
      </c>
      <c r="AG57">
        <f aca="true" t="shared" si="19" ref="AG57:AO87">IF($B57=AG$55,1,0)</f>
        <v>1</v>
      </c>
      <c r="AH57">
        <f t="shared" si="13"/>
        <v>0</v>
      </c>
      <c r="AI57">
        <f t="shared" si="13"/>
        <v>0</v>
      </c>
      <c r="AJ57">
        <f t="shared" si="13"/>
        <v>0</v>
      </c>
      <c r="AK57">
        <f t="shared" si="13"/>
        <v>0</v>
      </c>
      <c r="AL57">
        <f t="shared" si="13"/>
        <v>0</v>
      </c>
      <c r="AM57">
        <f t="shared" si="13"/>
        <v>0</v>
      </c>
      <c r="AN57">
        <f t="shared" si="13"/>
        <v>0</v>
      </c>
      <c r="AO57">
        <f t="shared" si="13"/>
        <v>0</v>
      </c>
      <c r="AP57">
        <f aca="true" t="shared" si="20" ref="AP57:AP120">2007-C57</f>
        <v>2</v>
      </c>
      <c r="BL57" s="9">
        <f t="shared" si="15"/>
        <v>66305.37501289589</v>
      </c>
      <c r="BM57" s="9">
        <f t="shared" si="16"/>
        <v>66305.37501289589</v>
      </c>
      <c r="BN57" s="9">
        <f aca="true" t="shared" si="21" ref="BN57:BN119">IF(BL57&gt;$BO$52,BL57,"")</f>
      </c>
      <c r="BU57" s="9"/>
      <c r="BV57" s="9"/>
      <c r="BW57" s="9"/>
      <c r="BX57" s="9"/>
    </row>
    <row r="58" spans="1:76" ht="12.75">
      <c r="A58" s="59">
        <f aca="true" t="shared" si="22" ref="A58:A121">A57+1</f>
        <v>3</v>
      </c>
      <c r="B58" s="48" t="s">
        <v>89</v>
      </c>
      <c r="C58" s="48">
        <v>2005</v>
      </c>
      <c r="D58" s="60">
        <v>80000</v>
      </c>
      <c r="E58" s="65">
        <f>STDEV(D56:D87)</f>
        <v>6631.349665573123</v>
      </c>
      <c r="F58" s="65"/>
      <c r="G58" s="66"/>
      <c r="H58">
        <f t="shared" si="9"/>
        <v>80000</v>
      </c>
      <c r="I58">
        <f t="shared" si="9"/>
      </c>
      <c r="J58">
        <f t="shared" si="9"/>
      </c>
      <c r="K58">
        <f t="shared" si="9"/>
      </c>
      <c r="L58">
        <f t="shared" si="9"/>
      </c>
      <c r="M58">
        <f t="shared" si="9"/>
      </c>
      <c r="N58">
        <f t="shared" si="9"/>
      </c>
      <c r="O58">
        <f t="shared" si="9"/>
      </c>
      <c r="P58">
        <f t="shared" si="9"/>
      </c>
      <c r="Q58">
        <f t="shared" si="9"/>
      </c>
      <c r="R58" s="9">
        <f t="shared" si="17"/>
        <v>80000</v>
      </c>
      <c r="T58">
        <f t="shared" si="18"/>
      </c>
      <c r="U58">
        <f t="shared" si="10"/>
      </c>
      <c r="V58">
        <f t="shared" si="10"/>
        <v>80000</v>
      </c>
      <c r="W58">
        <f t="shared" si="10"/>
      </c>
      <c r="X58">
        <f t="shared" si="10"/>
      </c>
      <c r="Y58">
        <f t="shared" si="10"/>
      </c>
      <c r="Z58">
        <f t="shared" si="10"/>
      </c>
      <c r="AA58">
        <f t="shared" si="10"/>
      </c>
      <c r="AB58">
        <f t="shared" si="10"/>
      </c>
      <c r="AC58">
        <f t="shared" si="10"/>
      </c>
      <c r="AD58">
        <f t="shared" si="10"/>
      </c>
      <c r="AE58">
        <f t="shared" si="11"/>
      </c>
      <c r="AF58" s="9">
        <f t="shared" si="12"/>
        <v>80000</v>
      </c>
      <c r="AG58">
        <f t="shared" si="19"/>
        <v>1</v>
      </c>
      <c r="AH58">
        <f t="shared" si="13"/>
        <v>0</v>
      </c>
      <c r="AI58">
        <f t="shared" si="13"/>
        <v>0</v>
      </c>
      <c r="AJ58">
        <f t="shared" si="13"/>
        <v>0</v>
      </c>
      <c r="AK58">
        <f t="shared" si="13"/>
        <v>0</v>
      </c>
      <c r="AL58">
        <f t="shared" si="13"/>
        <v>0</v>
      </c>
      <c r="AM58">
        <f t="shared" si="13"/>
        <v>0</v>
      </c>
      <c r="AN58">
        <f t="shared" si="13"/>
        <v>0</v>
      </c>
      <c r="AO58">
        <f t="shared" si="13"/>
        <v>0</v>
      </c>
      <c r="AP58">
        <f t="shared" si="20"/>
        <v>2</v>
      </c>
      <c r="BL58" s="9">
        <f t="shared" si="15"/>
        <v>72305.37501289589</v>
      </c>
      <c r="BM58" s="9">
        <f t="shared" si="16"/>
        <v>72305.37501289589</v>
      </c>
      <c r="BN58" s="9">
        <f t="shared" si="21"/>
      </c>
      <c r="BU58" s="9"/>
      <c r="BV58" s="9"/>
      <c r="BW58" s="9"/>
      <c r="BX58" s="9"/>
    </row>
    <row r="59" spans="1:76" ht="12.75">
      <c r="A59" s="59">
        <f t="shared" si="22"/>
        <v>4</v>
      </c>
      <c r="B59" s="48" t="s">
        <v>89</v>
      </c>
      <c r="C59" s="48">
        <v>2005</v>
      </c>
      <c r="D59" s="60">
        <v>80000</v>
      </c>
      <c r="E59" s="67" t="s">
        <v>111</v>
      </c>
      <c r="F59" s="65"/>
      <c r="G59" s="66"/>
      <c r="H59">
        <f t="shared" si="9"/>
        <v>80000</v>
      </c>
      <c r="I59">
        <f t="shared" si="9"/>
      </c>
      <c r="J59">
        <f t="shared" si="9"/>
      </c>
      <c r="K59">
        <f t="shared" si="9"/>
      </c>
      <c r="L59">
        <f t="shared" si="9"/>
      </c>
      <c r="M59">
        <f t="shared" si="9"/>
      </c>
      <c r="N59">
        <f t="shared" si="9"/>
      </c>
      <c r="O59">
        <f t="shared" si="9"/>
      </c>
      <c r="P59">
        <f t="shared" si="9"/>
      </c>
      <c r="Q59">
        <f t="shared" si="9"/>
      </c>
      <c r="R59" s="9">
        <f t="shared" si="17"/>
        <v>80000</v>
      </c>
      <c r="T59">
        <f t="shared" si="18"/>
      </c>
      <c r="U59">
        <f t="shared" si="10"/>
      </c>
      <c r="V59">
        <f t="shared" si="10"/>
        <v>80000</v>
      </c>
      <c r="W59">
        <f t="shared" si="10"/>
      </c>
      <c r="X59">
        <f t="shared" si="10"/>
      </c>
      <c r="Y59">
        <f t="shared" si="10"/>
      </c>
      <c r="Z59">
        <f t="shared" si="10"/>
      </c>
      <c r="AA59">
        <f t="shared" si="10"/>
      </c>
      <c r="AB59">
        <f t="shared" si="10"/>
      </c>
      <c r="AC59">
        <f t="shared" si="10"/>
      </c>
      <c r="AD59">
        <f t="shared" si="10"/>
      </c>
      <c r="AE59">
        <f t="shared" si="11"/>
      </c>
      <c r="AF59" s="9">
        <f t="shared" si="12"/>
        <v>80000</v>
      </c>
      <c r="AG59">
        <f t="shared" si="19"/>
        <v>1</v>
      </c>
      <c r="AH59">
        <f t="shared" si="13"/>
        <v>0</v>
      </c>
      <c r="AI59">
        <f t="shared" si="13"/>
        <v>0</v>
      </c>
      <c r="AJ59">
        <f t="shared" si="13"/>
        <v>0</v>
      </c>
      <c r="AK59">
        <f t="shared" si="13"/>
        <v>0</v>
      </c>
      <c r="AL59">
        <f t="shared" si="13"/>
        <v>0</v>
      </c>
      <c r="AM59">
        <f t="shared" si="13"/>
        <v>0</v>
      </c>
      <c r="AN59">
        <f t="shared" si="13"/>
        <v>0</v>
      </c>
      <c r="AO59">
        <f t="shared" si="13"/>
        <v>0</v>
      </c>
      <c r="AP59">
        <f t="shared" si="20"/>
        <v>2</v>
      </c>
      <c r="BL59" s="9">
        <f t="shared" si="15"/>
        <v>72305.37501289589</v>
      </c>
      <c r="BM59" s="9">
        <f t="shared" si="16"/>
        <v>72305.37501289589</v>
      </c>
      <c r="BN59" s="9">
        <f t="shared" si="21"/>
      </c>
      <c r="BU59" s="9"/>
      <c r="BV59" s="9"/>
      <c r="BW59" s="9"/>
      <c r="BX59" s="9"/>
    </row>
    <row r="60" spans="1:76" ht="12.75">
      <c r="A60" s="59">
        <f t="shared" si="22"/>
        <v>5</v>
      </c>
      <c r="B60" s="48" t="s">
        <v>89</v>
      </c>
      <c r="C60" s="48">
        <v>2005</v>
      </c>
      <c r="D60" s="60">
        <v>76000</v>
      </c>
      <c r="E60" s="65">
        <f>E57-2*E58</f>
        <v>62393.55066885376</v>
      </c>
      <c r="F60" s="65"/>
      <c r="G60" s="66"/>
      <c r="H60">
        <f t="shared" si="9"/>
        <v>76000</v>
      </c>
      <c r="I60">
        <f t="shared" si="9"/>
      </c>
      <c r="J60">
        <f t="shared" si="9"/>
      </c>
      <c r="K60">
        <f t="shared" si="9"/>
      </c>
      <c r="L60">
        <f t="shared" si="9"/>
      </c>
      <c r="M60">
        <f t="shared" si="9"/>
      </c>
      <c r="N60">
        <f t="shared" si="9"/>
      </c>
      <c r="O60">
        <f t="shared" si="9"/>
      </c>
      <c r="P60">
        <f t="shared" si="9"/>
      </c>
      <c r="Q60">
        <f t="shared" si="9"/>
      </c>
      <c r="R60" s="9">
        <f t="shared" si="17"/>
        <v>76000</v>
      </c>
      <c r="T60">
        <f t="shared" si="18"/>
      </c>
      <c r="U60">
        <f t="shared" si="10"/>
      </c>
      <c r="V60">
        <f t="shared" si="10"/>
        <v>76000</v>
      </c>
      <c r="W60">
        <f t="shared" si="10"/>
      </c>
      <c r="X60">
        <f t="shared" si="10"/>
      </c>
      <c r="Y60">
        <f t="shared" si="10"/>
      </c>
      <c r="Z60">
        <f t="shared" si="10"/>
      </c>
      <c r="AA60">
        <f t="shared" si="10"/>
      </c>
      <c r="AB60">
        <f t="shared" si="10"/>
      </c>
      <c r="AC60">
        <f t="shared" si="10"/>
      </c>
      <c r="AD60">
        <f t="shared" si="10"/>
      </c>
      <c r="AE60">
        <f t="shared" si="11"/>
      </c>
      <c r="AF60" s="9">
        <f t="shared" si="12"/>
        <v>76000</v>
      </c>
      <c r="AG60">
        <f t="shared" si="19"/>
        <v>1</v>
      </c>
      <c r="AH60">
        <f t="shared" si="13"/>
        <v>0</v>
      </c>
      <c r="AI60">
        <f t="shared" si="13"/>
        <v>0</v>
      </c>
      <c r="AJ60">
        <f t="shared" si="13"/>
        <v>0</v>
      </c>
      <c r="AK60">
        <f t="shared" si="13"/>
        <v>0</v>
      </c>
      <c r="AL60">
        <f t="shared" si="13"/>
        <v>0</v>
      </c>
      <c r="AM60">
        <f t="shared" si="13"/>
        <v>0</v>
      </c>
      <c r="AN60">
        <f t="shared" si="13"/>
        <v>0</v>
      </c>
      <c r="AO60">
        <f t="shared" si="13"/>
        <v>0</v>
      </c>
      <c r="AP60">
        <f t="shared" si="20"/>
        <v>2</v>
      </c>
      <c r="BL60" s="9">
        <f t="shared" si="15"/>
        <v>68305.37501289589</v>
      </c>
      <c r="BM60" s="9">
        <f t="shared" si="16"/>
        <v>68305.37501289589</v>
      </c>
      <c r="BN60" s="9">
        <f t="shared" si="21"/>
      </c>
      <c r="BU60" s="9"/>
      <c r="BV60" s="9"/>
      <c r="BW60" s="9"/>
      <c r="BX60" s="9"/>
    </row>
    <row r="61" spans="1:76" ht="12.75">
      <c r="A61" s="59">
        <f t="shared" si="22"/>
        <v>6</v>
      </c>
      <c r="B61" s="48" t="s">
        <v>89</v>
      </c>
      <c r="C61" s="48">
        <v>2005</v>
      </c>
      <c r="D61" s="60">
        <v>70000</v>
      </c>
      <c r="E61" s="65" t="s">
        <v>112</v>
      </c>
      <c r="F61" s="65"/>
      <c r="G61" s="66"/>
      <c r="H61">
        <f t="shared" si="9"/>
        <v>70000</v>
      </c>
      <c r="I61">
        <f t="shared" si="9"/>
      </c>
      <c r="J61">
        <f t="shared" si="9"/>
      </c>
      <c r="K61">
        <f t="shared" si="9"/>
      </c>
      <c r="L61">
        <f t="shared" si="9"/>
      </c>
      <c r="M61">
        <f t="shared" si="9"/>
      </c>
      <c r="N61">
        <f t="shared" si="9"/>
      </c>
      <c r="O61">
        <f t="shared" si="9"/>
      </c>
      <c r="P61">
        <f t="shared" si="9"/>
      </c>
      <c r="Q61">
        <f t="shared" si="9"/>
      </c>
      <c r="R61" s="9">
        <f t="shared" si="17"/>
        <v>70000</v>
      </c>
      <c r="T61">
        <f t="shared" si="18"/>
      </c>
      <c r="U61">
        <f t="shared" si="10"/>
      </c>
      <c r="V61">
        <f t="shared" si="10"/>
        <v>70000</v>
      </c>
      <c r="W61">
        <f t="shared" si="10"/>
      </c>
      <c r="X61">
        <f t="shared" si="10"/>
      </c>
      <c r="Y61">
        <f t="shared" si="10"/>
      </c>
      <c r="Z61">
        <f t="shared" si="10"/>
      </c>
      <c r="AA61">
        <f t="shared" si="10"/>
      </c>
      <c r="AB61">
        <f t="shared" si="10"/>
      </c>
      <c r="AC61">
        <f t="shared" si="10"/>
      </c>
      <c r="AD61">
        <f t="shared" si="10"/>
      </c>
      <c r="AE61">
        <f t="shared" si="11"/>
      </c>
      <c r="AF61" s="9">
        <f t="shared" si="12"/>
        <v>70000</v>
      </c>
      <c r="AG61">
        <f t="shared" si="19"/>
        <v>1</v>
      </c>
      <c r="AH61">
        <f t="shared" si="13"/>
        <v>0</v>
      </c>
      <c r="AI61">
        <f t="shared" si="13"/>
        <v>0</v>
      </c>
      <c r="AJ61">
        <f t="shared" si="13"/>
        <v>0</v>
      </c>
      <c r="AK61">
        <f t="shared" si="13"/>
        <v>0</v>
      </c>
      <c r="AL61">
        <f t="shared" si="13"/>
        <v>0</v>
      </c>
      <c r="AM61">
        <f t="shared" si="13"/>
        <v>0</v>
      </c>
      <c r="AN61">
        <f t="shared" si="13"/>
        <v>0</v>
      </c>
      <c r="AO61">
        <f t="shared" si="13"/>
        <v>0</v>
      </c>
      <c r="AP61">
        <f t="shared" si="20"/>
        <v>2</v>
      </c>
      <c r="BL61" s="9">
        <f t="shared" si="15"/>
        <v>62305.37501289589</v>
      </c>
      <c r="BM61" s="9">
        <f t="shared" si="16"/>
        <v>62305.37501289589</v>
      </c>
      <c r="BN61" s="9">
        <f t="shared" si="21"/>
      </c>
      <c r="BU61" s="9"/>
      <c r="BV61" s="9"/>
      <c r="BW61" s="9"/>
      <c r="BX61" s="9"/>
    </row>
    <row r="62" spans="1:76" ht="12.75">
      <c r="A62" s="59">
        <f t="shared" si="22"/>
        <v>7</v>
      </c>
      <c r="B62" s="48" t="s">
        <v>89</v>
      </c>
      <c r="C62" s="48">
        <v>2005</v>
      </c>
      <c r="D62" s="60">
        <v>70000</v>
      </c>
      <c r="E62" s="65">
        <f>E57+2*E58</f>
        <v>88918.94933114624</v>
      </c>
      <c r="F62" s="65"/>
      <c r="G62" s="66"/>
      <c r="H62">
        <f t="shared" si="9"/>
        <v>70000</v>
      </c>
      <c r="I62">
        <f t="shared" si="9"/>
      </c>
      <c r="J62">
        <f t="shared" si="9"/>
      </c>
      <c r="K62">
        <f t="shared" si="9"/>
      </c>
      <c r="L62">
        <f t="shared" si="9"/>
      </c>
      <c r="M62">
        <f t="shared" si="9"/>
      </c>
      <c r="N62">
        <f t="shared" si="9"/>
      </c>
      <c r="O62">
        <f t="shared" si="9"/>
      </c>
      <c r="P62">
        <f t="shared" si="9"/>
      </c>
      <c r="Q62">
        <f t="shared" si="9"/>
      </c>
      <c r="R62" s="9">
        <f t="shared" si="17"/>
        <v>70000</v>
      </c>
      <c r="T62">
        <f t="shared" si="18"/>
      </c>
      <c r="U62">
        <f t="shared" si="10"/>
      </c>
      <c r="V62">
        <f t="shared" si="10"/>
        <v>70000</v>
      </c>
      <c r="W62">
        <f t="shared" si="10"/>
      </c>
      <c r="X62">
        <f t="shared" si="10"/>
      </c>
      <c r="Y62">
        <f t="shared" si="10"/>
      </c>
      <c r="Z62">
        <f t="shared" si="10"/>
      </c>
      <c r="AA62">
        <f t="shared" si="10"/>
      </c>
      <c r="AB62">
        <f t="shared" si="10"/>
      </c>
      <c r="AC62">
        <f t="shared" si="10"/>
      </c>
      <c r="AD62">
        <f t="shared" si="10"/>
      </c>
      <c r="AE62">
        <f t="shared" si="11"/>
      </c>
      <c r="AF62" s="9">
        <f t="shared" si="12"/>
        <v>70000</v>
      </c>
      <c r="AG62">
        <f t="shared" si="19"/>
        <v>1</v>
      </c>
      <c r="AH62">
        <f t="shared" si="13"/>
        <v>0</v>
      </c>
      <c r="AI62">
        <f t="shared" si="13"/>
        <v>0</v>
      </c>
      <c r="AJ62">
        <f t="shared" si="13"/>
        <v>0</v>
      </c>
      <c r="AK62">
        <f t="shared" si="13"/>
        <v>0</v>
      </c>
      <c r="AL62">
        <f t="shared" si="13"/>
        <v>0</v>
      </c>
      <c r="AM62">
        <f t="shared" si="13"/>
        <v>0</v>
      </c>
      <c r="AN62">
        <f t="shared" si="13"/>
        <v>0</v>
      </c>
      <c r="AO62">
        <f t="shared" si="13"/>
        <v>0</v>
      </c>
      <c r="AP62">
        <f t="shared" si="20"/>
        <v>2</v>
      </c>
      <c r="BL62" s="9">
        <f t="shared" si="15"/>
        <v>62305.37501289589</v>
      </c>
      <c r="BM62" s="9">
        <f t="shared" si="16"/>
        <v>62305.37501289589</v>
      </c>
      <c r="BN62" s="9">
        <f t="shared" si="21"/>
      </c>
      <c r="BU62" s="9"/>
      <c r="BV62" s="9"/>
      <c r="BW62" s="9"/>
      <c r="BX62" s="9"/>
    </row>
    <row r="63" spans="1:76" ht="12.75">
      <c r="A63" s="59">
        <f t="shared" si="22"/>
        <v>8</v>
      </c>
      <c r="B63" s="48" t="s">
        <v>89</v>
      </c>
      <c r="C63" s="48">
        <v>2005</v>
      </c>
      <c r="D63" s="60">
        <v>70000</v>
      </c>
      <c r="E63" s="65"/>
      <c r="F63" s="65"/>
      <c r="G63" s="66"/>
      <c r="H63">
        <f t="shared" si="9"/>
        <v>70000</v>
      </c>
      <c r="I63">
        <f t="shared" si="9"/>
      </c>
      <c r="J63">
        <f t="shared" si="9"/>
      </c>
      <c r="K63">
        <f t="shared" si="9"/>
      </c>
      <c r="L63">
        <f t="shared" si="9"/>
      </c>
      <c r="M63">
        <f t="shared" si="9"/>
      </c>
      <c r="N63">
        <f t="shared" si="9"/>
      </c>
      <c r="O63">
        <f t="shared" si="9"/>
      </c>
      <c r="P63">
        <f t="shared" si="9"/>
      </c>
      <c r="Q63">
        <f t="shared" si="9"/>
      </c>
      <c r="R63" s="9">
        <f t="shared" si="17"/>
        <v>70000</v>
      </c>
      <c r="T63">
        <f t="shared" si="18"/>
      </c>
      <c r="U63">
        <f t="shared" si="10"/>
      </c>
      <c r="V63">
        <f t="shared" si="10"/>
        <v>70000</v>
      </c>
      <c r="W63">
        <f t="shared" si="10"/>
      </c>
      <c r="X63">
        <f t="shared" si="10"/>
      </c>
      <c r="Y63">
        <f t="shared" si="10"/>
      </c>
      <c r="Z63">
        <f t="shared" si="10"/>
      </c>
      <c r="AA63">
        <f t="shared" si="10"/>
      </c>
      <c r="AB63">
        <f t="shared" si="10"/>
      </c>
      <c r="AC63">
        <f t="shared" si="10"/>
      </c>
      <c r="AD63">
        <f t="shared" si="10"/>
      </c>
      <c r="AE63">
        <f t="shared" si="11"/>
      </c>
      <c r="AF63" s="9">
        <f t="shared" si="12"/>
        <v>70000</v>
      </c>
      <c r="AG63">
        <f t="shared" si="19"/>
        <v>1</v>
      </c>
      <c r="AH63">
        <f t="shared" si="13"/>
        <v>0</v>
      </c>
      <c r="AI63">
        <f t="shared" si="13"/>
        <v>0</v>
      </c>
      <c r="AJ63">
        <f t="shared" si="13"/>
        <v>0</v>
      </c>
      <c r="AK63">
        <f t="shared" si="13"/>
        <v>0</v>
      </c>
      <c r="AL63">
        <f t="shared" si="13"/>
        <v>0</v>
      </c>
      <c r="AM63">
        <f t="shared" si="13"/>
        <v>0</v>
      </c>
      <c r="AN63">
        <f t="shared" si="13"/>
        <v>0</v>
      </c>
      <c r="AO63">
        <f t="shared" si="13"/>
        <v>0</v>
      </c>
      <c r="AP63">
        <f t="shared" si="20"/>
        <v>2</v>
      </c>
      <c r="BL63" s="9">
        <f t="shared" si="15"/>
        <v>62305.37501289589</v>
      </c>
      <c r="BM63" s="9">
        <f t="shared" si="16"/>
        <v>62305.37501289589</v>
      </c>
      <c r="BN63" s="9">
        <f t="shared" si="21"/>
      </c>
      <c r="BU63" s="9"/>
      <c r="BV63" s="9"/>
      <c r="BW63" s="9"/>
      <c r="BX63" s="9"/>
    </row>
    <row r="64" spans="1:76" ht="12.75">
      <c r="A64" s="59">
        <f t="shared" si="22"/>
        <v>9</v>
      </c>
      <c r="B64" s="48" t="s">
        <v>89</v>
      </c>
      <c r="C64" s="48">
        <v>2005</v>
      </c>
      <c r="D64" s="60">
        <v>90000</v>
      </c>
      <c r="E64" s="65"/>
      <c r="F64" s="65"/>
      <c r="G64" s="66"/>
      <c r="H64">
        <f t="shared" si="9"/>
        <v>90000</v>
      </c>
      <c r="I64">
        <f t="shared" si="9"/>
      </c>
      <c r="J64">
        <f t="shared" si="9"/>
      </c>
      <c r="K64">
        <f t="shared" si="9"/>
      </c>
      <c r="L64">
        <f t="shared" si="9"/>
      </c>
      <c r="M64">
        <f t="shared" si="9"/>
      </c>
      <c r="N64">
        <f t="shared" si="9"/>
      </c>
      <c r="O64">
        <f t="shared" si="9"/>
      </c>
      <c r="P64">
        <f t="shared" si="9"/>
      </c>
      <c r="Q64">
        <f t="shared" si="9"/>
      </c>
      <c r="R64" s="9">
        <f t="shared" si="17"/>
        <v>90000</v>
      </c>
      <c r="T64">
        <f t="shared" si="18"/>
      </c>
      <c r="U64">
        <f t="shared" si="10"/>
      </c>
      <c r="V64">
        <f t="shared" si="10"/>
        <v>90000</v>
      </c>
      <c r="W64">
        <f t="shared" si="10"/>
      </c>
      <c r="X64">
        <f t="shared" si="10"/>
      </c>
      <c r="Y64">
        <f t="shared" si="10"/>
      </c>
      <c r="Z64">
        <f t="shared" si="10"/>
      </c>
      <c r="AA64">
        <f t="shared" si="10"/>
      </c>
      <c r="AB64">
        <f t="shared" si="10"/>
      </c>
      <c r="AC64">
        <f t="shared" si="10"/>
      </c>
      <c r="AD64">
        <f t="shared" si="10"/>
      </c>
      <c r="AE64">
        <f t="shared" si="11"/>
      </c>
      <c r="AF64" s="9">
        <f t="shared" si="12"/>
        <v>90000</v>
      </c>
      <c r="AG64">
        <f t="shared" si="19"/>
        <v>1</v>
      </c>
      <c r="AH64">
        <f t="shared" si="13"/>
        <v>0</v>
      </c>
      <c r="AI64">
        <f t="shared" si="13"/>
        <v>0</v>
      </c>
      <c r="AJ64">
        <f t="shared" si="13"/>
        <v>0</v>
      </c>
      <c r="AK64">
        <f t="shared" si="13"/>
        <v>0</v>
      </c>
      <c r="AL64">
        <f t="shared" si="13"/>
        <v>0</v>
      </c>
      <c r="AM64">
        <f t="shared" si="13"/>
        <v>0</v>
      </c>
      <c r="AN64">
        <f t="shared" si="13"/>
        <v>0</v>
      </c>
      <c r="AO64">
        <f t="shared" si="13"/>
        <v>0</v>
      </c>
      <c r="AP64">
        <f t="shared" si="20"/>
        <v>2</v>
      </c>
      <c r="BL64" s="9">
        <f t="shared" si="15"/>
        <v>82305.37501289589</v>
      </c>
      <c r="BM64" s="9">
        <f t="shared" si="16"/>
        <v>82305.37501289589</v>
      </c>
      <c r="BN64" s="9">
        <f t="shared" si="21"/>
      </c>
      <c r="BU64" s="9"/>
      <c r="BV64" s="9"/>
      <c r="BW64" s="9"/>
      <c r="BX64" s="9"/>
    </row>
    <row r="65" spans="1:76" ht="12.75">
      <c r="A65" s="59">
        <f t="shared" si="22"/>
        <v>10</v>
      </c>
      <c r="B65" s="48" t="s">
        <v>89</v>
      </c>
      <c r="C65" s="48">
        <v>2005</v>
      </c>
      <c r="D65" s="60">
        <v>74000</v>
      </c>
      <c r="E65" s="65"/>
      <c r="F65" s="65"/>
      <c r="G65" s="66"/>
      <c r="H65">
        <f t="shared" si="9"/>
        <v>74000</v>
      </c>
      <c r="I65">
        <f t="shared" si="9"/>
      </c>
      <c r="J65">
        <f t="shared" si="9"/>
      </c>
      <c r="K65">
        <f t="shared" si="9"/>
      </c>
      <c r="L65">
        <f t="shared" si="9"/>
      </c>
      <c r="M65">
        <f t="shared" si="9"/>
      </c>
      <c r="N65">
        <f t="shared" si="9"/>
      </c>
      <c r="O65">
        <f t="shared" si="9"/>
      </c>
      <c r="P65">
        <f t="shared" si="9"/>
      </c>
      <c r="Q65">
        <f t="shared" si="9"/>
      </c>
      <c r="R65" s="9">
        <f t="shared" si="17"/>
        <v>74000</v>
      </c>
      <c r="T65">
        <f t="shared" si="18"/>
      </c>
      <c r="U65">
        <f t="shared" si="10"/>
      </c>
      <c r="V65">
        <f t="shared" si="10"/>
        <v>74000</v>
      </c>
      <c r="W65">
        <f t="shared" si="10"/>
      </c>
      <c r="X65">
        <f t="shared" si="10"/>
      </c>
      <c r="Y65">
        <f t="shared" si="10"/>
      </c>
      <c r="Z65">
        <f t="shared" si="10"/>
      </c>
      <c r="AA65">
        <f t="shared" si="10"/>
      </c>
      <c r="AB65">
        <f t="shared" si="10"/>
      </c>
      <c r="AC65">
        <f t="shared" si="10"/>
      </c>
      <c r="AD65">
        <f t="shared" si="10"/>
      </c>
      <c r="AE65">
        <f t="shared" si="11"/>
      </c>
      <c r="AF65" s="9">
        <f t="shared" si="12"/>
        <v>74000</v>
      </c>
      <c r="AG65">
        <f t="shared" si="19"/>
        <v>1</v>
      </c>
      <c r="AH65">
        <f t="shared" si="13"/>
        <v>0</v>
      </c>
      <c r="AI65">
        <f t="shared" si="13"/>
        <v>0</v>
      </c>
      <c r="AJ65">
        <f t="shared" si="13"/>
        <v>0</v>
      </c>
      <c r="AK65">
        <f t="shared" si="13"/>
        <v>0</v>
      </c>
      <c r="AL65">
        <f t="shared" si="13"/>
        <v>0</v>
      </c>
      <c r="AM65">
        <f t="shared" si="13"/>
        <v>0</v>
      </c>
      <c r="AN65">
        <f t="shared" si="13"/>
        <v>0</v>
      </c>
      <c r="AO65">
        <f t="shared" si="13"/>
        <v>0</v>
      </c>
      <c r="AP65">
        <f t="shared" si="20"/>
        <v>2</v>
      </c>
      <c r="BL65" s="9">
        <f t="shared" si="15"/>
        <v>66305.37501289589</v>
      </c>
      <c r="BM65" s="9">
        <f t="shared" si="16"/>
        <v>66305.37501289589</v>
      </c>
      <c r="BN65" s="9">
        <f t="shared" si="21"/>
      </c>
      <c r="BU65" s="9"/>
      <c r="BV65" s="9"/>
      <c r="BW65" s="9"/>
      <c r="BX65" s="9"/>
    </row>
    <row r="66" spans="1:76" ht="12.75">
      <c r="A66" s="59">
        <f t="shared" si="22"/>
        <v>11</v>
      </c>
      <c r="B66" s="48" t="s">
        <v>89</v>
      </c>
      <c r="C66" s="48">
        <v>2005</v>
      </c>
      <c r="D66" s="60">
        <v>65000</v>
      </c>
      <c r="E66" s="65"/>
      <c r="F66" s="65"/>
      <c r="G66" s="66"/>
      <c r="H66">
        <f t="shared" si="9"/>
        <v>65000</v>
      </c>
      <c r="I66">
        <f t="shared" si="9"/>
      </c>
      <c r="J66">
        <f t="shared" si="9"/>
      </c>
      <c r="K66">
        <f t="shared" si="9"/>
      </c>
      <c r="L66">
        <f t="shared" si="9"/>
      </c>
      <c r="M66">
        <f t="shared" si="9"/>
      </c>
      <c r="N66">
        <f t="shared" si="9"/>
      </c>
      <c r="O66">
        <f t="shared" si="9"/>
      </c>
      <c r="P66">
        <f t="shared" si="9"/>
      </c>
      <c r="Q66">
        <f t="shared" si="9"/>
      </c>
      <c r="R66" s="9">
        <f t="shared" si="17"/>
        <v>65000</v>
      </c>
      <c r="T66">
        <f t="shared" si="18"/>
      </c>
      <c r="U66">
        <f t="shared" si="10"/>
      </c>
      <c r="V66">
        <f t="shared" si="10"/>
        <v>65000</v>
      </c>
      <c r="W66">
        <f t="shared" si="10"/>
      </c>
      <c r="X66">
        <f t="shared" si="10"/>
      </c>
      <c r="Y66">
        <f t="shared" si="10"/>
      </c>
      <c r="Z66">
        <f t="shared" si="10"/>
      </c>
      <c r="AA66">
        <f t="shared" si="10"/>
      </c>
      <c r="AB66">
        <f t="shared" si="10"/>
      </c>
      <c r="AC66">
        <f t="shared" si="10"/>
      </c>
      <c r="AD66">
        <f t="shared" si="10"/>
      </c>
      <c r="AE66">
        <f t="shared" si="11"/>
      </c>
      <c r="AF66" s="9">
        <f t="shared" si="12"/>
        <v>65000</v>
      </c>
      <c r="AG66">
        <f t="shared" si="19"/>
        <v>1</v>
      </c>
      <c r="AH66">
        <f t="shared" si="13"/>
        <v>0</v>
      </c>
      <c r="AI66">
        <f t="shared" si="13"/>
        <v>0</v>
      </c>
      <c r="AJ66">
        <f t="shared" si="13"/>
        <v>0</v>
      </c>
      <c r="AK66">
        <f t="shared" si="13"/>
        <v>0</v>
      </c>
      <c r="AL66">
        <f t="shared" si="13"/>
        <v>0</v>
      </c>
      <c r="AM66">
        <f t="shared" si="13"/>
        <v>0</v>
      </c>
      <c r="AN66">
        <f t="shared" si="13"/>
        <v>0</v>
      </c>
      <c r="AO66">
        <f t="shared" si="13"/>
        <v>0</v>
      </c>
      <c r="AP66">
        <f t="shared" si="20"/>
        <v>2</v>
      </c>
      <c r="BL66" s="9">
        <f t="shared" si="15"/>
        <v>57305.37501289589</v>
      </c>
      <c r="BM66" s="9">
        <f t="shared" si="16"/>
        <v>57305.37501289589</v>
      </c>
      <c r="BN66" s="9">
        <f t="shared" si="21"/>
      </c>
      <c r="BU66" s="9"/>
      <c r="BV66" s="9"/>
      <c r="BW66" s="9"/>
      <c r="BX66" s="9"/>
    </row>
    <row r="67" spans="1:76" ht="12.75">
      <c r="A67" s="59">
        <f t="shared" si="22"/>
        <v>12</v>
      </c>
      <c r="B67" s="48" t="s">
        <v>89</v>
      </c>
      <c r="C67" s="48">
        <v>2005</v>
      </c>
      <c r="D67" s="60">
        <v>85000</v>
      </c>
      <c r="E67" s="65"/>
      <c r="F67" s="65"/>
      <c r="G67" s="66"/>
      <c r="H67">
        <f t="shared" si="9"/>
        <v>85000</v>
      </c>
      <c r="I67">
        <f t="shared" si="9"/>
      </c>
      <c r="J67">
        <f t="shared" si="9"/>
      </c>
      <c r="K67">
        <f t="shared" si="9"/>
      </c>
      <c r="L67">
        <f t="shared" si="9"/>
      </c>
      <c r="M67">
        <f t="shared" si="9"/>
      </c>
      <c r="N67">
        <f t="shared" si="9"/>
      </c>
      <c r="O67">
        <f t="shared" si="9"/>
      </c>
      <c r="P67">
        <f t="shared" si="9"/>
      </c>
      <c r="Q67">
        <f t="shared" si="9"/>
      </c>
      <c r="R67" s="9">
        <f t="shared" si="17"/>
        <v>85000</v>
      </c>
      <c r="T67">
        <f t="shared" si="18"/>
      </c>
      <c r="U67">
        <f t="shared" si="10"/>
      </c>
      <c r="V67">
        <f t="shared" si="10"/>
        <v>85000</v>
      </c>
      <c r="W67">
        <f t="shared" si="10"/>
      </c>
      <c r="X67">
        <f t="shared" si="10"/>
      </c>
      <c r="Y67">
        <f t="shared" si="10"/>
      </c>
      <c r="Z67">
        <f t="shared" si="10"/>
      </c>
      <c r="AA67">
        <f t="shared" si="10"/>
      </c>
      <c r="AB67">
        <f t="shared" si="10"/>
      </c>
      <c r="AC67">
        <f t="shared" si="10"/>
      </c>
      <c r="AD67">
        <f t="shared" si="10"/>
      </c>
      <c r="AE67">
        <f t="shared" si="11"/>
      </c>
      <c r="AF67" s="9">
        <f t="shared" si="12"/>
        <v>85000</v>
      </c>
      <c r="AG67">
        <f t="shared" si="19"/>
        <v>1</v>
      </c>
      <c r="AH67">
        <f t="shared" si="13"/>
        <v>0</v>
      </c>
      <c r="AI67">
        <f t="shared" si="13"/>
        <v>0</v>
      </c>
      <c r="AJ67">
        <f t="shared" si="13"/>
        <v>0</v>
      </c>
      <c r="AK67">
        <f t="shared" si="13"/>
        <v>0</v>
      </c>
      <c r="AL67">
        <f t="shared" si="13"/>
        <v>0</v>
      </c>
      <c r="AM67">
        <f t="shared" si="13"/>
        <v>0</v>
      </c>
      <c r="AN67">
        <f t="shared" si="13"/>
        <v>0</v>
      </c>
      <c r="AO67">
        <f t="shared" si="13"/>
        <v>0</v>
      </c>
      <c r="AP67">
        <f t="shared" si="20"/>
        <v>2</v>
      </c>
      <c r="BL67" s="9">
        <f t="shared" si="15"/>
        <v>77305.37501289589</v>
      </c>
      <c r="BM67" s="9">
        <f t="shared" si="16"/>
        <v>77305.37501289589</v>
      </c>
      <c r="BN67" s="9">
        <f t="shared" si="21"/>
      </c>
      <c r="BU67" s="9"/>
      <c r="BV67" s="9"/>
      <c r="BW67" s="9"/>
      <c r="BX67" s="9"/>
    </row>
    <row r="68" spans="1:76" ht="12.75">
      <c r="A68" s="59">
        <f t="shared" si="22"/>
        <v>13</v>
      </c>
      <c r="B68" s="48" t="s">
        <v>89</v>
      </c>
      <c r="C68" s="48">
        <v>2005</v>
      </c>
      <c r="D68" s="60">
        <v>86000</v>
      </c>
      <c r="E68" s="65"/>
      <c r="F68" s="65"/>
      <c r="G68" s="66"/>
      <c r="H68">
        <f t="shared" si="9"/>
        <v>86000</v>
      </c>
      <c r="I68">
        <f t="shared" si="9"/>
      </c>
      <c r="J68">
        <f t="shared" si="9"/>
      </c>
      <c r="K68">
        <f t="shared" si="9"/>
      </c>
      <c r="L68">
        <f t="shared" si="9"/>
      </c>
      <c r="M68">
        <f t="shared" si="9"/>
      </c>
      <c r="N68">
        <f t="shared" si="9"/>
      </c>
      <c r="O68">
        <f t="shared" si="9"/>
      </c>
      <c r="P68">
        <f t="shared" si="9"/>
      </c>
      <c r="Q68">
        <f t="shared" si="9"/>
      </c>
      <c r="R68" s="9">
        <f t="shared" si="17"/>
        <v>86000</v>
      </c>
      <c r="T68">
        <f t="shared" si="18"/>
      </c>
      <c r="U68">
        <f t="shared" si="10"/>
      </c>
      <c r="V68">
        <f t="shared" si="10"/>
        <v>86000</v>
      </c>
      <c r="W68">
        <f t="shared" si="10"/>
      </c>
      <c r="X68">
        <f t="shared" si="10"/>
      </c>
      <c r="Y68">
        <f t="shared" si="10"/>
      </c>
      <c r="Z68">
        <f t="shared" si="10"/>
      </c>
      <c r="AA68">
        <f t="shared" si="10"/>
      </c>
      <c r="AB68">
        <f t="shared" si="10"/>
      </c>
      <c r="AC68">
        <f t="shared" si="10"/>
      </c>
      <c r="AD68">
        <f t="shared" si="10"/>
      </c>
      <c r="AE68">
        <f t="shared" si="11"/>
      </c>
      <c r="AF68" s="9">
        <f t="shared" si="12"/>
        <v>86000</v>
      </c>
      <c r="AG68">
        <f t="shared" si="19"/>
        <v>1</v>
      </c>
      <c r="AH68">
        <f t="shared" si="13"/>
        <v>0</v>
      </c>
      <c r="AI68">
        <f t="shared" si="13"/>
        <v>0</v>
      </c>
      <c r="AJ68">
        <f t="shared" si="13"/>
        <v>0</v>
      </c>
      <c r="AK68">
        <f t="shared" si="13"/>
        <v>0</v>
      </c>
      <c r="AL68">
        <f t="shared" si="13"/>
        <v>0</v>
      </c>
      <c r="AM68">
        <f t="shared" si="13"/>
        <v>0</v>
      </c>
      <c r="AN68">
        <f t="shared" si="13"/>
        <v>0</v>
      </c>
      <c r="AO68">
        <f t="shared" si="13"/>
        <v>0</v>
      </c>
      <c r="AP68">
        <f t="shared" si="20"/>
        <v>2</v>
      </c>
      <c r="BL68" s="9">
        <f t="shared" si="15"/>
        <v>78305.37501289589</v>
      </c>
      <c r="BM68" s="9">
        <f t="shared" si="16"/>
        <v>78305.37501289589</v>
      </c>
      <c r="BN68" s="9">
        <f t="shared" si="21"/>
      </c>
      <c r="BU68" s="9"/>
      <c r="BV68" s="9"/>
      <c r="BW68" s="9"/>
      <c r="BX68" s="9"/>
    </row>
    <row r="69" spans="1:76" ht="12.75">
      <c r="A69" s="59">
        <f t="shared" si="22"/>
        <v>14</v>
      </c>
      <c r="B69" s="48" t="s">
        <v>89</v>
      </c>
      <c r="C69" s="48">
        <v>2005</v>
      </c>
      <c r="D69" s="60">
        <v>74000</v>
      </c>
      <c r="E69" s="65"/>
      <c r="F69" s="65"/>
      <c r="G69" s="66"/>
      <c r="H69">
        <f t="shared" si="9"/>
        <v>74000</v>
      </c>
      <c r="I69">
        <f t="shared" si="9"/>
      </c>
      <c r="J69">
        <f t="shared" si="9"/>
      </c>
      <c r="K69">
        <f t="shared" si="9"/>
      </c>
      <c r="L69">
        <f t="shared" si="9"/>
      </c>
      <c r="M69">
        <f t="shared" si="9"/>
      </c>
      <c r="N69">
        <f t="shared" si="9"/>
      </c>
      <c r="O69">
        <f t="shared" si="9"/>
      </c>
      <c r="P69">
        <f t="shared" si="9"/>
      </c>
      <c r="Q69">
        <f t="shared" si="9"/>
      </c>
      <c r="R69" s="9">
        <f t="shared" si="17"/>
        <v>74000</v>
      </c>
      <c r="T69">
        <f t="shared" si="18"/>
      </c>
      <c r="U69">
        <f t="shared" si="10"/>
      </c>
      <c r="V69">
        <f t="shared" si="10"/>
        <v>74000</v>
      </c>
      <c r="W69">
        <f t="shared" si="10"/>
      </c>
      <c r="X69">
        <f t="shared" si="10"/>
      </c>
      <c r="Y69">
        <f t="shared" si="10"/>
      </c>
      <c r="Z69">
        <f t="shared" si="10"/>
      </c>
      <c r="AA69">
        <f t="shared" si="10"/>
      </c>
      <c r="AB69">
        <f t="shared" si="10"/>
      </c>
      <c r="AC69">
        <f t="shared" si="10"/>
      </c>
      <c r="AD69">
        <f t="shared" si="10"/>
      </c>
      <c r="AE69">
        <f t="shared" si="11"/>
      </c>
      <c r="AF69" s="9">
        <f t="shared" si="12"/>
        <v>74000</v>
      </c>
      <c r="AG69">
        <f t="shared" si="19"/>
        <v>1</v>
      </c>
      <c r="AH69">
        <f t="shared" si="13"/>
        <v>0</v>
      </c>
      <c r="AI69">
        <f t="shared" si="13"/>
        <v>0</v>
      </c>
      <c r="AJ69">
        <f t="shared" si="13"/>
        <v>0</v>
      </c>
      <c r="AK69">
        <f t="shared" si="13"/>
        <v>0</v>
      </c>
      <c r="AL69">
        <f t="shared" si="13"/>
        <v>0</v>
      </c>
      <c r="AM69">
        <f t="shared" si="13"/>
        <v>0</v>
      </c>
      <c r="AN69">
        <f t="shared" si="13"/>
        <v>0</v>
      </c>
      <c r="AO69">
        <f t="shared" si="13"/>
        <v>0</v>
      </c>
      <c r="AP69">
        <f t="shared" si="20"/>
        <v>2</v>
      </c>
      <c r="BL69" s="9">
        <f t="shared" si="15"/>
        <v>66305.37501289589</v>
      </c>
      <c r="BM69" s="9">
        <f t="shared" si="16"/>
        <v>66305.37501289589</v>
      </c>
      <c r="BN69" s="9">
        <f t="shared" si="21"/>
      </c>
      <c r="BU69" s="9"/>
      <c r="BV69" s="9"/>
      <c r="BW69" s="9"/>
      <c r="BX69" s="9"/>
    </row>
    <row r="70" spans="1:76" ht="12.75">
      <c r="A70" s="59">
        <f t="shared" si="22"/>
        <v>15</v>
      </c>
      <c r="B70" s="48" t="s">
        <v>89</v>
      </c>
      <c r="C70" s="48">
        <v>2005</v>
      </c>
      <c r="D70" s="60">
        <v>80000</v>
      </c>
      <c r="E70" s="65"/>
      <c r="F70" s="65"/>
      <c r="G70" s="66"/>
      <c r="H70">
        <f t="shared" si="9"/>
        <v>80000</v>
      </c>
      <c r="I70">
        <f t="shared" si="9"/>
      </c>
      <c r="J70">
        <f t="shared" si="9"/>
      </c>
      <c r="K70">
        <f t="shared" si="9"/>
      </c>
      <c r="L70">
        <f t="shared" si="9"/>
      </c>
      <c r="M70">
        <f t="shared" si="9"/>
      </c>
      <c r="N70">
        <f t="shared" si="9"/>
      </c>
      <c r="O70">
        <f t="shared" si="9"/>
      </c>
      <c r="P70">
        <f t="shared" si="9"/>
      </c>
      <c r="Q70">
        <f t="shared" si="9"/>
      </c>
      <c r="R70" s="9">
        <f t="shared" si="17"/>
        <v>80000</v>
      </c>
      <c r="T70">
        <f t="shared" si="18"/>
      </c>
      <c r="U70">
        <f t="shared" si="10"/>
      </c>
      <c r="V70">
        <f t="shared" si="10"/>
        <v>80000</v>
      </c>
      <c r="W70">
        <f t="shared" si="10"/>
      </c>
      <c r="X70">
        <f t="shared" si="10"/>
      </c>
      <c r="Y70">
        <f t="shared" si="10"/>
      </c>
      <c r="Z70">
        <f t="shared" si="10"/>
      </c>
      <c r="AA70">
        <f t="shared" si="10"/>
      </c>
      <c r="AB70">
        <f t="shared" si="10"/>
      </c>
      <c r="AC70">
        <f t="shared" si="10"/>
      </c>
      <c r="AD70">
        <f t="shared" si="10"/>
      </c>
      <c r="AE70">
        <f t="shared" si="11"/>
      </c>
      <c r="AF70" s="9">
        <f t="shared" si="12"/>
        <v>80000</v>
      </c>
      <c r="AG70">
        <f t="shared" si="19"/>
        <v>1</v>
      </c>
      <c r="AH70">
        <f t="shared" si="13"/>
        <v>0</v>
      </c>
      <c r="AI70">
        <f t="shared" si="13"/>
        <v>0</v>
      </c>
      <c r="AJ70">
        <f t="shared" si="13"/>
        <v>0</v>
      </c>
      <c r="AK70">
        <f t="shared" si="13"/>
        <v>0</v>
      </c>
      <c r="AL70">
        <f t="shared" si="13"/>
        <v>0</v>
      </c>
      <c r="AM70">
        <f t="shared" si="13"/>
        <v>0</v>
      </c>
      <c r="AN70">
        <f t="shared" si="13"/>
        <v>0</v>
      </c>
      <c r="AO70">
        <f t="shared" si="13"/>
        <v>0</v>
      </c>
      <c r="AP70">
        <f t="shared" si="20"/>
        <v>2</v>
      </c>
      <c r="BL70" s="9">
        <f t="shared" si="15"/>
        <v>72305.37501289589</v>
      </c>
      <c r="BM70" s="9">
        <f t="shared" si="16"/>
        <v>72305.37501289589</v>
      </c>
      <c r="BN70" s="9">
        <f t="shared" si="21"/>
      </c>
      <c r="BU70" s="9"/>
      <c r="BV70" s="9"/>
      <c r="BW70" s="9"/>
      <c r="BX70" s="9"/>
    </row>
    <row r="71" spans="1:76" ht="12.75">
      <c r="A71" s="59">
        <f t="shared" si="22"/>
        <v>16</v>
      </c>
      <c r="B71" s="48" t="s">
        <v>89</v>
      </c>
      <c r="C71" s="48">
        <v>2005</v>
      </c>
      <c r="D71" s="60">
        <v>70000</v>
      </c>
      <c r="E71" s="65"/>
      <c r="F71" s="65"/>
      <c r="G71" s="66"/>
      <c r="H71">
        <f t="shared" si="9"/>
        <v>70000</v>
      </c>
      <c r="I71">
        <f t="shared" si="9"/>
      </c>
      <c r="J71">
        <f t="shared" si="9"/>
      </c>
      <c r="K71">
        <f t="shared" si="9"/>
      </c>
      <c r="L71">
        <f t="shared" si="9"/>
      </c>
      <c r="M71">
        <f t="shared" si="9"/>
      </c>
      <c r="N71">
        <f t="shared" si="9"/>
      </c>
      <c r="O71">
        <f t="shared" si="9"/>
      </c>
      <c r="P71">
        <f t="shared" si="9"/>
      </c>
      <c r="Q71">
        <f t="shared" si="9"/>
      </c>
      <c r="R71" s="9">
        <f t="shared" si="17"/>
        <v>70000</v>
      </c>
      <c r="T71">
        <f t="shared" si="18"/>
      </c>
      <c r="U71">
        <f t="shared" si="10"/>
      </c>
      <c r="V71">
        <f t="shared" si="10"/>
        <v>70000</v>
      </c>
      <c r="W71">
        <f t="shared" si="10"/>
      </c>
      <c r="X71">
        <f t="shared" si="10"/>
      </c>
      <c r="Y71">
        <f t="shared" si="10"/>
      </c>
      <c r="Z71">
        <f t="shared" si="10"/>
      </c>
      <c r="AA71">
        <f t="shared" si="10"/>
      </c>
      <c r="AB71">
        <f t="shared" si="10"/>
      </c>
      <c r="AC71">
        <f t="shared" si="10"/>
      </c>
      <c r="AD71">
        <f t="shared" si="10"/>
      </c>
      <c r="AE71">
        <f t="shared" si="11"/>
      </c>
      <c r="AF71" s="9">
        <f t="shared" si="12"/>
        <v>70000</v>
      </c>
      <c r="AG71">
        <f t="shared" si="19"/>
        <v>1</v>
      </c>
      <c r="AH71">
        <f t="shared" si="13"/>
        <v>0</v>
      </c>
      <c r="AI71">
        <f t="shared" si="13"/>
        <v>0</v>
      </c>
      <c r="AJ71">
        <f t="shared" si="13"/>
        <v>0</v>
      </c>
      <c r="AK71">
        <f t="shared" si="13"/>
        <v>0</v>
      </c>
      <c r="AL71">
        <f t="shared" si="13"/>
        <v>0</v>
      </c>
      <c r="AM71">
        <f t="shared" si="13"/>
        <v>0</v>
      </c>
      <c r="AN71">
        <f t="shared" si="13"/>
        <v>0</v>
      </c>
      <c r="AO71">
        <f t="shared" si="13"/>
        <v>0</v>
      </c>
      <c r="AP71">
        <f t="shared" si="20"/>
        <v>2</v>
      </c>
      <c r="BL71" s="9">
        <f t="shared" si="15"/>
        <v>62305.37501289589</v>
      </c>
      <c r="BM71" s="9">
        <f t="shared" si="16"/>
        <v>62305.37501289589</v>
      </c>
      <c r="BN71" s="9">
        <f t="shared" si="21"/>
      </c>
      <c r="BU71" s="9"/>
      <c r="BV71" s="9"/>
      <c r="BW71" s="9"/>
      <c r="BX71" s="9"/>
    </row>
    <row r="72" spans="1:76" ht="12.75">
      <c r="A72" s="59">
        <f t="shared" si="22"/>
        <v>17</v>
      </c>
      <c r="B72" s="48" t="s">
        <v>89</v>
      </c>
      <c r="C72" s="48">
        <v>2004</v>
      </c>
      <c r="D72" s="60">
        <v>75000</v>
      </c>
      <c r="E72" s="65"/>
      <c r="F72" s="65"/>
      <c r="G72" s="66"/>
      <c r="H72">
        <f aca="true" t="shared" si="23" ref="H72:Q87">IF($B72=H$55,$D72,"")</f>
        <v>75000</v>
      </c>
      <c r="I72">
        <f t="shared" si="23"/>
      </c>
      <c r="J72">
        <f t="shared" si="23"/>
      </c>
      <c r="K72">
        <f t="shared" si="23"/>
      </c>
      <c r="L72">
        <f t="shared" si="23"/>
      </c>
      <c r="M72">
        <f t="shared" si="23"/>
      </c>
      <c r="N72">
        <f t="shared" si="23"/>
      </c>
      <c r="O72">
        <f t="shared" si="23"/>
      </c>
      <c r="P72">
        <f t="shared" si="23"/>
      </c>
      <c r="Q72">
        <f t="shared" si="23"/>
      </c>
      <c r="R72" s="9">
        <f t="shared" si="17"/>
        <v>75000</v>
      </c>
      <c r="T72">
        <f t="shared" si="18"/>
      </c>
      <c r="U72">
        <f aca="true" t="shared" si="24" ref="U72:AD87">IF($C72=U$55,$D72,"")</f>
      </c>
      <c r="V72">
        <f t="shared" si="24"/>
      </c>
      <c r="W72">
        <f t="shared" si="24"/>
        <v>75000</v>
      </c>
      <c r="X72">
        <f t="shared" si="24"/>
      </c>
      <c r="Y72">
        <f t="shared" si="24"/>
      </c>
      <c r="Z72">
        <f t="shared" si="24"/>
      </c>
      <c r="AA72">
        <f t="shared" si="24"/>
      </c>
      <c r="AB72">
        <f t="shared" si="24"/>
      </c>
      <c r="AC72">
        <f t="shared" si="24"/>
      </c>
      <c r="AD72">
        <f t="shared" si="24"/>
      </c>
      <c r="AE72">
        <f t="shared" si="11"/>
      </c>
      <c r="AF72" s="9">
        <f t="shared" si="12"/>
        <v>75000</v>
      </c>
      <c r="AG72">
        <f t="shared" si="19"/>
        <v>1</v>
      </c>
      <c r="AH72">
        <f t="shared" si="19"/>
        <v>0</v>
      </c>
      <c r="AI72">
        <f t="shared" si="19"/>
        <v>0</v>
      </c>
      <c r="AJ72">
        <f t="shared" si="19"/>
        <v>0</v>
      </c>
      <c r="AK72">
        <f t="shared" si="19"/>
        <v>0</v>
      </c>
      <c r="AL72">
        <f t="shared" si="19"/>
        <v>0</v>
      </c>
      <c r="AM72">
        <f t="shared" si="19"/>
        <v>0</v>
      </c>
      <c r="AN72">
        <f t="shared" si="19"/>
        <v>0</v>
      </c>
      <c r="AO72">
        <f t="shared" si="19"/>
        <v>0</v>
      </c>
      <c r="AP72">
        <f t="shared" si="20"/>
        <v>3</v>
      </c>
      <c r="BL72" s="9">
        <f t="shared" si="15"/>
        <v>63458.062519343846</v>
      </c>
      <c r="BM72" s="9">
        <f t="shared" si="16"/>
        <v>63458.062519343846</v>
      </c>
      <c r="BN72" s="9">
        <f t="shared" si="21"/>
      </c>
      <c r="BU72" s="9"/>
      <c r="BV72" s="9"/>
      <c r="BW72" s="9"/>
      <c r="BX72" s="9"/>
    </row>
    <row r="73" spans="1:76" ht="12.75">
      <c r="A73" s="59">
        <f t="shared" si="22"/>
        <v>18</v>
      </c>
      <c r="B73" s="48" t="s">
        <v>89</v>
      </c>
      <c r="C73" s="48">
        <v>2004</v>
      </c>
      <c r="D73" s="60">
        <v>85000</v>
      </c>
      <c r="E73" s="65"/>
      <c r="F73" s="65"/>
      <c r="G73" s="66"/>
      <c r="H73">
        <f t="shared" si="23"/>
        <v>85000</v>
      </c>
      <c r="I73">
        <f t="shared" si="23"/>
      </c>
      <c r="J73">
        <f t="shared" si="23"/>
      </c>
      <c r="K73">
        <f t="shared" si="23"/>
      </c>
      <c r="L73">
        <f t="shared" si="23"/>
      </c>
      <c r="M73">
        <f t="shared" si="23"/>
      </c>
      <c r="N73">
        <f t="shared" si="23"/>
      </c>
      <c r="O73">
        <f t="shared" si="23"/>
      </c>
      <c r="P73">
        <f t="shared" si="23"/>
      </c>
      <c r="Q73">
        <f t="shared" si="23"/>
      </c>
      <c r="R73" s="9">
        <f t="shared" si="17"/>
        <v>85000</v>
      </c>
      <c r="T73">
        <f t="shared" si="18"/>
      </c>
      <c r="U73">
        <f t="shared" si="24"/>
      </c>
      <c r="V73">
        <f t="shared" si="24"/>
      </c>
      <c r="W73">
        <f t="shared" si="24"/>
        <v>85000</v>
      </c>
      <c r="X73">
        <f t="shared" si="24"/>
      </c>
      <c r="Y73">
        <f t="shared" si="24"/>
      </c>
      <c r="Z73">
        <f t="shared" si="24"/>
      </c>
      <c r="AA73">
        <f t="shared" si="24"/>
      </c>
      <c r="AB73">
        <f t="shared" si="24"/>
      </c>
      <c r="AC73">
        <f t="shared" si="24"/>
      </c>
      <c r="AD73">
        <f t="shared" si="24"/>
      </c>
      <c r="AE73">
        <f t="shared" si="11"/>
      </c>
      <c r="AF73" s="9">
        <f t="shared" si="12"/>
        <v>85000</v>
      </c>
      <c r="AG73">
        <f t="shared" si="19"/>
        <v>1</v>
      </c>
      <c r="AH73">
        <f t="shared" si="19"/>
        <v>0</v>
      </c>
      <c r="AI73">
        <f t="shared" si="19"/>
        <v>0</v>
      </c>
      <c r="AJ73">
        <f t="shared" si="19"/>
        <v>0</v>
      </c>
      <c r="AK73">
        <f t="shared" si="19"/>
        <v>0</v>
      </c>
      <c r="AL73">
        <f t="shared" si="19"/>
        <v>0</v>
      </c>
      <c r="AM73">
        <f t="shared" si="19"/>
        <v>0</v>
      </c>
      <c r="AN73">
        <f t="shared" si="19"/>
        <v>0</v>
      </c>
      <c r="AO73">
        <f t="shared" si="19"/>
        <v>0</v>
      </c>
      <c r="AP73">
        <f t="shared" si="20"/>
        <v>3</v>
      </c>
      <c r="BL73" s="9">
        <f t="shared" si="15"/>
        <v>73458.06251934385</v>
      </c>
      <c r="BM73" s="9">
        <f t="shared" si="16"/>
        <v>73458.06251934385</v>
      </c>
      <c r="BN73" s="9">
        <f t="shared" si="21"/>
      </c>
      <c r="BU73" s="9"/>
      <c r="BV73" s="9"/>
      <c r="BW73" s="9"/>
      <c r="BX73" s="9"/>
    </row>
    <row r="74" spans="1:76" ht="12.75">
      <c r="A74" s="59">
        <f t="shared" si="22"/>
        <v>19</v>
      </c>
      <c r="B74" s="48" t="s">
        <v>89</v>
      </c>
      <c r="C74" s="48">
        <v>2004</v>
      </c>
      <c r="D74" s="60">
        <v>85000</v>
      </c>
      <c r="E74" s="65"/>
      <c r="F74" s="65"/>
      <c r="G74" s="66"/>
      <c r="H74">
        <f t="shared" si="23"/>
        <v>85000</v>
      </c>
      <c r="I74">
        <f t="shared" si="23"/>
      </c>
      <c r="J74">
        <f t="shared" si="23"/>
      </c>
      <c r="K74">
        <f t="shared" si="23"/>
      </c>
      <c r="L74">
        <f t="shared" si="23"/>
      </c>
      <c r="M74">
        <f t="shared" si="23"/>
      </c>
      <c r="N74">
        <f t="shared" si="23"/>
      </c>
      <c r="O74">
        <f t="shared" si="23"/>
      </c>
      <c r="P74">
        <f t="shared" si="23"/>
      </c>
      <c r="Q74">
        <f t="shared" si="23"/>
      </c>
      <c r="R74" s="9">
        <f t="shared" si="17"/>
        <v>85000</v>
      </c>
      <c r="T74">
        <f t="shared" si="18"/>
      </c>
      <c r="U74">
        <f t="shared" si="24"/>
      </c>
      <c r="V74">
        <f t="shared" si="24"/>
      </c>
      <c r="W74">
        <f t="shared" si="24"/>
        <v>85000</v>
      </c>
      <c r="X74">
        <f t="shared" si="24"/>
      </c>
      <c r="Y74">
        <f t="shared" si="24"/>
      </c>
      <c r="Z74">
        <f t="shared" si="24"/>
      </c>
      <c r="AA74">
        <f t="shared" si="24"/>
      </c>
      <c r="AB74">
        <f t="shared" si="24"/>
      </c>
      <c r="AC74">
        <f t="shared" si="24"/>
      </c>
      <c r="AD74">
        <f t="shared" si="24"/>
      </c>
      <c r="AE74">
        <f t="shared" si="11"/>
      </c>
      <c r="AF74" s="9">
        <f t="shared" si="12"/>
        <v>85000</v>
      </c>
      <c r="AG74">
        <f t="shared" si="19"/>
        <v>1</v>
      </c>
      <c r="AH74">
        <f t="shared" si="19"/>
        <v>0</v>
      </c>
      <c r="AI74">
        <f t="shared" si="19"/>
        <v>0</v>
      </c>
      <c r="AJ74">
        <f t="shared" si="19"/>
        <v>0</v>
      </c>
      <c r="AK74">
        <f t="shared" si="19"/>
        <v>0</v>
      </c>
      <c r="AL74">
        <f t="shared" si="19"/>
        <v>0</v>
      </c>
      <c r="AM74">
        <f t="shared" si="19"/>
        <v>0</v>
      </c>
      <c r="AN74">
        <f t="shared" si="19"/>
        <v>0</v>
      </c>
      <c r="AO74">
        <f t="shared" si="19"/>
        <v>0</v>
      </c>
      <c r="AP74">
        <f t="shared" si="20"/>
        <v>3</v>
      </c>
      <c r="BL74" s="9">
        <f t="shared" si="15"/>
        <v>73458.06251934385</v>
      </c>
      <c r="BM74" s="9">
        <f t="shared" si="16"/>
        <v>73458.06251934385</v>
      </c>
      <c r="BN74" s="9">
        <f t="shared" si="21"/>
      </c>
      <c r="BU74" s="9"/>
      <c r="BV74" s="9"/>
      <c r="BW74" s="9"/>
      <c r="BX74" s="9"/>
    </row>
    <row r="75" spans="1:76" ht="12.75">
      <c r="A75" s="59">
        <f t="shared" si="22"/>
        <v>20</v>
      </c>
      <c r="B75" s="48" t="s">
        <v>89</v>
      </c>
      <c r="C75" s="48">
        <v>2004</v>
      </c>
      <c r="D75" s="60">
        <v>76000</v>
      </c>
      <c r="E75" s="65"/>
      <c r="F75" s="65"/>
      <c r="G75" s="66"/>
      <c r="H75">
        <f t="shared" si="23"/>
        <v>76000</v>
      </c>
      <c r="I75">
        <f t="shared" si="23"/>
      </c>
      <c r="J75">
        <f t="shared" si="23"/>
      </c>
      <c r="K75">
        <f t="shared" si="23"/>
      </c>
      <c r="L75">
        <f t="shared" si="23"/>
      </c>
      <c r="M75">
        <f t="shared" si="23"/>
      </c>
      <c r="N75">
        <f t="shared" si="23"/>
      </c>
      <c r="O75">
        <f t="shared" si="23"/>
      </c>
      <c r="P75">
        <f t="shared" si="23"/>
      </c>
      <c r="Q75">
        <f t="shared" si="23"/>
      </c>
      <c r="R75" s="9">
        <f t="shared" si="17"/>
        <v>76000</v>
      </c>
      <c r="T75">
        <f t="shared" si="18"/>
      </c>
      <c r="U75">
        <f t="shared" si="24"/>
      </c>
      <c r="V75">
        <f t="shared" si="24"/>
      </c>
      <c r="W75">
        <f t="shared" si="24"/>
        <v>76000</v>
      </c>
      <c r="X75">
        <f t="shared" si="24"/>
      </c>
      <c r="Y75">
        <f t="shared" si="24"/>
      </c>
      <c r="Z75">
        <f t="shared" si="24"/>
      </c>
      <c r="AA75">
        <f t="shared" si="24"/>
      </c>
      <c r="AB75">
        <f t="shared" si="24"/>
      </c>
      <c r="AC75">
        <f t="shared" si="24"/>
      </c>
      <c r="AD75">
        <f t="shared" si="24"/>
      </c>
      <c r="AE75">
        <f t="shared" si="11"/>
      </c>
      <c r="AF75" s="9">
        <f t="shared" si="12"/>
        <v>76000</v>
      </c>
      <c r="AG75">
        <f t="shared" si="19"/>
        <v>1</v>
      </c>
      <c r="AH75">
        <f t="shared" si="19"/>
        <v>0</v>
      </c>
      <c r="AI75">
        <f t="shared" si="19"/>
        <v>0</v>
      </c>
      <c r="AJ75">
        <f t="shared" si="19"/>
        <v>0</v>
      </c>
      <c r="AK75">
        <f t="shared" si="19"/>
        <v>0</v>
      </c>
      <c r="AL75">
        <f t="shared" si="19"/>
        <v>0</v>
      </c>
      <c r="AM75">
        <f t="shared" si="19"/>
        <v>0</v>
      </c>
      <c r="AN75">
        <f t="shared" si="19"/>
        <v>0</v>
      </c>
      <c r="AO75">
        <f t="shared" si="19"/>
        <v>0</v>
      </c>
      <c r="AP75">
        <f t="shared" si="20"/>
        <v>3</v>
      </c>
      <c r="BL75" s="9">
        <f t="shared" si="15"/>
        <v>64458.062519343846</v>
      </c>
      <c r="BM75" s="9">
        <f t="shared" si="16"/>
        <v>64458.062519343846</v>
      </c>
      <c r="BN75" s="9">
        <f t="shared" si="21"/>
      </c>
      <c r="BU75" s="9"/>
      <c r="BV75" s="9"/>
      <c r="BW75" s="9"/>
      <c r="BX75" s="9"/>
    </row>
    <row r="76" spans="1:76" ht="12.75">
      <c r="A76" s="59">
        <f t="shared" si="22"/>
        <v>21</v>
      </c>
      <c r="B76" s="48" t="s">
        <v>89</v>
      </c>
      <c r="C76" s="48">
        <v>2004</v>
      </c>
      <c r="D76" s="60">
        <v>74000</v>
      </c>
      <c r="E76" s="65"/>
      <c r="F76" s="65"/>
      <c r="G76" s="66"/>
      <c r="H76">
        <f t="shared" si="23"/>
        <v>74000</v>
      </c>
      <c r="I76">
        <f t="shared" si="23"/>
      </c>
      <c r="J76">
        <f t="shared" si="23"/>
      </c>
      <c r="K76">
        <f t="shared" si="23"/>
      </c>
      <c r="L76">
        <f t="shared" si="23"/>
      </c>
      <c r="M76">
        <f t="shared" si="23"/>
      </c>
      <c r="N76">
        <f t="shared" si="23"/>
      </c>
      <c r="O76">
        <f t="shared" si="23"/>
      </c>
      <c r="P76">
        <f t="shared" si="23"/>
      </c>
      <c r="Q76">
        <f t="shared" si="23"/>
      </c>
      <c r="R76" s="9">
        <f t="shared" si="17"/>
        <v>74000</v>
      </c>
      <c r="T76">
        <f t="shared" si="18"/>
      </c>
      <c r="U76">
        <f t="shared" si="24"/>
      </c>
      <c r="V76">
        <f t="shared" si="24"/>
      </c>
      <c r="W76">
        <f t="shared" si="24"/>
        <v>74000</v>
      </c>
      <c r="X76">
        <f t="shared" si="24"/>
      </c>
      <c r="Y76">
        <f t="shared" si="24"/>
      </c>
      <c r="Z76">
        <f t="shared" si="24"/>
      </c>
      <c r="AA76">
        <f t="shared" si="24"/>
      </c>
      <c r="AB76">
        <f t="shared" si="24"/>
      </c>
      <c r="AC76">
        <f t="shared" si="24"/>
      </c>
      <c r="AD76">
        <f t="shared" si="24"/>
      </c>
      <c r="AE76">
        <f t="shared" si="11"/>
      </c>
      <c r="AF76" s="9">
        <f t="shared" si="12"/>
        <v>74000</v>
      </c>
      <c r="AG76">
        <f t="shared" si="19"/>
        <v>1</v>
      </c>
      <c r="AH76">
        <f t="shared" si="19"/>
        <v>0</v>
      </c>
      <c r="AI76">
        <f t="shared" si="19"/>
        <v>0</v>
      </c>
      <c r="AJ76">
        <f t="shared" si="19"/>
        <v>0</v>
      </c>
      <c r="AK76">
        <f t="shared" si="19"/>
        <v>0</v>
      </c>
      <c r="AL76">
        <f t="shared" si="19"/>
        <v>0</v>
      </c>
      <c r="AM76">
        <f t="shared" si="19"/>
        <v>0</v>
      </c>
      <c r="AN76">
        <f t="shared" si="19"/>
        <v>0</v>
      </c>
      <c r="AO76">
        <f t="shared" si="19"/>
        <v>0</v>
      </c>
      <c r="AP76">
        <f t="shared" si="20"/>
        <v>3</v>
      </c>
      <c r="BL76" s="9">
        <f t="shared" si="15"/>
        <v>62458.062519343846</v>
      </c>
      <c r="BM76" s="9">
        <f t="shared" si="16"/>
        <v>62458.062519343846</v>
      </c>
      <c r="BN76" s="9">
        <f t="shared" si="21"/>
      </c>
      <c r="BU76" s="9"/>
      <c r="BV76" s="9"/>
      <c r="BW76" s="9"/>
      <c r="BX76" s="9"/>
    </row>
    <row r="77" spans="1:76" ht="12.75">
      <c r="A77" s="59">
        <f t="shared" si="22"/>
        <v>22</v>
      </c>
      <c r="B77" s="48" t="s">
        <v>89</v>
      </c>
      <c r="C77" s="48">
        <v>2004</v>
      </c>
      <c r="D77" s="60">
        <v>74000</v>
      </c>
      <c r="E77" s="65"/>
      <c r="F77" s="65"/>
      <c r="G77" s="66"/>
      <c r="H77">
        <f t="shared" si="23"/>
        <v>74000</v>
      </c>
      <c r="I77">
        <f t="shared" si="23"/>
      </c>
      <c r="J77">
        <f t="shared" si="23"/>
      </c>
      <c r="K77">
        <f t="shared" si="23"/>
      </c>
      <c r="L77">
        <f t="shared" si="23"/>
      </c>
      <c r="M77">
        <f t="shared" si="23"/>
      </c>
      <c r="N77">
        <f t="shared" si="23"/>
      </c>
      <c r="O77">
        <f t="shared" si="23"/>
      </c>
      <c r="P77">
        <f t="shared" si="23"/>
      </c>
      <c r="Q77">
        <f t="shared" si="23"/>
      </c>
      <c r="R77" s="9">
        <f t="shared" si="17"/>
        <v>74000</v>
      </c>
      <c r="T77">
        <f t="shared" si="18"/>
      </c>
      <c r="U77">
        <f t="shared" si="24"/>
      </c>
      <c r="V77">
        <f t="shared" si="24"/>
      </c>
      <c r="W77">
        <f t="shared" si="24"/>
        <v>74000</v>
      </c>
      <c r="X77">
        <f t="shared" si="24"/>
      </c>
      <c r="Y77">
        <f t="shared" si="24"/>
      </c>
      <c r="Z77">
        <f t="shared" si="24"/>
      </c>
      <c r="AA77">
        <f t="shared" si="24"/>
      </c>
      <c r="AB77">
        <f t="shared" si="24"/>
      </c>
      <c r="AC77">
        <f t="shared" si="24"/>
      </c>
      <c r="AD77">
        <f t="shared" si="24"/>
      </c>
      <c r="AE77">
        <f t="shared" si="11"/>
      </c>
      <c r="AF77" s="9">
        <f t="shared" si="12"/>
        <v>74000</v>
      </c>
      <c r="AG77">
        <f t="shared" si="19"/>
        <v>1</v>
      </c>
      <c r="AH77">
        <f t="shared" si="19"/>
        <v>0</v>
      </c>
      <c r="AI77">
        <f t="shared" si="19"/>
        <v>0</v>
      </c>
      <c r="AJ77">
        <f t="shared" si="19"/>
        <v>0</v>
      </c>
      <c r="AK77">
        <f t="shared" si="19"/>
        <v>0</v>
      </c>
      <c r="AL77">
        <f t="shared" si="19"/>
        <v>0</v>
      </c>
      <c r="AM77">
        <f t="shared" si="19"/>
        <v>0</v>
      </c>
      <c r="AN77">
        <f t="shared" si="19"/>
        <v>0</v>
      </c>
      <c r="AO77">
        <f t="shared" si="19"/>
        <v>0</v>
      </c>
      <c r="AP77">
        <f t="shared" si="20"/>
        <v>3</v>
      </c>
      <c r="BL77" s="9">
        <f t="shared" si="15"/>
        <v>62458.062519343846</v>
      </c>
      <c r="BM77" s="9">
        <f t="shared" si="16"/>
        <v>62458.062519343846</v>
      </c>
      <c r="BN77" s="9">
        <f t="shared" si="21"/>
      </c>
      <c r="BU77" s="9"/>
      <c r="BV77" s="9"/>
      <c r="BW77" s="9"/>
      <c r="BX77" s="9"/>
    </row>
    <row r="78" spans="1:76" ht="12.75">
      <c r="A78" s="59">
        <f t="shared" si="22"/>
        <v>23</v>
      </c>
      <c r="B78" s="48" t="s">
        <v>89</v>
      </c>
      <c r="C78" s="48">
        <v>2002</v>
      </c>
      <c r="D78" s="60">
        <v>70000</v>
      </c>
      <c r="E78" s="65"/>
      <c r="F78" s="65"/>
      <c r="G78" s="66"/>
      <c r="H78">
        <f t="shared" si="23"/>
        <v>70000</v>
      </c>
      <c r="I78">
        <f t="shared" si="23"/>
      </c>
      <c r="J78">
        <f t="shared" si="23"/>
      </c>
      <c r="K78">
        <f t="shared" si="23"/>
      </c>
      <c r="L78">
        <f t="shared" si="23"/>
      </c>
      <c r="M78">
        <f t="shared" si="23"/>
      </c>
      <c r="N78">
        <f t="shared" si="23"/>
      </c>
      <c r="O78">
        <f t="shared" si="23"/>
      </c>
      <c r="P78">
        <f t="shared" si="23"/>
      </c>
      <c r="Q78">
        <f t="shared" si="23"/>
      </c>
      <c r="R78" s="9">
        <f t="shared" si="17"/>
        <v>70000</v>
      </c>
      <c r="T78">
        <f t="shared" si="18"/>
      </c>
      <c r="U78">
        <f t="shared" si="24"/>
      </c>
      <c r="V78">
        <f t="shared" si="24"/>
      </c>
      <c r="W78">
        <f t="shared" si="24"/>
      </c>
      <c r="X78">
        <f t="shared" si="24"/>
      </c>
      <c r="Y78">
        <f t="shared" si="24"/>
        <v>70000</v>
      </c>
      <c r="Z78">
        <f t="shared" si="24"/>
      </c>
      <c r="AA78">
        <f t="shared" si="24"/>
      </c>
      <c r="AB78">
        <f t="shared" si="24"/>
      </c>
      <c r="AC78">
        <f t="shared" si="24"/>
      </c>
      <c r="AD78">
        <f t="shared" si="24"/>
      </c>
      <c r="AE78">
        <f t="shared" si="11"/>
      </c>
      <c r="AF78" s="9">
        <f t="shared" si="12"/>
        <v>70000</v>
      </c>
      <c r="AG78">
        <f t="shared" si="19"/>
        <v>1</v>
      </c>
      <c r="AH78">
        <f t="shared" si="19"/>
        <v>0</v>
      </c>
      <c r="AI78">
        <f t="shared" si="19"/>
        <v>0</v>
      </c>
      <c r="AJ78">
        <f t="shared" si="19"/>
        <v>0</v>
      </c>
      <c r="AK78">
        <f t="shared" si="19"/>
        <v>0</v>
      </c>
      <c r="AL78">
        <f t="shared" si="19"/>
        <v>0</v>
      </c>
      <c r="AM78">
        <f t="shared" si="19"/>
        <v>0</v>
      </c>
      <c r="AN78">
        <f t="shared" si="19"/>
        <v>0</v>
      </c>
      <c r="AO78">
        <f t="shared" si="19"/>
        <v>0</v>
      </c>
      <c r="AP78">
        <f t="shared" si="20"/>
        <v>5</v>
      </c>
      <c r="BL78" s="9">
        <f t="shared" si="15"/>
        <v>50763.43753223974</v>
      </c>
      <c r="BM78" s="9">
        <f t="shared" si="16"/>
        <v>50763.43753223974</v>
      </c>
      <c r="BN78" s="9">
        <f t="shared" si="21"/>
      </c>
      <c r="BU78" s="9"/>
      <c r="BV78" s="9"/>
      <c r="BW78" s="9"/>
      <c r="BX78" s="9"/>
    </row>
    <row r="79" spans="1:76" ht="12.75">
      <c r="A79" s="59">
        <f t="shared" si="22"/>
        <v>24</v>
      </c>
      <c r="B79" s="48" t="s">
        <v>89</v>
      </c>
      <c r="C79" s="48">
        <v>2002</v>
      </c>
      <c r="D79" s="60">
        <v>70000</v>
      </c>
      <c r="E79" s="65"/>
      <c r="F79" s="65"/>
      <c r="G79" s="66"/>
      <c r="H79">
        <f t="shared" si="23"/>
        <v>70000</v>
      </c>
      <c r="I79">
        <f t="shared" si="23"/>
      </c>
      <c r="J79">
        <f t="shared" si="23"/>
      </c>
      <c r="K79">
        <f t="shared" si="23"/>
      </c>
      <c r="L79">
        <f t="shared" si="23"/>
      </c>
      <c r="M79">
        <f t="shared" si="23"/>
      </c>
      <c r="N79">
        <f t="shared" si="23"/>
      </c>
      <c r="O79">
        <f t="shared" si="23"/>
      </c>
      <c r="P79">
        <f t="shared" si="23"/>
      </c>
      <c r="Q79">
        <f t="shared" si="23"/>
      </c>
      <c r="R79" s="9">
        <f t="shared" si="17"/>
        <v>70000</v>
      </c>
      <c r="T79">
        <f t="shared" si="18"/>
      </c>
      <c r="U79">
        <f t="shared" si="24"/>
      </c>
      <c r="V79">
        <f t="shared" si="24"/>
      </c>
      <c r="W79">
        <f t="shared" si="24"/>
      </c>
      <c r="X79">
        <f t="shared" si="24"/>
      </c>
      <c r="Y79">
        <f t="shared" si="24"/>
        <v>70000</v>
      </c>
      <c r="Z79">
        <f t="shared" si="24"/>
      </c>
      <c r="AA79">
        <f t="shared" si="24"/>
      </c>
      <c r="AB79">
        <f t="shared" si="24"/>
      </c>
      <c r="AC79">
        <f t="shared" si="24"/>
      </c>
      <c r="AD79">
        <f t="shared" si="24"/>
      </c>
      <c r="AE79">
        <f t="shared" si="11"/>
      </c>
      <c r="AF79" s="9">
        <f t="shared" si="12"/>
        <v>70000</v>
      </c>
      <c r="AG79">
        <f t="shared" si="19"/>
        <v>1</v>
      </c>
      <c r="AH79">
        <f t="shared" si="19"/>
        <v>0</v>
      </c>
      <c r="AI79">
        <f t="shared" si="19"/>
        <v>0</v>
      </c>
      <c r="AJ79">
        <f t="shared" si="19"/>
        <v>0</v>
      </c>
      <c r="AK79">
        <f t="shared" si="19"/>
        <v>0</v>
      </c>
      <c r="AL79">
        <f t="shared" si="19"/>
        <v>0</v>
      </c>
      <c r="AM79">
        <f t="shared" si="19"/>
        <v>0</v>
      </c>
      <c r="AN79">
        <f t="shared" si="19"/>
        <v>0</v>
      </c>
      <c r="AO79">
        <f t="shared" si="19"/>
        <v>0</v>
      </c>
      <c r="AP79">
        <f t="shared" si="20"/>
        <v>5</v>
      </c>
      <c r="BL79" s="9">
        <f t="shared" si="15"/>
        <v>50763.43753223974</v>
      </c>
      <c r="BM79" s="9">
        <f t="shared" si="16"/>
        <v>50763.43753223974</v>
      </c>
      <c r="BN79" s="9">
        <f t="shared" si="21"/>
      </c>
      <c r="BU79" s="9"/>
      <c r="BV79" s="9"/>
      <c r="BW79" s="9"/>
      <c r="BX79" s="9"/>
    </row>
    <row r="80" spans="1:76" ht="12.75">
      <c r="A80" s="59">
        <f t="shared" si="22"/>
        <v>25</v>
      </c>
      <c r="B80" s="48" t="s">
        <v>89</v>
      </c>
      <c r="C80" s="48">
        <v>2003</v>
      </c>
      <c r="D80" s="60">
        <v>85000</v>
      </c>
      <c r="E80" s="65"/>
      <c r="F80" s="65"/>
      <c r="G80" s="66"/>
      <c r="H80">
        <f t="shared" si="23"/>
        <v>85000</v>
      </c>
      <c r="I80">
        <f t="shared" si="23"/>
      </c>
      <c r="J80">
        <f t="shared" si="23"/>
      </c>
      <c r="K80">
        <f t="shared" si="23"/>
      </c>
      <c r="L80">
        <f t="shared" si="23"/>
      </c>
      <c r="M80">
        <f t="shared" si="23"/>
      </c>
      <c r="N80">
        <f t="shared" si="23"/>
      </c>
      <c r="O80">
        <f t="shared" si="23"/>
      </c>
      <c r="P80">
        <f t="shared" si="23"/>
      </c>
      <c r="Q80">
        <f t="shared" si="23"/>
      </c>
      <c r="R80" s="9">
        <f t="shared" si="17"/>
        <v>85000</v>
      </c>
      <c r="T80">
        <f t="shared" si="18"/>
      </c>
      <c r="U80">
        <f t="shared" si="24"/>
      </c>
      <c r="V80">
        <f t="shared" si="24"/>
      </c>
      <c r="W80">
        <f t="shared" si="24"/>
      </c>
      <c r="X80">
        <f t="shared" si="24"/>
        <v>85000</v>
      </c>
      <c r="Y80">
        <f t="shared" si="24"/>
      </c>
      <c r="Z80">
        <f t="shared" si="24"/>
      </c>
      <c r="AA80">
        <f t="shared" si="24"/>
      </c>
      <c r="AB80">
        <f t="shared" si="24"/>
      </c>
      <c r="AC80">
        <f t="shared" si="24"/>
      </c>
      <c r="AD80">
        <f t="shared" si="24"/>
      </c>
      <c r="AE80">
        <f t="shared" si="11"/>
      </c>
      <c r="AF80" s="9">
        <f t="shared" si="12"/>
        <v>85000</v>
      </c>
      <c r="AG80">
        <f t="shared" si="19"/>
        <v>1</v>
      </c>
      <c r="AH80">
        <f t="shared" si="19"/>
        <v>0</v>
      </c>
      <c r="AI80">
        <f t="shared" si="19"/>
        <v>0</v>
      </c>
      <c r="AJ80">
        <f t="shared" si="19"/>
        <v>0</v>
      </c>
      <c r="AK80">
        <f t="shared" si="19"/>
        <v>0</v>
      </c>
      <c r="AL80">
        <f t="shared" si="19"/>
        <v>0</v>
      </c>
      <c r="AM80">
        <f t="shared" si="19"/>
        <v>0</v>
      </c>
      <c r="AN80">
        <f t="shared" si="19"/>
        <v>0</v>
      </c>
      <c r="AO80">
        <f t="shared" si="19"/>
        <v>0</v>
      </c>
      <c r="AP80">
        <f t="shared" si="20"/>
        <v>4</v>
      </c>
      <c r="BL80" s="9">
        <f t="shared" si="15"/>
        <v>69610.75002579179</v>
      </c>
      <c r="BM80" s="9">
        <f t="shared" si="16"/>
        <v>69610.75002579179</v>
      </c>
      <c r="BN80" s="9">
        <f t="shared" si="21"/>
      </c>
      <c r="BU80" s="9"/>
      <c r="BV80" s="9"/>
      <c r="BW80" s="9"/>
      <c r="BX80" s="9"/>
    </row>
    <row r="81" spans="1:76" ht="12.75">
      <c r="A81" s="59">
        <f t="shared" si="22"/>
        <v>26</v>
      </c>
      <c r="B81" s="48" t="s">
        <v>89</v>
      </c>
      <c r="C81" s="48">
        <v>2007</v>
      </c>
      <c r="D81" s="60">
        <v>85000</v>
      </c>
      <c r="E81" s="65"/>
      <c r="F81" s="65"/>
      <c r="G81" s="66"/>
      <c r="H81">
        <f t="shared" si="23"/>
        <v>85000</v>
      </c>
      <c r="I81">
        <f t="shared" si="23"/>
      </c>
      <c r="J81">
        <f t="shared" si="23"/>
      </c>
      <c r="K81">
        <f t="shared" si="23"/>
      </c>
      <c r="L81">
        <f t="shared" si="23"/>
      </c>
      <c r="M81">
        <f t="shared" si="23"/>
      </c>
      <c r="N81">
        <f t="shared" si="23"/>
      </c>
      <c r="O81">
        <f t="shared" si="23"/>
      </c>
      <c r="P81">
        <f t="shared" si="23"/>
      </c>
      <c r="Q81">
        <f t="shared" si="23"/>
      </c>
      <c r="R81" s="9">
        <f t="shared" si="17"/>
        <v>85000</v>
      </c>
      <c r="T81">
        <f t="shared" si="18"/>
        <v>85000</v>
      </c>
      <c r="U81">
        <f t="shared" si="24"/>
      </c>
      <c r="V81">
        <f t="shared" si="24"/>
      </c>
      <c r="W81">
        <f t="shared" si="24"/>
      </c>
      <c r="X81">
        <f t="shared" si="24"/>
      </c>
      <c r="Y81">
        <f t="shared" si="24"/>
      </c>
      <c r="Z81">
        <f t="shared" si="24"/>
      </c>
      <c r="AA81">
        <f t="shared" si="24"/>
      </c>
      <c r="AB81">
        <f t="shared" si="24"/>
      </c>
      <c r="AC81">
        <f t="shared" si="24"/>
      </c>
      <c r="AD81">
        <f t="shared" si="24"/>
      </c>
      <c r="AE81">
        <f t="shared" si="11"/>
      </c>
      <c r="AF81" s="9">
        <f t="shared" si="12"/>
        <v>85000</v>
      </c>
      <c r="AG81">
        <f t="shared" si="19"/>
        <v>1</v>
      </c>
      <c r="AH81">
        <f t="shared" si="19"/>
        <v>0</v>
      </c>
      <c r="AI81">
        <f t="shared" si="19"/>
        <v>0</v>
      </c>
      <c r="AJ81">
        <f t="shared" si="19"/>
        <v>0</v>
      </c>
      <c r="AK81">
        <f t="shared" si="19"/>
        <v>0</v>
      </c>
      <c r="AL81">
        <f t="shared" si="19"/>
        <v>0</v>
      </c>
      <c r="AM81">
        <f t="shared" si="19"/>
        <v>0</v>
      </c>
      <c r="AN81">
        <f t="shared" si="19"/>
        <v>0</v>
      </c>
      <c r="AO81">
        <f t="shared" si="19"/>
        <v>0</v>
      </c>
      <c r="AP81">
        <f t="shared" si="20"/>
        <v>0</v>
      </c>
      <c r="BL81" s="9">
        <f t="shared" si="15"/>
        <v>85000</v>
      </c>
      <c r="BM81" s="9">
        <f t="shared" si="16"/>
        <v>85000</v>
      </c>
      <c r="BN81" s="9">
        <f t="shared" si="21"/>
      </c>
      <c r="BU81" s="9"/>
      <c r="BV81" s="9"/>
      <c r="BW81" s="9"/>
      <c r="BX81" s="9"/>
    </row>
    <row r="82" spans="1:76" ht="12.75">
      <c r="A82" s="59">
        <f t="shared" si="22"/>
        <v>27</v>
      </c>
      <c r="B82" s="48" t="s">
        <v>89</v>
      </c>
      <c r="C82" s="48">
        <v>2007</v>
      </c>
      <c r="D82" s="60">
        <v>70000</v>
      </c>
      <c r="E82" s="65"/>
      <c r="F82" s="65"/>
      <c r="G82" s="66"/>
      <c r="H82">
        <f t="shared" si="23"/>
        <v>70000</v>
      </c>
      <c r="I82">
        <f t="shared" si="23"/>
      </c>
      <c r="J82">
        <f t="shared" si="23"/>
      </c>
      <c r="K82">
        <f t="shared" si="23"/>
      </c>
      <c r="L82">
        <f t="shared" si="23"/>
      </c>
      <c r="M82">
        <f t="shared" si="23"/>
      </c>
      <c r="N82">
        <f t="shared" si="23"/>
      </c>
      <c r="O82">
        <f t="shared" si="23"/>
      </c>
      <c r="P82">
        <f t="shared" si="23"/>
      </c>
      <c r="Q82">
        <f t="shared" si="23"/>
      </c>
      <c r="R82" s="9">
        <f t="shared" si="17"/>
        <v>70000</v>
      </c>
      <c r="T82">
        <f t="shared" si="18"/>
        <v>70000</v>
      </c>
      <c r="U82">
        <f t="shared" si="24"/>
      </c>
      <c r="V82">
        <f t="shared" si="24"/>
      </c>
      <c r="W82">
        <f t="shared" si="24"/>
      </c>
      <c r="X82">
        <f t="shared" si="24"/>
      </c>
      <c r="Y82">
        <f t="shared" si="24"/>
      </c>
      <c r="Z82">
        <f t="shared" si="24"/>
      </c>
      <c r="AA82">
        <f t="shared" si="24"/>
      </c>
      <c r="AB82">
        <f t="shared" si="24"/>
      </c>
      <c r="AC82">
        <f t="shared" si="24"/>
      </c>
      <c r="AD82">
        <f t="shared" si="24"/>
      </c>
      <c r="AE82">
        <f t="shared" si="11"/>
      </c>
      <c r="AF82" s="9">
        <f t="shared" si="12"/>
        <v>70000</v>
      </c>
      <c r="AG82">
        <f t="shared" si="19"/>
        <v>1</v>
      </c>
      <c r="AH82">
        <f t="shared" si="19"/>
        <v>0</v>
      </c>
      <c r="AI82">
        <f t="shared" si="19"/>
        <v>0</v>
      </c>
      <c r="AJ82">
        <f t="shared" si="19"/>
        <v>0</v>
      </c>
      <c r="AK82">
        <f t="shared" si="19"/>
        <v>0</v>
      </c>
      <c r="AL82">
        <f t="shared" si="19"/>
        <v>0</v>
      </c>
      <c r="AM82">
        <f t="shared" si="19"/>
        <v>0</v>
      </c>
      <c r="AN82">
        <f t="shared" si="19"/>
        <v>0</v>
      </c>
      <c r="AO82">
        <f t="shared" si="19"/>
        <v>0</v>
      </c>
      <c r="AP82">
        <f t="shared" si="20"/>
        <v>0</v>
      </c>
      <c r="BL82" s="9">
        <f t="shared" si="15"/>
        <v>70000</v>
      </c>
      <c r="BM82" s="9">
        <f t="shared" si="16"/>
        <v>70000</v>
      </c>
      <c r="BN82" s="9">
        <f t="shared" si="21"/>
      </c>
      <c r="BU82" s="9"/>
      <c r="BV82" s="9"/>
      <c r="BW82" s="9"/>
      <c r="BX82" s="9"/>
    </row>
    <row r="83" spans="1:76" ht="12.75">
      <c r="A83" s="59">
        <f t="shared" si="22"/>
        <v>28</v>
      </c>
      <c r="B83" s="48" t="s">
        <v>89</v>
      </c>
      <c r="C83" s="48">
        <v>2007</v>
      </c>
      <c r="D83" s="60">
        <v>70000</v>
      </c>
      <c r="E83" s="65"/>
      <c r="F83" s="65"/>
      <c r="G83" s="66"/>
      <c r="H83">
        <f t="shared" si="23"/>
        <v>70000</v>
      </c>
      <c r="I83">
        <f t="shared" si="23"/>
      </c>
      <c r="J83">
        <f t="shared" si="23"/>
      </c>
      <c r="K83">
        <f t="shared" si="23"/>
      </c>
      <c r="L83">
        <f t="shared" si="23"/>
      </c>
      <c r="M83">
        <f t="shared" si="23"/>
      </c>
      <c r="N83">
        <f t="shared" si="23"/>
      </c>
      <c r="O83">
        <f t="shared" si="23"/>
      </c>
      <c r="P83">
        <f t="shared" si="23"/>
      </c>
      <c r="Q83">
        <f t="shared" si="23"/>
      </c>
      <c r="R83" s="9">
        <f t="shared" si="17"/>
        <v>70000</v>
      </c>
      <c r="T83">
        <f t="shared" si="18"/>
        <v>70000</v>
      </c>
      <c r="U83">
        <f t="shared" si="24"/>
      </c>
      <c r="V83">
        <f t="shared" si="24"/>
      </c>
      <c r="W83">
        <f t="shared" si="24"/>
      </c>
      <c r="X83">
        <f t="shared" si="24"/>
      </c>
      <c r="Y83">
        <f t="shared" si="24"/>
      </c>
      <c r="Z83">
        <f t="shared" si="24"/>
      </c>
      <c r="AA83">
        <f t="shared" si="24"/>
      </c>
      <c r="AB83">
        <f t="shared" si="24"/>
      </c>
      <c r="AC83">
        <f t="shared" si="24"/>
      </c>
      <c r="AD83">
        <f t="shared" si="24"/>
      </c>
      <c r="AE83">
        <f t="shared" si="11"/>
      </c>
      <c r="AF83" s="9">
        <f t="shared" si="12"/>
        <v>70000</v>
      </c>
      <c r="AG83">
        <f t="shared" si="19"/>
        <v>1</v>
      </c>
      <c r="AH83">
        <f t="shared" si="19"/>
        <v>0</v>
      </c>
      <c r="AI83">
        <f t="shared" si="19"/>
        <v>0</v>
      </c>
      <c r="AJ83">
        <f t="shared" si="19"/>
        <v>0</v>
      </c>
      <c r="AK83">
        <f t="shared" si="19"/>
        <v>0</v>
      </c>
      <c r="AL83">
        <f t="shared" si="19"/>
        <v>0</v>
      </c>
      <c r="AM83">
        <f t="shared" si="19"/>
        <v>0</v>
      </c>
      <c r="AN83">
        <f t="shared" si="19"/>
        <v>0</v>
      </c>
      <c r="AO83">
        <f t="shared" si="19"/>
        <v>0</v>
      </c>
      <c r="AP83">
        <f t="shared" si="20"/>
        <v>0</v>
      </c>
      <c r="BL83" s="9">
        <f t="shared" si="15"/>
        <v>70000</v>
      </c>
      <c r="BM83" s="9">
        <f t="shared" si="16"/>
        <v>70000</v>
      </c>
      <c r="BN83" s="9">
        <f t="shared" si="21"/>
      </c>
      <c r="BU83" s="9"/>
      <c r="BV83" s="9"/>
      <c r="BW83" s="9"/>
      <c r="BX83" s="9"/>
    </row>
    <row r="84" spans="1:76" ht="12.75">
      <c r="A84" s="59">
        <f t="shared" si="22"/>
        <v>29</v>
      </c>
      <c r="B84" s="48" t="s">
        <v>89</v>
      </c>
      <c r="C84" s="48">
        <v>2007</v>
      </c>
      <c r="D84" s="60">
        <v>80000</v>
      </c>
      <c r="E84" s="65"/>
      <c r="F84" s="65"/>
      <c r="G84" s="66"/>
      <c r="H84">
        <f t="shared" si="23"/>
        <v>80000</v>
      </c>
      <c r="I84">
        <f t="shared" si="23"/>
      </c>
      <c r="J84">
        <f t="shared" si="23"/>
      </c>
      <c r="K84">
        <f t="shared" si="23"/>
      </c>
      <c r="L84">
        <f t="shared" si="23"/>
      </c>
      <c r="M84">
        <f t="shared" si="23"/>
      </c>
      <c r="N84">
        <f t="shared" si="23"/>
      </c>
      <c r="O84">
        <f t="shared" si="23"/>
      </c>
      <c r="P84">
        <f t="shared" si="23"/>
      </c>
      <c r="Q84">
        <f t="shared" si="23"/>
      </c>
      <c r="R84" s="9">
        <f t="shared" si="17"/>
        <v>80000</v>
      </c>
      <c r="T84">
        <f t="shared" si="18"/>
        <v>80000</v>
      </c>
      <c r="U84">
        <f t="shared" si="24"/>
      </c>
      <c r="V84">
        <f t="shared" si="24"/>
      </c>
      <c r="W84">
        <f t="shared" si="24"/>
      </c>
      <c r="X84">
        <f t="shared" si="24"/>
      </c>
      <c r="Y84">
        <f t="shared" si="24"/>
      </c>
      <c r="Z84">
        <f t="shared" si="24"/>
      </c>
      <c r="AA84">
        <f t="shared" si="24"/>
      </c>
      <c r="AB84">
        <f t="shared" si="24"/>
      </c>
      <c r="AC84">
        <f t="shared" si="24"/>
      </c>
      <c r="AD84">
        <f t="shared" si="24"/>
      </c>
      <c r="AE84">
        <f t="shared" si="11"/>
      </c>
      <c r="AF84" s="9">
        <f t="shared" si="12"/>
        <v>80000</v>
      </c>
      <c r="AG84">
        <f t="shared" si="19"/>
        <v>1</v>
      </c>
      <c r="AH84">
        <f t="shared" si="19"/>
        <v>0</v>
      </c>
      <c r="AI84">
        <f t="shared" si="19"/>
        <v>0</v>
      </c>
      <c r="AJ84">
        <f t="shared" si="19"/>
        <v>0</v>
      </c>
      <c r="AK84">
        <f t="shared" si="19"/>
        <v>0</v>
      </c>
      <c r="AL84">
        <f t="shared" si="19"/>
        <v>0</v>
      </c>
      <c r="AM84">
        <f t="shared" si="19"/>
        <v>0</v>
      </c>
      <c r="AN84">
        <f t="shared" si="19"/>
        <v>0</v>
      </c>
      <c r="AO84">
        <f t="shared" si="19"/>
        <v>0</v>
      </c>
      <c r="AP84">
        <f t="shared" si="20"/>
        <v>0</v>
      </c>
      <c r="BL84" s="9">
        <f t="shared" si="15"/>
        <v>80000</v>
      </c>
      <c r="BM84" s="9">
        <f t="shared" si="16"/>
        <v>80000</v>
      </c>
      <c r="BN84" s="9">
        <f t="shared" si="21"/>
      </c>
      <c r="BU84" s="9"/>
      <c r="BV84" s="9"/>
      <c r="BW84" s="9"/>
      <c r="BX84" s="9"/>
    </row>
    <row r="85" spans="1:76" ht="12.75">
      <c r="A85" s="59">
        <f t="shared" si="22"/>
        <v>30</v>
      </c>
      <c r="B85" s="48" t="s">
        <v>89</v>
      </c>
      <c r="C85" s="48">
        <v>2007</v>
      </c>
      <c r="D85" s="60">
        <v>70000</v>
      </c>
      <c r="E85" s="65"/>
      <c r="F85" s="65"/>
      <c r="G85" s="66"/>
      <c r="H85">
        <f t="shared" si="23"/>
        <v>70000</v>
      </c>
      <c r="I85">
        <f t="shared" si="23"/>
      </c>
      <c r="J85">
        <f t="shared" si="23"/>
      </c>
      <c r="K85">
        <f t="shared" si="23"/>
      </c>
      <c r="L85">
        <f t="shared" si="23"/>
      </c>
      <c r="M85">
        <f t="shared" si="23"/>
      </c>
      <c r="N85">
        <f t="shared" si="23"/>
      </c>
      <c r="O85">
        <f t="shared" si="23"/>
      </c>
      <c r="P85">
        <f t="shared" si="23"/>
      </c>
      <c r="Q85">
        <f t="shared" si="23"/>
      </c>
      <c r="R85" s="9">
        <f t="shared" si="17"/>
        <v>70000</v>
      </c>
      <c r="T85">
        <f t="shared" si="18"/>
        <v>70000</v>
      </c>
      <c r="U85">
        <f t="shared" si="24"/>
      </c>
      <c r="V85">
        <f t="shared" si="24"/>
      </c>
      <c r="W85">
        <f t="shared" si="24"/>
      </c>
      <c r="X85">
        <f t="shared" si="24"/>
      </c>
      <c r="Y85">
        <f t="shared" si="24"/>
      </c>
      <c r="Z85">
        <f t="shared" si="24"/>
      </c>
      <c r="AA85">
        <f t="shared" si="24"/>
      </c>
      <c r="AB85">
        <f t="shared" si="24"/>
      </c>
      <c r="AC85">
        <f t="shared" si="24"/>
      </c>
      <c r="AD85">
        <f t="shared" si="24"/>
      </c>
      <c r="AE85">
        <f t="shared" si="11"/>
      </c>
      <c r="AF85" s="9">
        <f t="shared" si="12"/>
        <v>70000</v>
      </c>
      <c r="AG85">
        <f t="shared" si="19"/>
        <v>1</v>
      </c>
      <c r="AH85">
        <f t="shared" si="19"/>
        <v>0</v>
      </c>
      <c r="AI85">
        <f t="shared" si="19"/>
        <v>0</v>
      </c>
      <c r="AJ85">
        <f t="shared" si="19"/>
        <v>0</v>
      </c>
      <c r="AK85">
        <f t="shared" si="19"/>
        <v>0</v>
      </c>
      <c r="AL85">
        <f t="shared" si="19"/>
        <v>0</v>
      </c>
      <c r="AM85">
        <f t="shared" si="19"/>
        <v>0</v>
      </c>
      <c r="AN85">
        <f t="shared" si="19"/>
        <v>0</v>
      </c>
      <c r="AO85">
        <f t="shared" si="19"/>
        <v>0</v>
      </c>
      <c r="AP85">
        <f t="shared" si="20"/>
        <v>0</v>
      </c>
      <c r="BL85" s="9">
        <f t="shared" si="15"/>
        <v>70000</v>
      </c>
      <c r="BM85" s="9">
        <f t="shared" si="16"/>
        <v>70000</v>
      </c>
      <c r="BN85" s="9">
        <f t="shared" si="21"/>
      </c>
      <c r="BU85" s="9"/>
      <c r="BV85" s="9"/>
      <c r="BW85" s="9"/>
      <c r="BX85" s="9"/>
    </row>
    <row r="86" spans="1:76" ht="12.75">
      <c r="A86" s="59">
        <f t="shared" si="22"/>
        <v>31</v>
      </c>
      <c r="B86" s="48" t="s">
        <v>89</v>
      </c>
      <c r="C86" s="48">
        <v>2007</v>
      </c>
      <c r="D86" s="60">
        <v>70000</v>
      </c>
      <c r="E86" s="65"/>
      <c r="F86" s="65"/>
      <c r="G86" s="66"/>
      <c r="H86">
        <f t="shared" si="23"/>
        <v>70000</v>
      </c>
      <c r="I86">
        <f t="shared" si="23"/>
      </c>
      <c r="J86">
        <f t="shared" si="23"/>
      </c>
      <c r="K86">
        <f t="shared" si="23"/>
      </c>
      <c r="L86">
        <f t="shared" si="23"/>
      </c>
      <c r="M86">
        <f t="shared" si="23"/>
      </c>
      <c r="N86">
        <f t="shared" si="23"/>
      </c>
      <c r="O86">
        <f t="shared" si="23"/>
      </c>
      <c r="P86">
        <f t="shared" si="23"/>
      </c>
      <c r="Q86">
        <f t="shared" si="23"/>
      </c>
      <c r="R86" s="9">
        <f t="shared" si="17"/>
        <v>70000</v>
      </c>
      <c r="T86">
        <f t="shared" si="18"/>
        <v>70000</v>
      </c>
      <c r="U86">
        <f t="shared" si="24"/>
      </c>
      <c r="V86">
        <f t="shared" si="24"/>
      </c>
      <c r="W86">
        <f t="shared" si="24"/>
      </c>
      <c r="X86">
        <f t="shared" si="24"/>
      </c>
      <c r="Y86">
        <f t="shared" si="24"/>
      </c>
      <c r="Z86">
        <f t="shared" si="24"/>
      </c>
      <c r="AA86">
        <f t="shared" si="24"/>
      </c>
      <c r="AB86">
        <f t="shared" si="24"/>
      </c>
      <c r="AC86">
        <f t="shared" si="24"/>
      </c>
      <c r="AD86">
        <f t="shared" si="24"/>
      </c>
      <c r="AE86">
        <f t="shared" si="11"/>
      </c>
      <c r="AF86" s="9">
        <f t="shared" si="12"/>
        <v>70000</v>
      </c>
      <c r="AG86">
        <f t="shared" si="19"/>
        <v>1</v>
      </c>
      <c r="AH86">
        <f t="shared" si="19"/>
        <v>0</v>
      </c>
      <c r="AI86">
        <f t="shared" si="19"/>
        <v>0</v>
      </c>
      <c r="AJ86">
        <f t="shared" si="19"/>
        <v>0</v>
      </c>
      <c r="AK86">
        <f t="shared" si="19"/>
        <v>0</v>
      </c>
      <c r="AL86">
        <f t="shared" si="19"/>
        <v>0</v>
      </c>
      <c r="AM86">
        <f t="shared" si="19"/>
        <v>0</v>
      </c>
      <c r="AN86">
        <f t="shared" si="19"/>
        <v>0</v>
      </c>
      <c r="AO86">
        <f t="shared" si="19"/>
        <v>0</v>
      </c>
      <c r="AP86">
        <f t="shared" si="20"/>
        <v>0</v>
      </c>
      <c r="BL86" s="9">
        <f t="shared" si="15"/>
        <v>70000</v>
      </c>
      <c r="BM86" s="9">
        <f t="shared" si="16"/>
        <v>70000</v>
      </c>
      <c r="BN86" s="9">
        <f t="shared" si="21"/>
      </c>
      <c r="BU86" s="9"/>
      <c r="BV86" s="9"/>
      <c r="BW86" s="9"/>
      <c r="BX86" s="9"/>
    </row>
    <row r="87" spans="1:76" ht="12.75">
      <c r="A87" s="59">
        <f t="shared" si="22"/>
        <v>32</v>
      </c>
      <c r="B87" s="48" t="s">
        <v>89</v>
      </c>
      <c r="C87" s="48">
        <v>2007</v>
      </c>
      <c r="D87" s="60">
        <v>70000</v>
      </c>
      <c r="E87" s="68"/>
      <c r="F87" s="68"/>
      <c r="G87" s="66"/>
      <c r="H87">
        <f t="shared" si="23"/>
        <v>70000</v>
      </c>
      <c r="I87">
        <f t="shared" si="23"/>
      </c>
      <c r="J87">
        <f t="shared" si="23"/>
      </c>
      <c r="K87">
        <f t="shared" si="23"/>
      </c>
      <c r="L87">
        <f t="shared" si="23"/>
      </c>
      <c r="M87">
        <f t="shared" si="23"/>
      </c>
      <c r="N87">
        <f t="shared" si="23"/>
      </c>
      <c r="O87">
        <f t="shared" si="23"/>
      </c>
      <c r="P87">
        <f t="shared" si="23"/>
      </c>
      <c r="Q87">
        <f t="shared" si="23"/>
      </c>
      <c r="R87" s="9">
        <f t="shared" si="17"/>
        <v>70000</v>
      </c>
      <c r="T87">
        <f t="shared" si="18"/>
        <v>70000</v>
      </c>
      <c r="U87">
        <f t="shared" si="24"/>
      </c>
      <c r="V87">
        <f t="shared" si="24"/>
      </c>
      <c r="W87">
        <f t="shared" si="24"/>
      </c>
      <c r="X87">
        <f t="shared" si="24"/>
      </c>
      <c r="Y87">
        <f t="shared" si="24"/>
      </c>
      <c r="Z87">
        <f t="shared" si="24"/>
      </c>
      <c r="AA87">
        <f t="shared" si="24"/>
      </c>
      <c r="AB87">
        <f t="shared" si="24"/>
      </c>
      <c r="AC87">
        <f t="shared" si="24"/>
      </c>
      <c r="AD87">
        <f t="shared" si="24"/>
      </c>
      <c r="AE87">
        <f t="shared" si="11"/>
      </c>
      <c r="AF87" s="9">
        <f t="shared" si="12"/>
        <v>70000</v>
      </c>
      <c r="AG87">
        <f t="shared" si="19"/>
        <v>1</v>
      </c>
      <c r="AH87">
        <f t="shared" si="19"/>
        <v>0</v>
      </c>
      <c r="AI87">
        <f t="shared" si="19"/>
        <v>0</v>
      </c>
      <c r="AJ87">
        <f t="shared" si="19"/>
        <v>0</v>
      </c>
      <c r="AK87">
        <f t="shared" si="19"/>
        <v>0</v>
      </c>
      <c r="AL87">
        <f t="shared" si="19"/>
        <v>0</v>
      </c>
      <c r="AM87">
        <f t="shared" si="19"/>
        <v>0</v>
      </c>
      <c r="AN87">
        <f t="shared" si="19"/>
        <v>0</v>
      </c>
      <c r="AO87">
        <f t="shared" si="19"/>
        <v>0</v>
      </c>
      <c r="AP87">
        <f t="shared" si="20"/>
        <v>0</v>
      </c>
      <c r="BL87" s="9">
        <f t="shared" si="15"/>
        <v>70000</v>
      </c>
      <c r="BM87" s="9">
        <f t="shared" si="16"/>
        <v>70000</v>
      </c>
      <c r="BN87" s="9">
        <f t="shared" si="21"/>
      </c>
      <c r="BU87" s="9"/>
      <c r="BV87" s="9"/>
      <c r="BW87" s="9"/>
      <c r="BX87" s="9"/>
    </row>
    <row r="88" spans="1:76" ht="12.75">
      <c r="A88" s="59">
        <f t="shared" si="22"/>
        <v>33</v>
      </c>
      <c r="B88" s="50" t="s">
        <v>93</v>
      </c>
      <c r="C88" s="50">
        <v>2006</v>
      </c>
      <c r="D88" s="69">
        <v>120000</v>
      </c>
      <c r="E88" s="70" t="s">
        <v>104</v>
      </c>
      <c r="F88" s="71">
        <v>0.638</v>
      </c>
      <c r="G88" s="63"/>
      <c r="H88">
        <f aca="true" t="shared" si="25" ref="H88:Q103">IF($B88=H$55,$D88,"")</f>
      </c>
      <c r="I88">
        <f t="shared" si="25"/>
      </c>
      <c r="J88">
        <f t="shared" si="25"/>
        <v>120000</v>
      </c>
      <c r="K88">
        <f t="shared" si="25"/>
      </c>
      <c r="L88">
        <f t="shared" si="25"/>
      </c>
      <c r="M88">
        <f t="shared" si="25"/>
      </c>
      <c r="N88">
        <f t="shared" si="25"/>
      </c>
      <c r="O88">
        <f t="shared" si="25"/>
      </c>
      <c r="P88">
        <f t="shared" si="25"/>
      </c>
      <c r="Q88">
        <f t="shared" si="25"/>
      </c>
      <c r="R88" s="9">
        <f t="shared" si="17"/>
        <v>120000</v>
      </c>
      <c r="T88">
        <f t="shared" si="18"/>
      </c>
      <c r="U88">
        <f aca="true" t="shared" si="26" ref="U88:AD103">IF($C88=U$55,$D88,"")</f>
        <v>120000</v>
      </c>
      <c r="V88">
        <f t="shared" si="26"/>
      </c>
      <c r="W88">
        <f t="shared" si="26"/>
      </c>
      <c r="X88">
        <f t="shared" si="26"/>
      </c>
      <c r="Y88">
        <f t="shared" si="26"/>
      </c>
      <c r="Z88">
        <f t="shared" si="26"/>
      </c>
      <c r="AA88">
        <f t="shared" si="26"/>
      </c>
      <c r="AB88">
        <f t="shared" si="26"/>
      </c>
      <c r="AC88">
        <f t="shared" si="26"/>
      </c>
      <c r="AD88">
        <f t="shared" si="26"/>
      </c>
      <c r="AE88">
        <f t="shared" si="11"/>
      </c>
      <c r="AF88" s="9">
        <f t="shared" si="12"/>
        <v>120000</v>
      </c>
      <c r="AG88">
        <f aca="true" t="shared" si="27" ref="AG88:AO103">IF($B88=AG$55,1,0)</f>
        <v>0</v>
      </c>
      <c r="AH88">
        <f t="shared" si="27"/>
        <v>1</v>
      </c>
      <c r="AI88">
        <f t="shared" si="27"/>
        <v>0</v>
      </c>
      <c r="AJ88">
        <f t="shared" si="27"/>
        <v>0</v>
      </c>
      <c r="AK88">
        <f t="shared" si="27"/>
        <v>0</v>
      </c>
      <c r="AL88">
        <f t="shared" si="27"/>
        <v>0</v>
      </c>
      <c r="AM88">
        <f t="shared" si="27"/>
        <v>0</v>
      </c>
      <c r="AN88">
        <f t="shared" si="27"/>
        <v>0</v>
      </c>
      <c r="AO88">
        <f t="shared" si="27"/>
        <v>0</v>
      </c>
      <c r="AP88">
        <f t="shared" si="20"/>
        <v>1</v>
      </c>
      <c r="BL88" s="9">
        <f t="shared" si="15"/>
        <v>116152.68750644795</v>
      </c>
      <c r="BM88" s="9">
        <f aca="true" t="shared" si="28" ref="BM88:BM119">IF(BL88&lt;$BO$52,BL88,"")</f>
      </c>
      <c r="BN88" s="9">
        <f t="shared" si="21"/>
        <v>116152.68750644795</v>
      </c>
      <c r="BU88" s="9"/>
      <c r="BV88" s="9"/>
      <c r="BW88" s="9"/>
      <c r="BX88" s="9"/>
    </row>
    <row r="89" spans="1:76" ht="12.75">
      <c r="A89" s="59">
        <f t="shared" si="22"/>
        <v>34</v>
      </c>
      <c r="B89" s="50" t="s">
        <v>93</v>
      </c>
      <c r="C89" s="50">
        <v>2006</v>
      </c>
      <c r="D89" s="69">
        <v>100000</v>
      </c>
      <c r="E89" s="70"/>
      <c r="F89" s="70"/>
      <c r="G89" s="66"/>
      <c r="H89">
        <f t="shared" si="25"/>
      </c>
      <c r="I89">
        <f t="shared" si="25"/>
      </c>
      <c r="J89">
        <f t="shared" si="25"/>
        <v>100000</v>
      </c>
      <c r="K89">
        <f t="shared" si="25"/>
      </c>
      <c r="L89">
        <f t="shared" si="25"/>
      </c>
      <c r="M89">
        <f t="shared" si="25"/>
      </c>
      <c r="N89">
        <f t="shared" si="25"/>
      </c>
      <c r="O89">
        <f t="shared" si="25"/>
      </c>
      <c r="P89">
        <f t="shared" si="25"/>
      </c>
      <c r="Q89">
        <f t="shared" si="25"/>
      </c>
      <c r="R89" s="9">
        <f t="shared" si="17"/>
        <v>100000</v>
      </c>
      <c r="T89">
        <f t="shared" si="18"/>
      </c>
      <c r="U89">
        <f t="shared" si="26"/>
        <v>100000</v>
      </c>
      <c r="V89">
        <f t="shared" si="26"/>
      </c>
      <c r="W89">
        <f t="shared" si="26"/>
      </c>
      <c r="X89">
        <f t="shared" si="26"/>
      </c>
      <c r="Y89">
        <f t="shared" si="26"/>
      </c>
      <c r="Z89">
        <f t="shared" si="26"/>
      </c>
      <c r="AA89">
        <f t="shared" si="26"/>
      </c>
      <c r="AB89">
        <f t="shared" si="26"/>
      </c>
      <c r="AC89">
        <f t="shared" si="26"/>
      </c>
      <c r="AD89">
        <f t="shared" si="26"/>
      </c>
      <c r="AE89">
        <f t="shared" si="11"/>
      </c>
      <c r="AF89" s="9">
        <f t="shared" si="12"/>
        <v>100000</v>
      </c>
      <c r="AG89">
        <f t="shared" si="27"/>
        <v>0</v>
      </c>
      <c r="AH89">
        <f t="shared" si="27"/>
        <v>1</v>
      </c>
      <c r="AI89">
        <f t="shared" si="27"/>
        <v>0</v>
      </c>
      <c r="AJ89">
        <f t="shared" si="27"/>
        <v>0</v>
      </c>
      <c r="AK89">
        <f t="shared" si="27"/>
        <v>0</v>
      </c>
      <c r="AL89">
        <f t="shared" si="27"/>
        <v>0</v>
      </c>
      <c r="AM89">
        <f t="shared" si="27"/>
        <v>0</v>
      </c>
      <c r="AN89">
        <f t="shared" si="27"/>
        <v>0</v>
      </c>
      <c r="AO89">
        <f t="shared" si="27"/>
        <v>0</v>
      </c>
      <c r="AP89">
        <f t="shared" si="20"/>
        <v>1</v>
      </c>
      <c r="BL89" s="9">
        <f t="shared" si="15"/>
        <v>96152.68750644795</v>
      </c>
      <c r="BM89" s="9">
        <f t="shared" si="28"/>
        <v>96152.68750644795</v>
      </c>
      <c r="BN89" s="9">
        <f t="shared" si="21"/>
      </c>
      <c r="BU89" s="9"/>
      <c r="BV89" s="9"/>
      <c r="BW89" s="9"/>
      <c r="BX89" s="9"/>
    </row>
    <row r="90" spans="1:76" ht="12.75">
      <c r="A90" s="59">
        <f t="shared" si="22"/>
        <v>35</v>
      </c>
      <c r="B90" s="50" t="s">
        <v>93</v>
      </c>
      <c r="C90" s="50">
        <v>2006</v>
      </c>
      <c r="D90" s="69">
        <v>70000</v>
      </c>
      <c r="E90" s="70"/>
      <c r="F90" s="70"/>
      <c r="G90" s="66"/>
      <c r="H90">
        <f t="shared" si="25"/>
      </c>
      <c r="I90">
        <f t="shared" si="25"/>
      </c>
      <c r="J90">
        <f t="shared" si="25"/>
        <v>70000</v>
      </c>
      <c r="K90">
        <f t="shared" si="25"/>
      </c>
      <c r="L90">
        <f t="shared" si="25"/>
      </c>
      <c r="M90">
        <f t="shared" si="25"/>
      </c>
      <c r="N90">
        <f t="shared" si="25"/>
      </c>
      <c r="O90">
        <f t="shared" si="25"/>
      </c>
      <c r="P90">
        <f t="shared" si="25"/>
      </c>
      <c r="Q90">
        <f t="shared" si="25"/>
      </c>
      <c r="R90" s="9">
        <f t="shared" si="17"/>
        <v>70000</v>
      </c>
      <c r="T90">
        <f t="shared" si="18"/>
      </c>
      <c r="U90">
        <f t="shared" si="26"/>
        <v>70000</v>
      </c>
      <c r="V90">
        <f t="shared" si="26"/>
      </c>
      <c r="W90">
        <f t="shared" si="26"/>
      </c>
      <c r="X90">
        <f t="shared" si="26"/>
      </c>
      <c r="Y90">
        <f t="shared" si="26"/>
      </c>
      <c r="Z90">
        <f t="shared" si="26"/>
      </c>
      <c r="AA90">
        <f t="shared" si="26"/>
      </c>
      <c r="AB90">
        <f t="shared" si="26"/>
      </c>
      <c r="AC90">
        <f t="shared" si="26"/>
      </c>
      <c r="AD90">
        <f t="shared" si="26"/>
      </c>
      <c r="AE90">
        <f t="shared" si="11"/>
      </c>
      <c r="AF90" s="9">
        <f t="shared" si="12"/>
        <v>70000</v>
      </c>
      <c r="AG90">
        <f t="shared" si="27"/>
        <v>0</v>
      </c>
      <c r="AH90">
        <f t="shared" si="27"/>
        <v>1</v>
      </c>
      <c r="AI90">
        <f t="shared" si="27"/>
        <v>0</v>
      </c>
      <c r="AJ90">
        <f t="shared" si="27"/>
        <v>0</v>
      </c>
      <c r="AK90">
        <f t="shared" si="27"/>
        <v>0</v>
      </c>
      <c r="AL90">
        <f t="shared" si="27"/>
        <v>0</v>
      </c>
      <c r="AM90">
        <f t="shared" si="27"/>
        <v>0</v>
      </c>
      <c r="AN90">
        <f t="shared" si="27"/>
        <v>0</v>
      </c>
      <c r="AO90">
        <f t="shared" si="27"/>
        <v>0</v>
      </c>
      <c r="AP90">
        <f t="shared" si="20"/>
        <v>1</v>
      </c>
      <c r="BL90" s="9">
        <f t="shared" si="15"/>
        <v>66152.68750644795</v>
      </c>
      <c r="BM90" s="9">
        <f t="shared" si="28"/>
        <v>66152.68750644795</v>
      </c>
      <c r="BN90" s="9">
        <f t="shared" si="21"/>
      </c>
      <c r="BU90" s="9"/>
      <c r="BV90" s="9"/>
      <c r="BW90" s="9"/>
      <c r="BX90" s="9"/>
    </row>
    <row r="91" spans="1:76" ht="12.75">
      <c r="A91" s="59">
        <f t="shared" si="22"/>
        <v>36</v>
      </c>
      <c r="B91" s="50" t="s">
        <v>93</v>
      </c>
      <c r="C91" s="50">
        <v>2006</v>
      </c>
      <c r="D91" s="69">
        <v>70000</v>
      </c>
      <c r="E91" s="70"/>
      <c r="F91" s="70"/>
      <c r="G91" s="66"/>
      <c r="H91">
        <f t="shared" si="25"/>
      </c>
      <c r="I91">
        <f t="shared" si="25"/>
      </c>
      <c r="J91">
        <f t="shared" si="25"/>
        <v>70000</v>
      </c>
      <c r="K91">
        <f t="shared" si="25"/>
      </c>
      <c r="L91">
        <f t="shared" si="25"/>
      </c>
      <c r="M91">
        <f t="shared" si="25"/>
      </c>
      <c r="N91">
        <f t="shared" si="25"/>
      </c>
      <c r="O91">
        <f t="shared" si="25"/>
      </c>
      <c r="P91">
        <f t="shared" si="25"/>
      </c>
      <c r="Q91">
        <f t="shared" si="25"/>
      </c>
      <c r="R91" s="9">
        <f t="shared" si="17"/>
        <v>70000</v>
      </c>
      <c r="T91">
        <f t="shared" si="18"/>
      </c>
      <c r="U91">
        <f t="shared" si="26"/>
        <v>70000</v>
      </c>
      <c r="V91">
        <f t="shared" si="26"/>
      </c>
      <c r="W91">
        <f t="shared" si="26"/>
      </c>
      <c r="X91">
        <f t="shared" si="26"/>
      </c>
      <c r="Y91">
        <f t="shared" si="26"/>
      </c>
      <c r="Z91">
        <f t="shared" si="26"/>
      </c>
      <c r="AA91">
        <f t="shared" si="26"/>
      </c>
      <c r="AB91">
        <f t="shared" si="26"/>
      </c>
      <c r="AC91">
        <f t="shared" si="26"/>
      </c>
      <c r="AD91">
        <f t="shared" si="26"/>
      </c>
      <c r="AE91">
        <f t="shared" si="11"/>
      </c>
      <c r="AF91" s="9">
        <f t="shared" si="12"/>
        <v>70000</v>
      </c>
      <c r="AG91">
        <f t="shared" si="27"/>
        <v>0</v>
      </c>
      <c r="AH91">
        <f t="shared" si="27"/>
        <v>1</v>
      </c>
      <c r="AI91">
        <f t="shared" si="27"/>
        <v>0</v>
      </c>
      <c r="AJ91">
        <f t="shared" si="27"/>
        <v>0</v>
      </c>
      <c r="AK91">
        <f t="shared" si="27"/>
        <v>0</v>
      </c>
      <c r="AL91">
        <f t="shared" si="27"/>
        <v>0</v>
      </c>
      <c r="AM91">
        <f t="shared" si="27"/>
        <v>0</v>
      </c>
      <c r="AN91">
        <f t="shared" si="27"/>
        <v>0</v>
      </c>
      <c r="AO91">
        <f t="shared" si="27"/>
        <v>0</v>
      </c>
      <c r="AP91">
        <f t="shared" si="20"/>
        <v>1</v>
      </c>
      <c r="BL91" s="9">
        <f t="shared" si="15"/>
        <v>66152.68750644795</v>
      </c>
      <c r="BM91" s="9">
        <f t="shared" si="28"/>
        <v>66152.68750644795</v>
      </c>
      <c r="BN91" s="9">
        <f t="shared" si="21"/>
      </c>
      <c r="BU91" s="9"/>
      <c r="BV91" s="9"/>
      <c r="BW91" s="9"/>
      <c r="BX91" s="9"/>
    </row>
    <row r="92" spans="1:76" ht="12.75">
      <c r="A92" s="59">
        <f t="shared" si="22"/>
        <v>37</v>
      </c>
      <c r="B92" s="50" t="s">
        <v>93</v>
      </c>
      <c r="C92" s="50">
        <v>2006</v>
      </c>
      <c r="D92" s="69">
        <v>70000</v>
      </c>
      <c r="E92" s="70"/>
      <c r="F92" s="70"/>
      <c r="G92" s="66"/>
      <c r="H92">
        <f t="shared" si="25"/>
      </c>
      <c r="I92">
        <f t="shared" si="25"/>
      </c>
      <c r="J92">
        <f t="shared" si="25"/>
        <v>70000</v>
      </c>
      <c r="K92">
        <f t="shared" si="25"/>
      </c>
      <c r="L92">
        <f t="shared" si="25"/>
      </c>
      <c r="M92">
        <f t="shared" si="25"/>
      </c>
      <c r="N92">
        <f t="shared" si="25"/>
      </c>
      <c r="O92">
        <f t="shared" si="25"/>
      </c>
      <c r="P92">
        <f t="shared" si="25"/>
      </c>
      <c r="Q92">
        <f t="shared" si="25"/>
      </c>
      <c r="R92" s="9">
        <f t="shared" si="17"/>
        <v>70000</v>
      </c>
      <c r="T92">
        <f t="shared" si="18"/>
      </c>
      <c r="U92">
        <f t="shared" si="26"/>
        <v>70000</v>
      </c>
      <c r="V92">
        <f t="shared" si="26"/>
      </c>
      <c r="W92">
        <f t="shared" si="26"/>
      </c>
      <c r="X92">
        <f t="shared" si="26"/>
      </c>
      <c r="Y92">
        <f t="shared" si="26"/>
      </c>
      <c r="Z92">
        <f t="shared" si="26"/>
      </c>
      <c r="AA92">
        <f t="shared" si="26"/>
      </c>
      <c r="AB92">
        <f t="shared" si="26"/>
      </c>
      <c r="AC92">
        <f t="shared" si="26"/>
      </c>
      <c r="AD92">
        <f t="shared" si="26"/>
      </c>
      <c r="AE92">
        <f t="shared" si="11"/>
      </c>
      <c r="AF92" s="9">
        <f t="shared" si="12"/>
        <v>70000</v>
      </c>
      <c r="AG92">
        <f t="shared" si="27"/>
        <v>0</v>
      </c>
      <c r="AH92">
        <f t="shared" si="27"/>
        <v>1</v>
      </c>
      <c r="AI92">
        <f t="shared" si="27"/>
        <v>0</v>
      </c>
      <c r="AJ92">
        <f t="shared" si="27"/>
        <v>0</v>
      </c>
      <c r="AK92">
        <f t="shared" si="27"/>
        <v>0</v>
      </c>
      <c r="AL92">
        <f t="shared" si="27"/>
        <v>0</v>
      </c>
      <c r="AM92">
        <f t="shared" si="27"/>
        <v>0</v>
      </c>
      <c r="AN92">
        <f t="shared" si="27"/>
        <v>0</v>
      </c>
      <c r="AO92">
        <f t="shared" si="27"/>
        <v>0</v>
      </c>
      <c r="AP92">
        <f t="shared" si="20"/>
        <v>1</v>
      </c>
      <c r="BL92" s="9">
        <f t="shared" si="15"/>
        <v>66152.68750644795</v>
      </c>
      <c r="BM92" s="9">
        <f t="shared" si="28"/>
        <v>66152.68750644795</v>
      </c>
      <c r="BN92" s="9">
        <f t="shared" si="21"/>
      </c>
      <c r="BU92" s="9"/>
      <c r="BV92" s="9"/>
      <c r="BW92" s="9"/>
      <c r="BX92" s="9"/>
    </row>
    <row r="93" spans="1:76" ht="12.75">
      <c r="A93" s="59">
        <f t="shared" si="22"/>
        <v>38</v>
      </c>
      <c r="B93" s="50" t="s">
        <v>93</v>
      </c>
      <c r="C93" s="50">
        <v>2006</v>
      </c>
      <c r="D93" s="69">
        <v>50000</v>
      </c>
      <c r="E93" s="70"/>
      <c r="F93" s="70"/>
      <c r="G93" s="66"/>
      <c r="H93">
        <f t="shared" si="25"/>
      </c>
      <c r="I93">
        <f t="shared" si="25"/>
      </c>
      <c r="J93">
        <f t="shared" si="25"/>
        <v>50000</v>
      </c>
      <c r="K93">
        <f t="shared" si="25"/>
      </c>
      <c r="L93">
        <f t="shared" si="25"/>
      </c>
      <c r="M93">
        <f t="shared" si="25"/>
      </c>
      <c r="N93">
        <f t="shared" si="25"/>
      </c>
      <c r="O93">
        <f t="shared" si="25"/>
      </c>
      <c r="P93">
        <f t="shared" si="25"/>
      </c>
      <c r="Q93">
        <f t="shared" si="25"/>
      </c>
      <c r="R93" s="9">
        <f t="shared" si="17"/>
        <v>50000</v>
      </c>
      <c r="T93">
        <f t="shared" si="18"/>
      </c>
      <c r="U93">
        <f t="shared" si="26"/>
        <v>50000</v>
      </c>
      <c r="V93">
        <f t="shared" si="26"/>
      </c>
      <c r="W93">
        <f t="shared" si="26"/>
      </c>
      <c r="X93">
        <f t="shared" si="26"/>
      </c>
      <c r="Y93">
        <f t="shared" si="26"/>
      </c>
      <c r="Z93">
        <f t="shared" si="26"/>
      </c>
      <c r="AA93">
        <f t="shared" si="26"/>
      </c>
      <c r="AB93">
        <f t="shared" si="26"/>
      </c>
      <c r="AC93">
        <f t="shared" si="26"/>
      </c>
      <c r="AD93">
        <f t="shared" si="26"/>
      </c>
      <c r="AE93">
        <f t="shared" si="11"/>
      </c>
      <c r="AF93" s="9">
        <f t="shared" si="12"/>
        <v>50000</v>
      </c>
      <c r="AG93">
        <f t="shared" si="27"/>
        <v>0</v>
      </c>
      <c r="AH93">
        <f t="shared" si="27"/>
        <v>1</v>
      </c>
      <c r="AI93">
        <f t="shared" si="27"/>
        <v>0</v>
      </c>
      <c r="AJ93">
        <f t="shared" si="27"/>
        <v>0</v>
      </c>
      <c r="AK93">
        <f t="shared" si="27"/>
        <v>0</v>
      </c>
      <c r="AL93">
        <f t="shared" si="27"/>
        <v>0</v>
      </c>
      <c r="AM93">
        <f t="shared" si="27"/>
        <v>0</v>
      </c>
      <c r="AN93">
        <f t="shared" si="27"/>
        <v>0</v>
      </c>
      <c r="AO93">
        <f t="shared" si="27"/>
        <v>0</v>
      </c>
      <c r="AP93">
        <f t="shared" si="20"/>
        <v>1</v>
      </c>
      <c r="BL93" s="9">
        <f t="shared" si="15"/>
        <v>46152.687506447946</v>
      </c>
      <c r="BM93" s="9">
        <f t="shared" si="28"/>
        <v>46152.687506447946</v>
      </c>
      <c r="BN93" s="9">
        <f t="shared" si="21"/>
      </c>
      <c r="BU93" s="9"/>
      <c r="BV93" s="9"/>
      <c r="BW93" s="9"/>
      <c r="BX93" s="9"/>
    </row>
    <row r="94" spans="1:76" ht="12.75">
      <c r="A94" s="59">
        <f t="shared" si="22"/>
        <v>39</v>
      </c>
      <c r="B94" s="50" t="s">
        <v>93</v>
      </c>
      <c r="C94" s="50">
        <v>2006</v>
      </c>
      <c r="D94" s="69">
        <v>95000</v>
      </c>
      <c r="E94" s="70"/>
      <c r="F94" s="70"/>
      <c r="G94" s="66"/>
      <c r="H94">
        <f t="shared" si="25"/>
      </c>
      <c r="I94">
        <f t="shared" si="25"/>
      </c>
      <c r="J94">
        <f t="shared" si="25"/>
        <v>95000</v>
      </c>
      <c r="K94">
        <f t="shared" si="25"/>
      </c>
      <c r="L94">
        <f t="shared" si="25"/>
      </c>
      <c r="M94">
        <f t="shared" si="25"/>
      </c>
      <c r="N94">
        <f t="shared" si="25"/>
      </c>
      <c r="O94">
        <f t="shared" si="25"/>
      </c>
      <c r="P94">
        <f t="shared" si="25"/>
      </c>
      <c r="Q94">
        <f t="shared" si="25"/>
      </c>
      <c r="R94" s="9">
        <f t="shared" si="17"/>
        <v>95000</v>
      </c>
      <c r="T94">
        <f t="shared" si="18"/>
      </c>
      <c r="U94">
        <f t="shared" si="26"/>
        <v>95000</v>
      </c>
      <c r="V94">
        <f t="shared" si="26"/>
      </c>
      <c r="W94">
        <f t="shared" si="26"/>
      </c>
      <c r="X94">
        <f t="shared" si="26"/>
      </c>
      <c r="Y94">
        <f t="shared" si="26"/>
      </c>
      <c r="Z94">
        <f t="shared" si="26"/>
      </c>
      <c r="AA94">
        <f t="shared" si="26"/>
      </c>
      <c r="AB94">
        <f t="shared" si="26"/>
      </c>
      <c r="AC94">
        <f t="shared" si="26"/>
      </c>
      <c r="AD94">
        <f t="shared" si="26"/>
      </c>
      <c r="AE94">
        <f t="shared" si="11"/>
      </c>
      <c r="AF94" s="9">
        <f t="shared" si="12"/>
        <v>95000</v>
      </c>
      <c r="AG94">
        <f t="shared" si="27"/>
        <v>0</v>
      </c>
      <c r="AH94">
        <f t="shared" si="27"/>
        <v>1</v>
      </c>
      <c r="AI94">
        <f t="shared" si="27"/>
        <v>0</v>
      </c>
      <c r="AJ94">
        <f t="shared" si="27"/>
        <v>0</v>
      </c>
      <c r="AK94">
        <f t="shared" si="27"/>
        <v>0</v>
      </c>
      <c r="AL94">
        <f t="shared" si="27"/>
        <v>0</v>
      </c>
      <c r="AM94">
        <f t="shared" si="27"/>
        <v>0</v>
      </c>
      <c r="AN94">
        <f t="shared" si="27"/>
        <v>0</v>
      </c>
      <c r="AO94">
        <f t="shared" si="27"/>
        <v>0</v>
      </c>
      <c r="AP94">
        <f t="shared" si="20"/>
        <v>1</v>
      </c>
      <c r="BL94" s="9">
        <f t="shared" si="15"/>
        <v>91152.68750644795</v>
      </c>
      <c r="BM94" s="9">
        <f t="shared" si="28"/>
        <v>91152.68750644795</v>
      </c>
      <c r="BN94" s="9">
        <f t="shared" si="21"/>
      </c>
      <c r="BU94" s="9"/>
      <c r="BV94" s="9"/>
      <c r="BW94" s="9"/>
      <c r="BX94" s="9"/>
    </row>
    <row r="95" spans="1:76" ht="12.75">
      <c r="A95" s="59">
        <f t="shared" si="22"/>
        <v>40</v>
      </c>
      <c r="B95" s="50" t="s">
        <v>93</v>
      </c>
      <c r="C95" s="50">
        <v>2006</v>
      </c>
      <c r="D95" s="69">
        <v>75000</v>
      </c>
      <c r="E95" s="70"/>
      <c r="F95" s="70"/>
      <c r="G95" s="66"/>
      <c r="H95">
        <f t="shared" si="25"/>
      </c>
      <c r="I95">
        <f t="shared" si="25"/>
      </c>
      <c r="J95">
        <f t="shared" si="25"/>
        <v>75000</v>
      </c>
      <c r="K95">
        <f t="shared" si="25"/>
      </c>
      <c r="L95">
        <f t="shared" si="25"/>
      </c>
      <c r="M95">
        <f t="shared" si="25"/>
      </c>
      <c r="N95">
        <f t="shared" si="25"/>
      </c>
      <c r="O95">
        <f t="shared" si="25"/>
      </c>
      <c r="P95">
        <f t="shared" si="25"/>
      </c>
      <c r="Q95">
        <f t="shared" si="25"/>
      </c>
      <c r="R95" s="9">
        <f t="shared" si="17"/>
        <v>75000</v>
      </c>
      <c r="T95">
        <f t="shared" si="18"/>
      </c>
      <c r="U95">
        <f t="shared" si="26"/>
        <v>75000</v>
      </c>
      <c r="V95">
        <f t="shared" si="26"/>
      </c>
      <c r="W95">
        <f t="shared" si="26"/>
      </c>
      <c r="X95">
        <f t="shared" si="26"/>
      </c>
      <c r="Y95">
        <f t="shared" si="26"/>
      </c>
      <c r="Z95">
        <f t="shared" si="26"/>
      </c>
      <c r="AA95">
        <f t="shared" si="26"/>
      </c>
      <c r="AB95">
        <f t="shared" si="26"/>
      </c>
      <c r="AC95">
        <f t="shared" si="26"/>
      </c>
      <c r="AD95">
        <f t="shared" si="26"/>
      </c>
      <c r="AE95">
        <f t="shared" si="11"/>
      </c>
      <c r="AF95" s="9">
        <f t="shared" si="12"/>
        <v>75000</v>
      </c>
      <c r="AG95">
        <f t="shared" si="27"/>
        <v>0</v>
      </c>
      <c r="AH95">
        <f t="shared" si="27"/>
        <v>1</v>
      </c>
      <c r="AI95">
        <f t="shared" si="27"/>
        <v>0</v>
      </c>
      <c r="AJ95">
        <f t="shared" si="27"/>
        <v>0</v>
      </c>
      <c r="AK95">
        <f t="shared" si="27"/>
        <v>0</v>
      </c>
      <c r="AL95">
        <f t="shared" si="27"/>
        <v>0</v>
      </c>
      <c r="AM95">
        <f t="shared" si="27"/>
        <v>0</v>
      </c>
      <c r="AN95">
        <f t="shared" si="27"/>
        <v>0</v>
      </c>
      <c r="AO95">
        <f t="shared" si="27"/>
        <v>0</v>
      </c>
      <c r="AP95">
        <f t="shared" si="20"/>
        <v>1</v>
      </c>
      <c r="BL95" s="9">
        <f t="shared" si="15"/>
        <v>71152.68750644795</v>
      </c>
      <c r="BM95" s="9">
        <f t="shared" si="28"/>
        <v>71152.68750644795</v>
      </c>
      <c r="BN95" s="9">
        <f t="shared" si="21"/>
      </c>
      <c r="BU95" s="9"/>
      <c r="BV95" s="9"/>
      <c r="BW95" s="9"/>
      <c r="BX95" s="9"/>
    </row>
    <row r="96" spans="1:76" ht="12.75">
      <c r="A96" s="59">
        <f t="shared" si="22"/>
        <v>41</v>
      </c>
      <c r="B96" s="50" t="s">
        <v>93</v>
      </c>
      <c r="C96" s="50">
        <v>2006</v>
      </c>
      <c r="D96" s="69">
        <v>75000</v>
      </c>
      <c r="E96" s="70"/>
      <c r="F96" s="70"/>
      <c r="G96" s="66"/>
      <c r="H96">
        <f t="shared" si="25"/>
      </c>
      <c r="I96">
        <f t="shared" si="25"/>
      </c>
      <c r="J96">
        <f t="shared" si="25"/>
        <v>75000</v>
      </c>
      <c r="K96">
        <f t="shared" si="25"/>
      </c>
      <c r="L96">
        <f t="shared" si="25"/>
      </c>
      <c r="M96">
        <f t="shared" si="25"/>
      </c>
      <c r="N96">
        <f t="shared" si="25"/>
      </c>
      <c r="O96">
        <f t="shared" si="25"/>
      </c>
      <c r="P96">
        <f t="shared" si="25"/>
      </c>
      <c r="Q96">
        <f t="shared" si="25"/>
      </c>
      <c r="R96" s="9">
        <f t="shared" si="17"/>
        <v>75000</v>
      </c>
      <c r="T96">
        <f t="shared" si="18"/>
      </c>
      <c r="U96">
        <f t="shared" si="26"/>
        <v>75000</v>
      </c>
      <c r="V96">
        <f t="shared" si="26"/>
      </c>
      <c r="W96">
        <f t="shared" si="26"/>
      </c>
      <c r="X96">
        <f t="shared" si="26"/>
      </c>
      <c r="Y96">
        <f t="shared" si="26"/>
      </c>
      <c r="Z96">
        <f t="shared" si="26"/>
      </c>
      <c r="AA96">
        <f t="shared" si="26"/>
      </c>
      <c r="AB96">
        <f t="shared" si="26"/>
      </c>
      <c r="AC96">
        <f t="shared" si="26"/>
      </c>
      <c r="AD96">
        <f t="shared" si="26"/>
      </c>
      <c r="AE96">
        <f t="shared" si="11"/>
      </c>
      <c r="AF96" s="9">
        <f t="shared" si="12"/>
        <v>75000</v>
      </c>
      <c r="AG96">
        <f t="shared" si="27"/>
        <v>0</v>
      </c>
      <c r="AH96">
        <f t="shared" si="27"/>
        <v>1</v>
      </c>
      <c r="AI96">
        <f t="shared" si="27"/>
        <v>0</v>
      </c>
      <c r="AJ96">
        <f t="shared" si="27"/>
        <v>0</v>
      </c>
      <c r="AK96">
        <f t="shared" si="27"/>
        <v>0</v>
      </c>
      <c r="AL96">
        <f t="shared" si="27"/>
        <v>0</v>
      </c>
      <c r="AM96">
        <f t="shared" si="27"/>
        <v>0</v>
      </c>
      <c r="AN96">
        <f t="shared" si="27"/>
        <v>0</v>
      </c>
      <c r="AO96">
        <f t="shared" si="27"/>
        <v>0</v>
      </c>
      <c r="AP96">
        <f t="shared" si="20"/>
        <v>1</v>
      </c>
      <c r="BL96" s="9">
        <f t="shared" si="15"/>
        <v>71152.68750644795</v>
      </c>
      <c r="BM96" s="9">
        <f t="shared" si="28"/>
        <v>71152.68750644795</v>
      </c>
      <c r="BN96" s="9">
        <f t="shared" si="21"/>
      </c>
      <c r="BU96" s="9"/>
      <c r="BV96" s="9"/>
      <c r="BW96" s="9"/>
      <c r="BX96" s="9"/>
    </row>
    <row r="97" spans="1:76" ht="12.75">
      <c r="A97" s="59">
        <f t="shared" si="22"/>
        <v>42</v>
      </c>
      <c r="B97" s="50" t="s">
        <v>93</v>
      </c>
      <c r="C97" s="50">
        <v>2006</v>
      </c>
      <c r="D97" s="69">
        <v>95000</v>
      </c>
      <c r="E97" s="70"/>
      <c r="F97" s="70"/>
      <c r="G97" s="66"/>
      <c r="H97">
        <f t="shared" si="25"/>
      </c>
      <c r="I97">
        <f t="shared" si="25"/>
      </c>
      <c r="J97">
        <f t="shared" si="25"/>
        <v>95000</v>
      </c>
      <c r="K97">
        <f t="shared" si="25"/>
      </c>
      <c r="L97">
        <f t="shared" si="25"/>
      </c>
      <c r="M97">
        <f t="shared" si="25"/>
      </c>
      <c r="N97">
        <f t="shared" si="25"/>
      </c>
      <c r="O97">
        <f t="shared" si="25"/>
      </c>
      <c r="P97">
        <f t="shared" si="25"/>
      </c>
      <c r="Q97">
        <f t="shared" si="25"/>
      </c>
      <c r="R97" s="9">
        <f t="shared" si="17"/>
        <v>95000</v>
      </c>
      <c r="T97">
        <f t="shared" si="18"/>
      </c>
      <c r="U97">
        <f t="shared" si="26"/>
        <v>95000</v>
      </c>
      <c r="V97">
        <f t="shared" si="26"/>
      </c>
      <c r="W97">
        <f t="shared" si="26"/>
      </c>
      <c r="X97">
        <f t="shared" si="26"/>
      </c>
      <c r="Y97">
        <f t="shared" si="26"/>
      </c>
      <c r="Z97">
        <f t="shared" si="26"/>
      </c>
      <c r="AA97">
        <f t="shared" si="26"/>
      </c>
      <c r="AB97">
        <f t="shared" si="26"/>
      </c>
      <c r="AC97">
        <f t="shared" si="26"/>
      </c>
      <c r="AD97">
        <f t="shared" si="26"/>
      </c>
      <c r="AE97">
        <f t="shared" si="11"/>
      </c>
      <c r="AF97" s="9">
        <f t="shared" si="12"/>
        <v>95000</v>
      </c>
      <c r="AG97">
        <f t="shared" si="27"/>
        <v>0</v>
      </c>
      <c r="AH97">
        <f t="shared" si="27"/>
        <v>1</v>
      </c>
      <c r="AI97">
        <f t="shared" si="27"/>
        <v>0</v>
      </c>
      <c r="AJ97">
        <f t="shared" si="27"/>
        <v>0</v>
      </c>
      <c r="AK97">
        <f t="shared" si="27"/>
        <v>0</v>
      </c>
      <c r="AL97">
        <f t="shared" si="27"/>
        <v>0</v>
      </c>
      <c r="AM97">
        <f t="shared" si="27"/>
        <v>0</v>
      </c>
      <c r="AN97">
        <f t="shared" si="27"/>
        <v>0</v>
      </c>
      <c r="AO97">
        <f t="shared" si="27"/>
        <v>0</v>
      </c>
      <c r="AP97">
        <f t="shared" si="20"/>
        <v>1</v>
      </c>
      <c r="BL97" s="9">
        <f t="shared" si="15"/>
        <v>91152.68750644795</v>
      </c>
      <c r="BM97" s="9">
        <f t="shared" si="28"/>
        <v>91152.68750644795</v>
      </c>
      <c r="BN97" s="9">
        <f t="shared" si="21"/>
      </c>
      <c r="BU97" s="9"/>
      <c r="BV97" s="9"/>
      <c r="BW97" s="9"/>
      <c r="BX97" s="9"/>
    </row>
    <row r="98" spans="1:76" ht="12.75">
      <c r="A98" s="59">
        <f t="shared" si="22"/>
        <v>43</v>
      </c>
      <c r="B98" s="50" t="s">
        <v>93</v>
      </c>
      <c r="C98" s="50">
        <v>2006</v>
      </c>
      <c r="D98" s="69">
        <v>120000</v>
      </c>
      <c r="E98" s="70"/>
      <c r="F98" s="70"/>
      <c r="G98" s="66"/>
      <c r="H98">
        <f t="shared" si="25"/>
      </c>
      <c r="I98">
        <f t="shared" si="25"/>
      </c>
      <c r="J98">
        <f t="shared" si="25"/>
        <v>120000</v>
      </c>
      <c r="K98">
        <f t="shared" si="25"/>
      </c>
      <c r="L98">
        <f t="shared" si="25"/>
      </c>
      <c r="M98">
        <f t="shared" si="25"/>
      </c>
      <c r="N98">
        <f t="shared" si="25"/>
      </c>
      <c r="O98">
        <f t="shared" si="25"/>
      </c>
      <c r="P98">
        <f t="shared" si="25"/>
      </c>
      <c r="Q98">
        <f t="shared" si="25"/>
      </c>
      <c r="R98" s="9">
        <f t="shared" si="17"/>
        <v>120000</v>
      </c>
      <c r="T98">
        <f t="shared" si="18"/>
      </c>
      <c r="U98">
        <f t="shared" si="26"/>
        <v>120000</v>
      </c>
      <c r="V98">
        <f t="shared" si="26"/>
      </c>
      <c r="W98">
        <f t="shared" si="26"/>
      </c>
      <c r="X98">
        <f t="shared" si="26"/>
      </c>
      <c r="Y98">
        <f t="shared" si="26"/>
      </c>
      <c r="Z98">
        <f t="shared" si="26"/>
      </c>
      <c r="AA98">
        <f t="shared" si="26"/>
      </c>
      <c r="AB98">
        <f t="shared" si="26"/>
      </c>
      <c r="AC98">
        <f t="shared" si="26"/>
      </c>
      <c r="AD98">
        <f t="shared" si="26"/>
      </c>
      <c r="AE98">
        <f t="shared" si="11"/>
      </c>
      <c r="AF98" s="9">
        <f t="shared" si="12"/>
        <v>120000</v>
      </c>
      <c r="AG98">
        <f t="shared" si="27"/>
        <v>0</v>
      </c>
      <c r="AH98">
        <f t="shared" si="27"/>
        <v>1</v>
      </c>
      <c r="AI98">
        <f t="shared" si="27"/>
        <v>0</v>
      </c>
      <c r="AJ98">
        <f t="shared" si="27"/>
        <v>0</v>
      </c>
      <c r="AK98">
        <f t="shared" si="27"/>
        <v>0</v>
      </c>
      <c r="AL98">
        <f t="shared" si="27"/>
        <v>0</v>
      </c>
      <c r="AM98">
        <f t="shared" si="27"/>
        <v>0</v>
      </c>
      <c r="AN98">
        <f t="shared" si="27"/>
        <v>0</v>
      </c>
      <c r="AO98">
        <f t="shared" si="27"/>
        <v>0</v>
      </c>
      <c r="AP98">
        <f t="shared" si="20"/>
        <v>1</v>
      </c>
      <c r="BL98" s="9">
        <f t="shared" si="15"/>
        <v>116152.68750644795</v>
      </c>
      <c r="BM98" s="9">
        <f t="shared" si="28"/>
      </c>
      <c r="BN98" s="9">
        <f t="shared" si="21"/>
        <v>116152.68750644795</v>
      </c>
      <c r="BU98" s="9"/>
      <c r="BV98" s="9"/>
      <c r="BW98" s="9"/>
      <c r="BX98" s="9"/>
    </row>
    <row r="99" spans="1:76" ht="12.75">
      <c r="A99" s="59">
        <f t="shared" si="22"/>
        <v>44</v>
      </c>
      <c r="B99" s="50" t="s">
        <v>93</v>
      </c>
      <c r="C99" s="50">
        <v>2006</v>
      </c>
      <c r="D99" s="69">
        <v>85000</v>
      </c>
      <c r="E99" s="70"/>
      <c r="F99" s="70"/>
      <c r="G99" s="66"/>
      <c r="H99">
        <f t="shared" si="25"/>
      </c>
      <c r="I99">
        <f t="shared" si="25"/>
      </c>
      <c r="J99">
        <f t="shared" si="25"/>
        <v>85000</v>
      </c>
      <c r="K99">
        <f t="shared" si="25"/>
      </c>
      <c r="L99">
        <f t="shared" si="25"/>
      </c>
      <c r="M99">
        <f t="shared" si="25"/>
      </c>
      <c r="N99">
        <f t="shared" si="25"/>
      </c>
      <c r="O99">
        <f t="shared" si="25"/>
      </c>
      <c r="P99">
        <f t="shared" si="25"/>
      </c>
      <c r="Q99">
        <f t="shared" si="25"/>
      </c>
      <c r="R99" s="9">
        <f t="shared" si="17"/>
        <v>85000</v>
      </c>
      <c r="T99">
        <f t="shared" si="18"/>
      </c>
      <c r="U99">
        <f t="shared" si="26"/>
        <v>85000</v>
      </c>
      <c r="V99">
        <f t="shared" si="26"/>
      </c>
      <c r="W99">
        <f t="shared" si="26"/>
      </c>
      <c r="X99">
        <f t="shared" si="26"/>
      </c>
      <c r="Y99">
        <f t="shared" si="26"/>
      </c>
      <c r="Z99">
        <f t="shared" si="26"/>
      </c>
      <c r="AA99">
        <f t="shared" si="26"/>
      </c>
      <c r="AB99">
        <f t="shared" si="26"/>
      </c>
      <c r="AC99">
        <f t="shared" si="26"/>
      </c>
      <c r="AD99">
        <f t="shared" si="26"/>
      </c>
      <c r="AE99">
        <f t="shared" si="11"/>
      </c>
      <c r="AF99" s="9">
        <f t="shared" si="12"/>
        <v>85000</v>
      </c>
      <c r="AG99">
        <f t="shared" si="27"/>
        <v>0</v>
      </c>
      <c r="AH99">
        <f t="shared" si="27"/>
        <v>1</v>
      </c>
      <c r="AI99">
        <f t="shared" si="27"/>
        <v>0</v>
      </c>
      <c r="AJ99">
        <f t="shared" si="27"/>
        <v>0</v>
      </c>
      <c r="AK99">
        <f t="shared" si="27"/>
        <v>0</v>
      </c>
      <c r="AL99">
        <f t="shared" si="27"/>
        <v>0</v>
      </c>
      <c r="AM99">
        <f t="shared" si="27"/>
        <v>0</v>
      </c>
      <c r="AN99">
        <f t="shared" si="27"/>
        <v>0</v>
      </c>
      <c r="AO99">
        <f t="shared" si="27"/>
        <v>0</v>
      </c>
      <c r="AP99">
        <f t="shared" si="20"/>
        <v>1</v>
      </c>
      <c r="BL99" s="9">
        <f t="shared" si="15"/>
        <v>81152.68750644795</v>
      </c>
      <c r="BM99" s="9">
        <f t="shared" si="28"/>
        <v>81152.68750644795</v>
      </c>
      <c r="BN99" s="9">
        <f t="shared" si="21"/>
      </c>
      <c r="BU99" s="9"/>
      <c r="BV99" s="9"/>
      <c r="BW99" s="9"/>
      <c r="BX99" s="9"/>
    </row>
    <row r="100" spans="1:76" ht="12.75">
      <c r="A100" s="59">
        <f t="shared" si="22"/>
        <v>45</v>
      </c>
      <c r="B100" s="50" t="s">
        <v>93</v>
      </c>
      <c r="C100" s="50">
        <v>2006</v>
      </c>
      <c r="D100" s="69">
        <v>85000</v>
      </c>
      <c r="E100" s="70"/>
      <c r="F100" s="70"/>
      <c r="G100" s="66"/>
      <c r="H100">
        <f t="shared" si="25"/>
      </c>
      <c r="I100">
        <f t="shared" si="25"/>
      </c>
      <c r="J100">
        <f t="shared" si="25"/>
        <v>85000</v>
      </c>
      <c r="K100">
        <f t="shared" si="25"/>
      </c>
      <c r="L100">
        <f t="shared" si="25"/>
      </c>
      <c r="M100">
        <f t="shared" si="25"/>
      </c>
      <c r="N100">
        <f t="shared" si="25"/>
      </c>
      <c r="O100">
        <f t="shared" si="25"/>
      </c>
      <c r="P100">
        <f t="shared" si="25"/>
      </c>
      <c r="Q100">
        <f t="shared" si="25"/>
      </c>
      <c r="R100" s="9">
        <f t="shared" si="17"/>
        <v>85000</v>
      </c>
      <c r="T100">
        <f t="shared" si="18"/>
      </c>
      <c r="U100">
        <f t="shared" si="26"/>
        <v>85000</v>
      </c>
      <c r="V100">
        <f t="shared" si="26"/>
      </c>
      <c r="W100">
        <f t="shared" si="26"/>
      </c>
      <c r="X100">
        <f t="shared" si="26"/>
      </c>
      <c r="Y100">
        <f t="shared" si="26"/>
      </c>
      <c r="Z100">
        <f t="shared" si="26"/>
      </c>
      <c r="AA100">
        <f t="shared" si="26"/>
      </c>
      <c r="AB100">
        <f t="shared" si="26"/>
      </c>
      <c r="AC100">
        <f t="shared" si="26"/>
      </c>
      <c r="AD100">
        <f t="shared" si="26"/>
      </c>
      <c r="AE100">
        <f t="shared" si="11"/>
      </c>
      <c r="AF100" s="9">
        <f t="shared" si="12"/>
        <v>85000</v>
      </c>
      <c r="AG100">
        <f t="shared" si="27"/>
        <v>0</v>
      </c>
      <c r="AH100">
        <f t="shared" si="27"/>
        <v>1</v>
      </c>
      <c r="AI100">
        <f t="shared" si="27"/>
        <v>0</v>
      </c>
      <c r="AJ100">
        <f t="shared" si="27"/>
        <v>0</v>
      </c>
      <c r="AK100">
        <f t="shared" si="27"/>
        <v>0</v>
      </c>
      <c r="AL100">
        <f t="shared" si="27"/>
        <v>0</v>
      </c>
      <c r="AM100">
        <f t="shared" si="27"/>
        <v>0</v>
      </c>
      <c r="AN100">
        <f t="shared" si="27"/>
        <v>0</v>
      </c>
      <c r="AO100">
        <f t="shared" si="27"/>
        <v>0</v>
      </c>
      <c r="AP100">
        <f t="shared" si="20"/>
        <v>1</v>
      </c>
      <c r="BL100" s="9">
        <f t="shared" si="15"/>
        <v>81152.68750644795</v>
      </c>
      <c r="BM100" s="9">
        <f t="shared" si="28"/>
        <v>81152.68750644795</v>
      </c>
      <c r="BN100" s="9">
        <f t="shared" si="21"/>
      </c>
      <c r="BU100" s="9"/>
      <c r="BV100" s="9"/>
      <c r="BW100" s="9"/>
      <c r="BX100" s="9"/>
    </row>
    <row r="101" spans="1:76" ht="12.75">
      <c r="A101" s="59">
        <f t="shared" si="22"/>
        <v>46</v>
      </c>
      <c r="B101" s="50" t="s">
        <v>93</v>
      </c>
      <c r="C101" s="50">
        <v>2006</v>
      </c>
      <c r="D101" s="69">
        <v>100000</v>
      </c>
      <c r="E101" s="70"/>
      <c r="F101" s="70"/>
      <c r="G101" s="66"/>
      <c r="H101">
        <f t="shared" si="25"/>
      </c>
      <c r="I101">
        <f t="shared" si="25"/>
      </c>
      <c r="J101">
        <f t="shared" si="25"/>
        <v>100000</v>
      </c>
      <c r="K101">
        <f t="shared" si="25"/>
      </c>
      <c r="L101">
        <f t="shared" si="25"/>
      </c>
      <c r="M101">
        <f t="shared" si="25"/>
      </c>
      <c r="N101">
        <f t="shared" si="25"/>
      </c>
      <c r="O101">
        <f t="shared" si="25"/>
      </c>
      <c r="P101">
        <f t="shared" si="25"/>
      </c>
      <c r="Q101">
        <f t="shared" si="25"/>
      </c>
      <c r="R101" s="9">
        <f t="shared" si="17"/>
        <v>100000</v>
      </c>
      <c r="T101">
        <f t="shared" si="18"/>
      </c>
      <c r="U101">
        <f t="shared" si="26"/>
        <v>100000</v>
      </c>
      <c r="V101">
        <f t="shared" si="26"/>
      </c>
      <c r="W101">
        <f t="shared" si="26"/>
      </c>
      <c r="X101">
        <f t="shared" si="26"/>
      </c>
      <c r="Y101">
        <f t="shared" si="26"/>
      </c>
      <c r="Z101">
        <f t="shared" si="26"/>
      </c>
      <c r="AA101">
        <f t="shared" si="26"/>
      </c>
      <c r="AB101">
        <f t="shared" si="26"/>
      </c>
      <c r="AC101">
        <f t="shared" si="26"/>
      </c>
      <c r="AD101">
        <f t="shared" si="26"/>
      </c>
      <c r="AE101">
        <f t="shared" si="11"/>
      </c>
      <c r="AF101" s="9">
        <f t="shared" si="12"/>
        <v>100000</v>
      </c>
      <c r="AG101">
        <f t="shared" si="27"/>
        <v>0</v>
      </c>
      <c r="AH101">
        <f t="shared" si="27"/>
        <v>1</v>
      </c>
      <c r="AI101">
        <f t="shared" si="27"/>
        <v>0</v>
      </c>
      <c r="AJ101">
        <f t="shared" si="27"/>
        <v>0</v>
      </c>
      <c r="AK101">
        <f t="shared" si="27"/>
        <v>0</v>
      </c>
      <c r="AL101">
        <f t="shared" si="27"/>
        <v>0</v>
      </c>
      <c r="AM101">
        <f t="shared" si="27"/>
        <v>0</v>
      </c>
      <c r="AN101">
        <f t="shared" si="27"/>
        <v>0</v>
      </c>
      <c r="AO101">
        <f t="shared" si="27"/>
        <v>0</v>
      </c>
      <c r="AP101">
        <f t="shared" si="20"/>
        <v>1</v>
      </c>
      <c r="BL101" s="9">
        <f t="shared" si="15"/>
        <v>96152.68750644795</v>
      </c>
      <c r="BM101" s="9">
        <f t="shared" si="28"/>
        <v>96152.68750644795</v>
      </c>
      <c r="BN101" s="9">
        <f t="shared" si="21"/>
      </c>
      <c r="BU101" s="9"/>
      <c r="BV101" s="9"/>
      <c r="BW101" s="9"/>
      <c r="BX101" s="9"/>
    </row>
    <row r="102" spans="1:76" ht="12.75">
      <c r="A102" s="59">
        <f t="shared" si="22"/>
        <v>47</v>
      </c>
      <c r="B102" s="50" t="s">
        <v>93</v>
      </c>
      <c r="C102" s="50">
        <v>2006</v>
      </c>
      <c r="D102" s="69">
        <v>80000</v>
      </c>
      <c r="E102" s="70"/>
      <c r="F102" s="70"/>
      <c r="G102" s="66"/>
      <c r="H102">
        <f t="shared" si="25"/>
      </c>
      <c r="I102">
        <f t="shared" si="25"/>
      </c>
      <c r="J102">
        <f t="shared" si="25"/>
        <v>80000</v>
      </c>
      <c r="K102">
        <f t="shared" si="25"/>
      </c>
      <c r="L102">
        <f t="shared" si="25"/>
      </c>
      <c r="M102">
        <f t="shared" si="25"/>
      </c>
      <c r="N102">
        <f t="shared" si="25"/>
      </c>
      <c r="O102">
        <f t="shared" si="25"/>
      </c>
      <c r="P102">
        <f t="shared" si="25"/>
      </c>
      <c r="Q102">
        <f t="shared" si="25"/>
      </c>
      <c r="R102" s="9">
        <f t="shared" si="17"/>
        <v>80000</v>
      </c>
      <c r="T102">
        <f t="shared" si="18"/>
      </c>
      <c r="U102">
        <f t="shared" si="26"/>
        <v>80000</v>
      </c>
      <c r="V102">
        <f t="shared" si="26"/>
      </c>
      <c r="W102">
        <f t="shared" si="26"/>
      </c>
      <c r="X102">
        <f t="shared" si="26"/>
      </c>
      <c r="Y102">
        <f t="shared" si="26"/>
      </c>
      <c r="Z102">
        <f t="shared" si="26"/>
      </c>
      <c r="AA102">
        <f t="shared" si="26"/>
      </c>
      <c r="AB102">
        <f t="shared" si="26"/>
      </c>
      <c r="AC102">
        <f t="shared" si="26"/>
      </c>
      <c r="AD102">
        <f t="shared" si="26"/>
      </c>
      <c r="AE102">
        <f t="shared" si="11"/>
      </c>
      <c r="AF102" s="9">
        <f t="shared" si="12"/>
        <v>80000</v>
      </c>
      <c r="AG102">
        <f t="shared" si="27"/>
        <v>0</v>
      </c>
      <c r="AH102">
        <f t="shared" si="27"/>
        <v>1</v>
      </c>
      <c r="AI102">
        <f t="shared" si="27"/>
        <v>0</v>
      </c>
      <c r="AJ102">
        <f t="shared" si="27"/>
        <v>0</v>
      </c>
      <c r="AK102">
        <f t="shared" si="27"/>
        <v>0</v>
      </c>
      <c r="AL102">
        <f t="shared" si="27"/>
        <v>0</v>
      </c>
      <c r="AM102">
        <f t="shared" si="27"/>
        <v>0</v>
      </c>
      <c r="AN102">
        <f t="shared" si="27"/>
        <v>0</v>
      </c>
      <c r="AO102">
        <f t="shared" si="27"/>
        <v>0</v>
      </c>
      <c r="AP102">
        <f t="shared" si="20"/>
        <v>1</v>
      </c>
      <c r="BL102" s="9">
        <f t="shared" si="15"/>
        <v>76152.68750644795</v>
      </c>
      <c r="BM102" s="9">
        <f t="shared" si="28"/>
        <v>76152.68750644795</v>
      </c>
      <c r="BN102" s="9">
        <f t="shared" si="21"/>
      </c>
      <c r="BU102" s="9"/>
      <c r="BV102" s="9"/>
      <c r="BW102" s="9"/>
      <c r="BX102" s="9"/>
    </row>
    <row r="103" spans="1:76" ht="12.75">
      <c r="A103" s="59">
        <f t="shared" si="22"/>
        <v>48</v>
      </c>
      <c r="B103" s="50" t="s">
        <v>93</v>
      </c>
      <c r="C103" s="50">
        <v>2006</v>
      </c>
      <c r="D103" s="69">
        <v>60000</v>
      </c>
      <c r="E103" s="70"/>
      <c r="F103" s="70"/>
      <c r="G103" s="66"/>
      <c r="H103">
        <f t="shared" si="25"/>
      </c>
      <c r="I103">
        <f t="shared" si="25"/>
      </c>
      <c r="J103">
        <f t="shared" si="25"/>
        <v>60000</v>
      </c>
      <c r="K103">
        <f t="shared" si="25"/>
      </c>
      <c r="L103">
        <f t="shared" si="25"/>
      </c>
      <c r="M103">
        <f t="shared" si="25"/>
      </c>
      <c r="N103">
        <f t="shared" si="25"/>
      </c>
      <c r="O103">
        <f t="shared" si="25"/>
      </c>
      <c r="P103">
        <f t="shared" si="25"/>
      </c>
      <c r="Q103">
        <f t="shared" si="25"/>
      </c>
      <c r="R103" s="9">
        <f t="shared" si="17"/>
        <v>60000</v>
      </c>
      <c r="T103">
        <f t="shared" si="18"/>
      </c>
      <c r="U103">
        <f t="shared" si="26"/>
        <v>60000</v>
      </c>
      <c r="V103">
        <f t="shared" si="26"/>
      </c>
      <c r="W103">
        <f t="shared" si="26"/>
      </c>
      <c r="X103">
        <f t="shared" si="26"/>
      </c>
      <c r="Y103">
        <f t="shared" si="26"/>
      </c>
      <c r="Z103">
        <f t="shared" si="26"/>
      </c>
      <c r="AA103">
        <f t="shared" si="26"/>
      </c>
      <c r="AB103">
        <f t="shared" si="26"/>
      </c>
      <c r="AC103">
        <f t="shared" si="26"/>
      </c>
      <c r="AD103">
        <f t="shared" si="26"/>
      </c>
      <c r="AE103">
        <f t="shared" si="11"/>
      </c>
      <c r="AF103" s="9">
        <f t="shared" si="12"/>
        <v>60000</v>
      </c>
      <c r="AG103">
        <f t="shared" si="27"/>
        <v>0</v>
      </c>
      <c r="AH103">
        <f t="shared" si="27"/>
        <v>1</v>
      </c>
      <c r="AI103">
        <f t="shared" si="27"/>
        <v>0</v>
      </c>
      <c r="AJ103">
        <f t="shared" si="27"/>
        <v>0</v>
      </c>
      <c r="AK103">
        <f t="shared" si="27"/>
        <v>0</v>
      </c>
      <c r="AL103">
        <f t="shared" si="27"/>
        <v>0</v>
      </c>
      <c r="AM103">
        <f t="shared" si="27"/>
        <v>0</v>
      </c>
      <c r="AN103">
        <f t="shared" si="27"/>
        <v>0</v>
      </c>
      <c r="AO103">
        <f t="shared" si="27"/>
        <v>0</v>
      </c>
      <c r="AP103">
        <f t="shared" si="20"/>
        <v>1</v>
      </c>
      <c r="BL103" s="9">
        <f t="shared" si="15"/>
        <v>56152.687506447946</v>
      </c>
      <c r="BM103" s="9">
        <f t="shared" si="28"/>
        <v>56152.687506447946</v>
      </c>
      <c r="BN103" s="9">
        <f t="shared" si="21"/>
      </c>
      <c r="BU103" s="9"/>
      <c r="BV103" s="9"/>
      <c r="BW103" s="9"/>
      <c r="BX103" s="9"/>
    </row>
    <row r="104" spans="1:76" ht="12.75">
      <c r="A104" s="59">
        <f t="shared" si="22"/>
        <v>49</v>
      </c>
      <c r="B104" s="50" t="s">
        <v>93</v>
      </c>
      <c r="C104" s="50">
        <v>2006</v>
      </c>
      <c r="D104" s="69">
        <v>65000</v>
      </c>
      <c r="E104" s="70"/>
      <c r="F104" s="70"/>
      <c r="G104" s="66"/>
      <c r="H104">
        <f aca="true" t="shared" si="29" ref="H104:Q119">IF($B104=H$55,$D104,"")</f>
      </c>
      <c r="I104">
        <f t="shared" si="29"/>
      </c>
      <c r="J104">
        <f t="shared" si="29"/>
        <v>65000</v>
      </c>
      <c r="K104">
        <f t="shared" si="29"/>
      </c>
      <c r="L104">
        <f t="shared" si="29"/>
      </c>
      <c r="M104">
        <f t="shared" si="29"/>
      </c>
      <c r="N104">
        <f t="shared" si="29"/>
      </c>
      <c r="O104">
        <f t="shared" si="29"/>
      </c>
      <c r="P104">
        <f t="shared" si="29"/>
      </c>
      <c r="Q104">
        <f t="shared" si="29"/>
      </c>
      <c r="R104" s="9">
        <f t="shared" si="17"/>
        <v>65000</v>
      </c>
      <c r="T104">
        <f t="shared" si="18"/>
      </c>
      <c r="U104">
        <f aca="true" t="shared" si="30" ref="U104:AD119">IF($C104=U$55,$D104,"")</f>
        <v>65000</v>
      </c>
      <c r="V104">
        <f t="shared" si="30"/>
      </c>
      <c r="W104">
        <f t="shared" si="30"/>
      </c>
      <c r="X104">
        <f t="shared" si="30"/>
      </c>
      <c r="Y104">
        <f t="shared" si="30"/>
      </c>
      <c r="Z104">
        <f t="shared" si="30"/>
      </c>
      <c r="AA104">
        <f t="shared" si="30"/>
      </c>
      <c r="AB104">
        <f t="shared" si="30"/>
      </c>
      <c r="AC104">
        <f t="shared" si="30"/>
      </c>
      <c r="AD104">
        <f t="shared" si="30"/>
      </c>
      <c r="AE104">
        <f t="shared" si="11"/>
      </c>
      <c r="AF104" s="9">
        <f t="shared" si="12"/>
        <v>65000</v>
      </c>
      <c r="AG104">
        <f aca="true" t="shared" si="31" ref="AG104:AO132">IF($B104=AG$55,1,0)</f>
        <v>0</v>
      </c>
      <c r="AH104">
        <f t="shared" si="31"/>
        <v>1</v>
      </c>
      <c r="AI104">
        <f t="shared" si="31"/>
        <v>0</v>
      </c>
      <c r="AJ104">
        <f t="shared" si="31"/>
        <v>0</v>
      </c>
      <c r="AK104">
        <f t="shared" si="31"/>
        <v>0</v>
      </c>
      <c r="AL104">
        <f t="shared" si="31"/>
        <v>0</v>
      </c>
      <c r="AM104">
        <f t="shared" si="31"/>
        <v>0</v>
      </c>
      <c r="AN104">
        <f t="shared" si="31"/>
        <v>0</v>
      </c>
      <c r="AO104">
        <f t="shared" si="31"/>
        <v>0</v>
      </c>
      <c r="AP104">
        <f t="shared" si="20"/>
        <v>1</v>
      </c>
      <c r="BL104" s="9">
        <f t="shared" si="15"/>
        <v>61152.687506447946</v>
      </c>
      <c r="BM104" s="9">
        <f t="shared" si="28"/>
        <v>61152.687506447946</v>
      </c>
      <c r="BN104" s="9">
        <f t="shared" si="21"/>
      </c>
      <c r="BU104" s="9"/>
      <c r="BV104" s="9"/>
      <c r="BW104" s="9"/>
      <c r="BX104" s="9"/>
    </row>
    <row r="105" spans="1:76" ht="12.75">
      <c r="A105" s="59">
        <f t="shared" si="22"/>
        <v>50</v>
      </c>
      <c r="B105" s="50" t="s">
        <v>93</v>
      </c>
      <c r="C105" s="50">
        <v>2006</v>
      </c>
      <c r="D105" s="69">
        <v>70000</v>
      </c>
      <c r="E105" s="70"/>
      <c r="F105" s="70"/>
      <c r="G105" s="66"/>
      <c r="H105">
        <f t="shared" si="29"/>
      </c>
      <c r="I105">
        <f t="shared" si="29"/>
      </c>
      <c r="J105">
        <f t="shared" si="29"/>
        <v>70000</v>
      </c>
      <c r="K105">
        <f t="shared" si="29"/>
      </c>
      <c r="L105">
        <f t="shared" si="29"/>
      </c>
      <c r="M105">
        <f t="shared" si="29"/>
      </c>
      <c r="N105">
        <f t="shared" si="29"/>
      </c>
      <c r="O105">
        <f t="shared" si="29"/>
      </c>
      <c r="P105">
        <f t="shared" si="29"/>
      </c>
      <c r="Q105">
        <f t="shared" si="29"/>
      </c>
      <c r="R105" s="9">
        <f t="shared" si="17"/>
        <v>70000</v>
      </c>
      <c r="T105">
        <f t="shared" si="18"/>
      </c>
      <c r="U105">
        <f t="shared" si="30"/>
        <v>70000</v>
      </c>
      <c r="V105">
        <f t="shared" si="30"/>
      </c>
      <c r="W105">
        <f t="shared" si="30"/>
      </c>
      <c r="X105">
        <f t="shared" si="30"/>
      </c>
      <c r="Y105">
        <f t="shared" si="30"/>
      </c>
      <c r="Z105">
        <f t="shared" si="30"/>
      </c>
      <c r="AA105">
        <f t="shared" si="30"/>
      </c>
      <c r="AB105">
        <f t="shared" si="30"/>
      </c>
      <c r="AC105">
        <f t="shared" si="30"/>
      </c>
      <c r="AD105">
        <f t="shared" si="30"/>
      </c>
      <c r="AE105">
        <f t="shared" si="11"/>
      </c>
      <c r="AF105" s="9">
        <f t="shared" si="12"/>
        <v>70000</v>
      </c>
      <c r="AG105">
        <f t="shared" si="31"/>
        <v>0</v>
      </c>
      <c r="AH105">
        <f t="shared" si="31"/>
        <v>1</v>
      </c>
      <c r="AI105">
        <f t="shared" si="31"/>
        <v>0</v>
      </c>
      <c r="AJ105">
        <f t="shared" si="31"/>
        <v>0</v>
      </c>
      <c r="AK105">
        <f t="shared" si="31"/>
        <v>0</v>
      </c>
      <c r="AL105">
        <f t="shared" si="31"/>
        <v>0</v>
      </c>
      <c r="AM105">
        <f t="shared" si="31"/>
        <v>0</v>
      </c>
      <c r="AN105">
        <f t="shared" si="31"/>
        <v>0</v>
      </c>
      <c r="AO105">
        <f t="shared" si="31"/>
        <v>0</v>
      </c>
      <c r="AP105">
        <f t="shared" si="20"/>
        <v>1</v>
      </c>
      <c r="BL105" s="9">
        <f t="shared" si="15"/>
        <v>66152.68750644795</v>
      </c>
      <c r="BM105" s="9">
        <f t="shared" si="28"/>
        <v>66152.68750644795</v>
      </c>
      <c r="BN105" s="9">
        <f t="shared" si="21"/>
      </c>
      <c r="BU105" s="9"/>
      <c r="BV105" s="9"/>
      <c r="BW105" s="9"/>
      <c r="BX105" s="9"/>
    </row>
    <row r="106" spans="1:76" ht="12.75">
      <c r="A106" s="59">
        <f t="shared" si="22"/>
        <v>51</v>
      </c>
      <c r="B106" s="50" t="s">
        <v>93</v>
      </c>
      <c r="C106" s="50">
        <v>2006</v>
      </c>
      <c r="D106" s="69">
        <v>65000</v>
      </c>
      <c r="E106" s="70"/>
      <c r="F106" s="70"/>
      <c r="G106" s="66"/>
      <c r="H106">
        <f t="shared" si="29"/>
      </c>
      <c r="I106">
        <f t="shared" si="29"/>
      </c>
      <c r="J106">
        <f t="shared" si="29"/>
        <v>65000</v>
      </c>
      <c r="K106">
        <f t="shared" si="29"/>
      </c>
      <c r="L106">
        <f t="shared" si="29"/>
      </c>
      <c r="M106">
        <f t="shared" si="29"/>
      </c>
      <c r="N106">
        <f t="shared" si="29"/>
      </c>
      <c r="O106">
        <f t="shared" si="29"/>
      </c>
      <c r="P106">
        <f t="shared" si="29"/>
      </c>
      <c r="Q106">
        <f t="shared" si="29"/>
      </c>
      <c r="R106" s="9">
        <f t="shared" si="17"/>
        <v>65000</v>
      </c>
      <c r="T106">
        <f t="shared" si="18"/>
      </c>
      <c r="U106">
        <f t="shared" si="30"/>
        <v>65000</v>
      </c>
      <c r="V106">
        <f t="shared" si="30"/>
      </c>
      <c r="W106">
        <f t="shared" si="30"/>
      </c>
      <c r="X106">
        <f t="shared" si="30"/>
      </c>
      <c r="Y106">
        <f t="shared" si="30"/>
      </c>
      <c r="Z106">
        <f t="shared" si="30"/>
      </c>
      <c r="AA106">
        <f t="shared" si="30"/>
      </c>
      <c r="AB106">
        <f t="shared" si="30"/>
      </c>
      <c r="AC106">
        <f t="shared" si="30"/>
      </c>
      <c r="AD106">
        <f t="shared" si="30"/>
      </c>
      <c r="AE106">
        <f t="shared" si="11"/>
      </c>
      <c r="AF106" s="9">
        <f t="shared" si="12"/>
        <v>65000</v>
      </c>
      <c r="AG106">
        <f t="shared" si="31"/>
        <v>0</v>
      </c>
      <c r="AH106">
        <f t="shared" si="31"/>
        <v>1</v>
      </c>
      <c r="AI106">
        <f t="shared" si="31"/>
        <v>0</v>
      </c>
      <c r="AJ106">
        <f t="shared" si="31"/>
        <v>0</v>
      </c>
      <c r="AK106">
        <f t="shared" si="31"/>
        <v>0</v>
      </c>
      <c r="AL106">
        <f t="shared" si="31"/>
        <v>0</v>
      </c>
      <c r="AM106">
        <f t="shared" si="31"/>
        <v>0</v>
      </c>
      <c r="AN106">
        <f t="shared" si="31"/>
        <v>0</v>
      </c>
      <c r="AO106">
        <f t="shared" si="31"/>
        <v>0</v>
      </c>
      <c r="AP106">
        <f t="shared" si="20"/>
        <v>1</v>
      </c>
      <c r="BL106" s="9">
        <f t="shared" si="15"/>
        <v>61152.687506447946</v>
      </c>
      <c r="BM106" s="9">
        <f t="shared" si="28"/>
        <v>61152.687506447946</v>
      </c>
      <c r="BN106" s="9">
        <f t="shared" si="21"/>
      </c>
      <c r="BU106" s="9"/>
      <c r="BV106" s="9"/>
      <c r="BW106" s="9"/>
      <c r="BX106" s="9"/>
    </row>
    <row r="107" spans="1:76" ht="12.75">
      <c r="A107" s="59">
        <f t="shared" si="22"/>
        <v>52</v>
      </c>
      <c r="B107" s="50" t="s">
        <v>93</v>
      </c>
      <c r="C107" s="50">
        <v>2006</v>
      </c>
      <c r="D107" s="69">
        <v>60000</v>
      </c>
      <c r="E107" s="70"/>
      <c r="F107" s="70"/>
      <c r="G107" s="66"/>
      <c r="H107">
        <f t="shared" si="29"/>
      </c>
      <c r="I107">
        <f t="shared" si="29"/>
      </c>
      <c r="J107">
        <f t="shared" si="29"/>
        <v>60000</v>
      </c>
      <c r="K107">
        <f t="shared" si="29"/>
      </c>
      <c r="L107">
        <f t="shared" si="29"/>
      </c>
      <c r="M107">
        <f t="shared" si="29"/>
      </c>
      <c r="N107">
        <f t="shared" si="29"/>
      </c>
      <c r="O107">
        <f t="shared" si="29"/>
      </c>
      <c r="P107">
        <f t="shared" si="29"/>
      </c>
      <c r="Q107">
        <f t="shared" si="29"/>
      </c>
      <c r="R107" s="9">
        <f t="shared" si="17"/>
        <v>60000</v>
      </c>
      <c r="T107">
        <f t="shared" si="18"/>
      </c>
      <c r="U107">
        <f t="shared" si="30"/>
        <v>60000</v>
      </c>
      <c r="V107">
        <f t="shared" si="30"/>
      </c>
      <c r="W107">
        <f t="shared" si="30"/>
      </c>
      <c r="X107">
        <f t="shared" si="30"/>
      </c>
      <c r="Y107">
        <f t="shared" si="30"/>
      </c>
      <c r="Z107">
        <f t="shared" si="30"/>
      </c>
      <c r="AA107">
        <f t="shared" si="30"/>
      </c>
      <c r="AB107">
        <f t="shared" si="30"/>
      </c>
      <c r="AC107">
        <f t="shared" si="30"/>
      </c>
      <c r="AD107">
        <f t="shared" si="30"/>
      </c>
      <c r="AE107">
        <f t="shared" si="11"/>
      </c>
      <c r="AF107" s="9">
        <f t="shared" si="12"/>
        <v>60000</v>
      </c>
      <c r="AG107">
        <f t="shared" si="31"/>
        <v>0</v>
      </c>
      <c r="AH107">
        <f t="shared" si="31"/>
        <v>1</v>
      </c>
      <c r="AI107">
        <f t="shared" si="31"/>
        <v>0</v>
      </c>
      <c r="AJ107">
        <f t="shared" si="31"/>
        <v>0</v>
      </c>
      <c r="AK107">
        <f t="shared" si="31"/>
        <v>0</v>
      </c>
      <c r="AL107">
        <f t="shared" si="31"/>
        <v>0</v>
      </c>
      <c r="AM107">
        <f t="shared" si="31"/>
        <v>0</v>
      </c>
      <c r="AN107">
        <f t="shared" si="31"/>
        <v>0</v>
      </c>
      <c r="AO107">
        <f t="shared" si="31"/>
        <v>0</v>
      </c>
      <c r="AP107">
        <f t="shared" si="20"/>
        <v>1</v>
      </c>
      <c r="BL107" s="9">
        <f t="shared" si="15"/>
        <v>56152.687506447946</v>
      </c>
      <c r="BM107" s="9">
        <f t="shared" si="28"/>
        <v>56152.687506447946</v>
      </c>
      <c r="BN107" s="9">
        <f t="shared" si="21"/>
      </c>
      <c r="BU107" s="9"/>
      <c r="BV107" s="9"/>
      <c r="BW107" s="9"/>
      <c r="BX107" s="9"/>
    </row>
    <row r="108" spans="1:76" ht="12.75">
      <c r="A108" s="59">
        <f t="shared" si="22"/>
        <v>53</v>
      </c>
      <c r="B108" s="50" t="s">
        <v>93</v>
      </c>
      <c r="C108" s="50">
        <v>2006</v>
      </c>
      <c r="D108" s="69">
        <v>35000</v>
      </c>
      <c r="E108" s="70"/>
      <c r="F108" s="70"/>
      <c r="G108" s="66"/>
      <c r="H108">
        <f t="shared" si="29"/>
      </c>
      <c r="I108">
        <f t="shared" si="29"/>
      </c>
      <c r="J108">
        <f t="shared" si="29"/>
        <v>35000</v>
      </c>
      <c r="K108">
        <f t="shared" si="29"/>
      </c>
      <c r="L108">
        <f t="shared" si="29"/>
      </c>
      <c r="M108">
        <f t="shared" si="29"/>
      </c>
      <c r="N108">
        <f t="shared" si="29"/>
      </c>
      <c r="O108">
        <f t="shared" si="29"/>
      </c>
      <c r="P108">
        <f t="shared" si="29"/>
      </c>
      <c r="Q108">
        <f t="shared" si="29"/>
      </c>
      <c r="R108" s="9">
        <f t="shared" si="17"/>
        <v>35000</v>
      </c>
      <c r="T108">
        <f t="shared" si="18"/>
      </c>
      <c r="U108">
        <f t="shared" si="30"/>
        <v>35000</v>
      </c>
      <c r="V108">
        <f t="shared" si="30"/>
      </c>
      <c r="W108">
        <f t="shared" si="30"/>
      </c>
      <c r="X108">
        <f t="shared" si="30"/>
      </c>
      <c r="Y108">
        <f t="shared" si="30"/>
      </c>
      <c r="Z108">
        <f t="shared" si="30"/>
      </c>
      <c r="AA108">
        <f t="shared" si="30"/>
      </c>
      <c r="AB108">
        <f t="shared" si="30"/>
      </c>
      <c r="AC108">
        <f t="shared" si="30"/>
      </c>
      <c r="AD108">
        <f t="shared" si="30"/>
      </c>
      <c r="AE108">
        <f t="shared" si="11"/>
      </c>
      <c r="AF108" s="9">
        <f t="shared" si="12"/>
        <v>35000</v>
      </c>
      <c r="AG108">
        <f t="shared" si="31"/>
        <v>0</v>
      </c>
      <c r="AH108">
        <f t="shared" si="31"/>
        <v>1</v>
      </c>
      <c r="AI108">
        <f t="shared" si="31"/>
        <v>0</v>
      </c>
      <c r="AJ108">
        <f t="shared" si="31"/>
        <v>0</v>
      </c>
      <c r="AK108">
        <f t="shared" si="31"/>
        <v>0</v>
      </c>
      <c r="AL108">
        <f t="shared" si="31"/>
        <v>0</v>
      </c>
      <c r="AM108">
        <f t="shared" si="31"/>
        <v>0</v>
      </c>
      <c r="AN108">
        <f t="shared" si="31"/>
        <v>0</v>
      </c>
      <c r="AO108">
        <f t="shared" si="31"/>
        <v>0</v>
      </c>
      <c r="AP108">
        <f t="shared" si="20"/>
        <v>1</v>
      </c>
      <c r="BL108" s="9">
        <f t="shared" si="15"/>
        <v>31152.687506447946</v>
      </c>
      <c r="BM108" s="9">
        <f t="shared" si="28"/>
        <v>31152.687506447946</v>
      </c>
      <c r="BN108" s="9">
        <f t="shared" si="21"/>
      </c>
      <c r="BU108" s="9"/>
      <c r="BV108" s="9"/>
      <c r="BW108" s="9"/>
      <c r="BX108" s="9"/>
    </row>
    <row r="109" spans="1:76" ht="12.75">
      <c r="A109" s="59">
        <f t="shared" si="22"/>
        <v>54</v>
      </c>
      <c r="B109" s="50" t="s">
        <v>93</v>
      </c>
      <c r="C109" s="50">
        <v>2006</v>
      </c>
      <c r="D109" s="69">
        <v>30000</v>
      </c>
      <c r="E109" s="70"/>
      <c r="F109" s="70"/>
      <c r="G109" s="66"/>
      <c r="H109">
        <f t="shared" si="29"/>
      </c>
      <c r="I109">
        <f t="shared" si="29"/>
      </c>
      <c r="J109">
        <f t="shared" si="29"/>
        <v>30000</v>
      </c>
      <c r="K109">
        <f t="shared" si="29"/>
      </c>
      <c r="L109">
        <f t="shared" si="29"/>
      </c>
      <c r="M109">
        <f t="shared" si="29"/>
      </c>
      <c r="N109">
        <f t="shared" si="29"/>
      </c>
      <c r="O109">
        <f t="shared" si="29"/>
      </c>
      <c r="P109">
        <f t="shared" si="29"/>
      </c>
      <c r="Q109">
        <f t="shared" si="29"/>
      </c>
      <c r="R109" s="9">
        <f t="shared" si="17"/>
        <v>30000</v>
      </c>
      <c r="T109">
        <f t="shared" si="18"/>
      </c>
      <c r="U109">
        <f t="shared" si="30"/>
        <v>30000</v>
      </c>
      <c r="V109">
        <f t="shared" si="30"/>
      </c>
      <c r="W109">
        <f t="shared" si="30"/>
      </c>
      <c r="X109">
        <f t="shared" si="30"/>
      </c>
      <c r="Y109">
        <f t="shared" si="30"/>
      </c>
      <c r="Z109">
        <f t="shared" si="30"/>
      </c>
      <c r="AA109">
        <f t="shared" si="30"/>
      </c>
      <c r="AB109">
        <f t="shared" si="30"/>
      </c>
      <c r="AC109">
        <f t="shared" si="30"/>
      </c>
      <c r="AD109">
        <f t="shared" si="30"/>
      </c>
      <c r="AE109">
        <f t="shared" si="11"/>
      </c>
      <c r="AF109" s="9">
        <f t="shared" si="12"/>
        <v>30000</v>
      </c>
      <c r="AG109">
        <f t="shared" si="31"/>
        <v>0</v>
      </c>
      <c r="AH109">
        <f t="shared" si="31"/>
        <v>1</v>
      </c>
      <c r="AI109">
        <f t="shared" si="31"/>
        <v>0</v>
      </c>
      <c r="AJ109">
        <f t="shared" si="31"/>
        <v>0</v>
      </c>
      <c r="AK109">
        <f t="shared" si="31"/>
        <v>0</v>
      </c>
      <c r="AL109">
        <f t="shared" si="31"/>
        <v>0</v>
      </c>
      <c r="AM109">
        <f t="shared" si="31"/>
        <v>0</v>
      </c>
      <c r="AN109">
        <f t="shared" si="31"/>
        <v>0</v>
      </c>
      <c r="AO109">
        <f t="shared" si="31"/>
        <v>0</v>
      </c>
      <c r="AP109">
        <f t="shared" si="20"/>
        <v>1</v>
      </c>
      <c r="BL109" s="9">
        <f t="shared" si="15"/>
        <v>26152.687506447946</v>
      </c>
      <c r="BM109" s="9">
        <f t="shared" si="28"/>
        <v>26152.687506447946</v>
      </c>
      <c r="BN109" s="9">
        <f t="shared" si="21"/>
      </c>
      <c r="BU109" s="9"/>
      <c r="BV109" s="9"/>
      <c r="BW109" s="9"/>
      <c r="BX109" s="9"/>
    </row>
    <row r="110" spans="1:76" ht="12.75">
      <c r="A110" s="59">
        <f t="shared" si="22"/>
        <v>55</v>
      </c>
      <c r="B110" s="50" t="s">
        <v>93</v>
      </c>
      <c r="C110" s="50">
        <v>2006</v>
      </c>
      <c r="D110" s="69">
        <v>80000</v>
      </c>
      <c r="E110" s="70"/>
      <c r="F110" s="70"/>
      <c r="G110" s="66"/>
      <c r="H110">
        <f t="shared" si="29"/>
      </c>
      <c r="I110">
        <f t="shared" si="29"/>
      </c>
      <c r="J110">
        <f t="shared" si="29"/>
        <v>80000</v>
      </c>
      <c r="K110">
        <f t="shared" si="29"/>
      </c>
      <c r="L110">
        <f t="shared" si="29"/>
      </c>
      <c r="M110">
        <f t="shared" si="29"/>
      </c>
      <c r="N110">
        <f t="shared" si="29"/>
      </c>
      <c r="O110">
        <f t="shared" si="29"/>
      </c>
      <c r="P110">
        <f t="shared" si="29"/>
      </c>
      <c r="Q110">
        <f t="shared" si="29"/>
      </c>
      <c r="R110" s="9">
        <f t="shared" si="17"/>
        <v>80000</v>
      </c>
      <c r="T110">
        <f t="shared" si="18"/>
      </c>
      <c r="U110">
        <f t="shared" si="30"/>
        <v>80000</v>
      </c>
      <c r="V110">
        <f t="shared" si="30"/>
      </c>
      <c r="W110">
        <f t="shared" si="30"/>
      </c>
      <c r="X110">
        <f t="shared" si="30"/>
      </c>
      <c r="Y110">
        <f t="shared" si="30"/>
      </c>
      <c r="Z110">
        <f t="shared" si="30"/>
      </c>
      <c r="AA110">
        <f t="shared" si="30"/>
      </c>
      <c r="AB110">
        <f t="shared" si="30"/>
      </c>
      <c r="AC110">
        <f t="shared" si="30"/>
      </c>
      <c r="AD110">
        <f t="shared" si="30"/>
      </c>
      <c r="AE110">
        <f t="shared" si="11"/>
      </c>
      <c r="AF110" s="9">
        <f t="shared" si="12"/>
        <v>80000</v>
      </c>
      <c r="AG110">
        <f t="shared" si="31"/>
        <v>0</v>
      </c>
      <c r="AH110">
        <f t="shared" si="31"/>
        <v>1</v>
      </c>
      <c r="AI110">
        <f t="shared" si="31"/>
        <v>0</v>
      </c>
      <c r="AJ110">
        <f t="shared" si="31"/>
        <v>0</v>
      </c>
      <c r="AK110">
        <f t="shared" si="31"/>
        <v>0</v>
      </c>
      <c r="AL110">
        <f t="shared" si="31"/>
        <v>0</v>
      </c>
      <c r="AM110">
        <f t="shared" si="31"/>
        <v>0</v>
      </c>
      <c r="AN110">
        <f t="shared" si="31"/>
        <v>0</v>
      </c>
      <c r="AO110">
        <f t="shared" si="31"/>
        <v>0</v>
      </c>
      <c r="AP110">
        <f t="shared" si="20"/>
        <v>1</v>
      </c>
      <c r="BL110" s="9">
        <f t="shared" si="15"/>
        <v>76152.68750644795</v>
      </c>
      <c r="BM110" s="9">
        <f t="shared" si="28"/>
        <v>76152.68750644795</v>
      </c>
      <c r="BN110" s="9">
        <f t="shared" si="21"/>
      </c>
      <c r="BU110" s="9"/>
      <c r="BV110" s="9"/>
      <c r="BW110" s="9"/>
      <c r="BX110" s="9"/>
    </row>
    <row r="111" spans="1:76" ht="12.75">
      <c r="A111" s="59">
        <f t="shared" si="22"/>
        <v>56</v>
      </c>
      <c r="B111" s="50" t="s">
        <v>93</v>
      </c>
      <c r="C111" s="50">
        <v>2006</v>
      </c>
      <c r="D111" s="69">
        <v>70000</v>
      </c>
      <c r="E111" s="70"/>
      <c r="F111" s="70"/>
      <c r="G111" s="66"/>
      <c r="H111">
        <f t="shared" si="29"/>
      </c>
      <c r="I111">
        <f t="shared" si="29"/>
      </c>
      <c r="J111">
        <f t="shared" si="29"/>
        <v>70000</v>
      </c>
      <c r="K111">
        <f t="shared" si="29"/>
      </c>
      <c r="L111">
        <f t="shared" si="29"/>
      </c>
      <c r="M111">
        <f t="shared" si="29"/>
      </c>
      <c r="N111">
        <f t="shared" si="29"/>
      </c>
      <c r="O111">
        <f t="shared" si="29"/>
      </c>
      <c r="P111">
        <f t="shared" si="29"/>
      </c>
      <c r="Q111">
        <f t="shared" si="29"/>
      </c>
      <c r="R111" s="9">
        <f t="shared" si="17"/>
        <v>70000</v>
      </c>
      <c r="T111">
        <f t="shared" si="18"/>
      </c>
      <c r="U111">
        <f t="shared" si="30"/>
        <v>70000</v>
      </c>
      <c r="V111">
        <f t="shared" si="30"/>
      </c>
      <c r="W111">
        <f t="shared" si="30"/>
      </c>
      <c r="X111">
        <f t="shared" si="30"/>
      </c>
      <c r="Y111">
        <f t="shared" si="30"/>
      </c>
      <c r="Z111">
        <f t="shared" si="30"/>
      </c>
      <c r="AA111">
        <f t="shared" si="30"/>
      </c>
      <c r="AB111">
        <f t="shared" si="30"/>
      </c>
      <c r="AC111">
        <f t="shared" si="30"/>
      </c>
      <c r="AD111">
        <f t="shared" si="30"/>
      </c>
      <c r="AE111">
        <f t="shared" si="11"/>
      </c>
      <c r="AF111" s="9">
        <f t="shared" si="12"/>
        <v>70000</v>
      </c>
      <c r="AG111">
        <f t="shared" si="31"/>
        <v>0</v>
      </c>
      <c r="AH111">
        <f t="shared" si="31"/>
        <v>1</v>
      </c>
      <c r="AI111">
        <f t="shared" si="31"/>
        <v>0</v>
      </c>
      <c r="AJ111">
        <f t="shared" si="31"/>
        <v>0</v>
      </c>
      <c r="AK111">
        <f t="shared" si="31"/>
        <v>0</v>
      </c>
      <c r="AL111">
        <f t="shared" si="31"/>
        <v>0</v>
      </c>
      <c r="AM111">
        <f t="shared" si="31"/>
        <v>0</v>
      </c>
      <c r="AN111">
        <f t="shared" si="31"/>
        <v>0</v>
      </c>
      <c r="AO111">
        <f t="shared" si="31"/>
        <v>0</v>
      </c>
      <c r="AP111">
        <f t="shared" si="20"/>
        <v>1</v>
      </c>
      <c r="BL111" s="9">
        <f t="shared" si="15"/>
        <v>66152.68750644795</v>
      </c>
      <c r="BM111" s="9">
        <f t="shared" si="28"/>
        <v>66152.68750644795</v>
      </c>
      <c r="BN111" s="9">
        <f t="shared" si="21"/>
      </c>
      <c r="BU111" s="9"/>
      <c r="BV111" s="9"/>
      <c r="BW111" s="9"/>
      <c r="BX111" s="9"/>
    </row>
    <row r="112" spans="1:76" ht="12.75">
      <c r="A112" s="59">
        <f t="shared" si="22"/>
        <v>57</v>
      </c>
      <c r="B112" s="50" t="s">
        <v>93</v>
      </c>
      <c r="C112" s="50">
        <v>2006</v>
      </c>
      <c r="D112" s="69">
        <v>80000</v>
      </c>
      <c r="E112" s="70"/>
      <c r="F112" s="70"/>
      <c r="G112" s="66"/>
      <c r="H112">
        <f t="shared" si="29"/>
      </c>
      <c r="I112">
        <f t="shared" si="29"/>
      </c>
      <c r="J112">
        <f t="shared" si="29"/>
        <v>80000</v>
      </c>
      <c r="K112">
        <f t="shared" si="29"/>
      </c>
      <c r="L112">
        <f t="shared" si="29"/>
      </c>
      <c r="M112">
        <f t="shared" si="29"/>
      </c>
      <c r="N112">
        <f t="shared" si="29"/>
      </c>
      <c r="O112">
        <f t="shared" si="29"/>
      </c>
      <c r="P112">
        <f t="shared" si="29"/>
      </c>
      <c r="Q112">
        <f t="shared" si="29"/>
      </c>
      <c r="R112" s="9">
        <f t="shared" si="17"/>
        <v>80000</v>
      </c>
      <c r="T112">
        <f t="shared" si="18"/>
      </c>
      <c r="U112">
        <f t="shared" si="30"/>
        <v>80000</v>
      </c>
      <c r="V112">
        <f t="shared" si="30"/>
      </c>
      <c r="W112">
        <f t="shared" si="30"/>
      </c>
      <c r="X112">
        <f t="shared" si="30"/>
      </c>
      <c r="Y112">
        <f t="shared" si="30"/>
      </c>
      <c r="Z112">
        <f t="shared" si="30"/>
      </c>
      <c r="AA112">
        <f t="shared" si="30"/>
      </c>
      <c r="AB112">
        <f t="shared" si="30"/>
      </c>
      <c r="AC112">
        <f t="shared" si="30"/>
      </c>
      <c r="AD112">
        <f t="shared" si="30"/>
      </c>
      <c r="AE112">
        <f t="shared" si="11"/>
      </c>
      <c r="AF112" s="9">
        <f t="shared" si="12"/>
        <v>80000</v>
      </c>
      <c r="AG112">
        <f t="shared" si="31"/>
        <v>0</v>
      </c>
      <c r="AH112">
        <f t="shared" si="31"/>
        <v>1</v>
      </c>
      <c r="AI112">
        <f t="shared" si="31"/>
        <v>0</v>
      </c>
      <c r="AJ112">
        <f t="shared" si="31"/>
        <v>0</v>
      </c>
      <c r="AK112">
        <f t="shared" si="31"/>
        <v>0</v>
      </c>
      <c r="AL112">
        <f t="shared" si="31"/>
        <v>0</v>
      </c>
      <c r="AM112">
        <f t="shared" si="31"/>
        <v>0</v>
      </c>
      <c r="AN112">
        <f t="shared" si="31"/>
        <v>0</v>
      </c>
      <c r="AO112">
        <f t="shared" si="31"/>
        <v>0</v>
      </c>
      <c r="AP112">
        <f t="shared" si="20"/>
        <v>1</v>
      </c>
      <c r="BL112" s="9">
        <f t="shared" si="15"/>
        <v>76152.68750644795</v>
      </c>
      <c r="BM112" s="9">
        <f t="shared" si="28"/>
        <v>76152.68750644795</v>
      </c>
      <c r="BN112" s="9">
        <f t="shared" si="21"/>
      </c>
      <c r="BU112" s="9"/>
      <c r="BV112" s="9"/>
      <c r="BW112" s="9"/>
      <c r="BX112" s="9"/>
    </row>
    <row r="113" spans="1:76" ht="12.75">
      <c r="A113" s="59">
        <f t="shared" si="22"/>
        <v>58</v>
      </c>
      <c r="B113" s="50" t="s">
        <v>93</v>
      </c>
      <c r="C113" s="50">
        <v>2006</v>
      </c>
      <c r="D113" s="69">
        <v>80000</v>
      </c>
      <c r="E113" s="70"/>
      <c r="F113" s="70"/>
      <c r="G113" s="66"/>
      <c r="H113">
        <f t="shared" si="29"/>
      </c>
      <c r="I113">
        <f t="shared" si="29"/>
      </c>
      <c r="J113">
        <f t="shared" si="29"/>
        <v>80000</v>
      </c>
      <c r="K113">
        <f t="shared" si="29"/>
      </c>
      <c r="L113">
        <f t="shared" si="29"/>
      </c>
      <c r="M113">
        <f t="shared" si="29"/>
      </c>
      <c r="N113">
        <f t="shared" si="29"/>
      </c>
      <c r="O113">
        <f t="shared" si="29"/>
      </c>
      <c r="P113">
        <f t="shared" si="29"/>
      </c>
      <c r="Q113">
        <f t="shared" si="29"/>
      </c>
      <c r="R113" s="9">
        <f t="shared" si="17"/>
        <v>80000</v>
      </c>
      <c r="T113">
        <f t="shared" si="18"/>
      </c>
      <c r="U113">
        <f t="shared" si="30"/>
        <v>80000</v>
      </c>
      <c r="V113">
        <f t="shared" si="30"/>
      </c>
      <c r="W113">
        <f t="shared" si="30"/>
      </c>
      <c r="X113">
        <f t="shared" si="30"/>
      </c>
      <c r="Y113">
        <f t="shared" si="30"/>
      </c>
      <c r="Z113">
        <f t="shared" si="30"/>
      </c>
      <c r="AA113">
        <f t="shared" si="30"/>
      </c>
      <c r="AB113">
        <f t="shared" si="30"/>
      </c>
      <c r="AC113">
        <f t="shared" si="30"/>
      </c>
      <c r="AD113">
        <f t="shared" si="30"/>
      </c>
      <c r="AE113">
        <f t="shared" si="11"/>
      </c>
      <c r="AF113" s="9">
        <f t="shared" si="12"/>
        <v>80000</v>
      </c>
      <c r="AG113">
        <f t="shared" si="31"/>
        <v>0</v>
      </c>
      <c r="AH113">
        <f t="shared" si="31"/>
        <v>1</v>
      </c>
      <c r="AI113">
        <f t="shared" si="31"/>
        <v>0</v>
      </c>
      <c r="AJ113">
        <f t="shared" si="31"/>
        <v>0</v>
      </c>
      <c r="AK113">
        <f t="shared" si="31"/>
        <v>0</v>
      </c>
      <c r="AL113">
        <f t="shared" si="31"/>
        <v>0</v>
      </c>
      <c r="AM113">
        <f t="shared" si="31"/>
        <v>0</v>
      </c>
      <c r="AN113">
        <f t="shared" si="31"/>
        <v>0</v>
      </c>
      <c r="AO113">
        <f t="shared" si="31"/>
        <v>0</v>
      </c>
      <c r="AP113">
        <f t="shared" si="20"/>
        <v>1</v>
      </c>
      <c r="BL113" s="9">
        <f t="shared" si="15"/>
        <v>76152.68750644795</v>
      </c>
      <c r="BM113" s="9">
        <f t="shared" si="28"/>
        <v>76152.68750644795</v>
      </c>
      <c r="BN113" s="9">
        <f t="shared" si="21"/>
      </c>
      <c r="BU113" s="9"/>
      <c r="BV113" s="9"/>
      <c r="BW113" s="9"/>
      <c r="BX113" s="9"/>
    </row>
    <row r="114" spans="1:76" ht="12.75">
      <c r="A114" s="59">
        <f t="shared" si="22"/>
        <v>59</v>
      </c>
      <c r="B114" s="50" t="s">
        <v>93</v>
      </c>
      <c r="C114" s="50">
        <v>2006</v>
      </c>
      <c r="D114" s="69">
        <v>65000</v>
      </c>
      <c r="E114" s="70"/>
      <c r="F114" s="70"/>
      <c r="G114" s="66"/>
      <c r="H114">
        <f t="shared" si="29"/>
      </c>
      <c r="I114">
        <f t="shared" si="29"/>
      </c>
      <c r="J114">
        <f t="shared" si="29"/>
        <v>65000</v>
      </c>
      <c r="K114">
        <f t="shared" si="29"/>
      </c>
      <c r="L114">
        <f t="shared" si="29"/>
      </c>
      <c r="M114">
        <f t="shared" si="29"/>
      </c>
      <c r="N114">
        <f t="shared" si="29"/>
      </c>
      <c r="O114">
        <f t="shared" si="29"/>
      </c>
      <c r="P114">
        <f t="shared" si="29"/>
      </c>
      <c r="Q114">
        <f t="shared" si="29"/>
      </c>
      <c r="R114" s="9">
        <f t="shared" si="17"/>
        <v>65000</v>
      </c>
      <c r="T114">
        <f t="shared" si="18"/>
      </c>
      <c r="U114">
        <f t="shared" si="30"/>
        <v>65000</v>
      </c>
      <c r="V114">
        <f t="shared" si="30"/>
      </c>
      <c r="W114">
        <f t="shared" si="30"/>
      </c>
      <c r="X114">
        <f t="shared" si="30"/>
      </c>
      <c r="Y114">
        <f t="shared" si="30"/>
      </c>
      <c r="Z114">
        <f t="shared" si="30"/>
      </c>
      <c r="AA114">
        <f t="shared" si="30"/>
      </c>
      <c r="AB114">
        <f t="shared" si="30"/>
      </c>
      <c r="AC114">
        <f t="shared" si="30"/>
      </c>
      <c r="AD114">
        <f t="shared" si="30"/>
      </c>
      <c r="AE114">
        <f t="shared" si="11"/>
      </c>
      <c r="AF114" s="9">
        <f t="shared" si="12"/>
        <v>65000</v>
      </c>
      <c r="AG114">
        <f t="shared" si="31"/>
        <v>0</v>
      </c>
      <c r="AH114">
        <f t="shared" si="31"/>
        <v>1</v>
      </c>
      <c r="AI114">
        <f t="shared" si="31"/>
        <v>0</v>
      </c>
      <c r="AJ114">
        <f t="shared" si="31"/>
        <v>0</v>
      </c>
      <c r="AK114">
        <f t="shared" si="31"/>
        <v>0</v>
      </c>
      <c r="AL114">
        <f t="shared" si="31"/>
        <v>0</v>
      </c>
      <c r="AM114">
        <f t="shared" si="31"/>
        <v>0</v>
      </c>
      <c r="AN114">
        <f t="shared" si="31"/>
        <v>0</v>
      </c>
      <c r="AO114">
        <f t="shared" si="31"/>
        <v>0</v>
      </c>
      <c r="AP114">
        <f t="shared" si="20"/>
        <v>1</v>
      </c>
      <c r="BL114" s="9">
        <f t="shared" si="15"/>
        <v>61152.687506447946</v>
      </c>
      <c r="BM114" s="9">
        <f t="shared" si="28"/>
        <v>61152.687506447946</v>
      </c>
      <c r="BN114" s="9">
        <f t="shared" si="21"/>
      </c>
      <c r="BU114" s="9"/>
      <c r="BV114" s="9"/>
      <c r="BW114" s="9"/>
      <c r="BX114" s="9"/>
    </row>
    <row r="115" spans="1:76" ht="12.75">
      <c r="A115" s="59">
        <f t="shared" si="22"/>
        <v>60</v>
      </c>
      <c r="B115" s="50" t="s">
        <v>93</v>
      </c>
      <c r="C115" s="50">
        <v>2006</v>
      </c>
      <c r="D115" s="69">
        <v>100000</v>
      </c>
      <c r="E115" s="70"/>
      <c r="F115" s="70"/>
      <c r="G115" s="66"/>
      <c r="H115">
        <f t="shared" si="29"/>
      </c>
      <c r="I115">
        <f t="shared" si="29"/>
      </c>
      <c r="J115">
        <f t="shared" si="29"/>
        <v>100000</v>
      </c>
      <c r="K115">
        <f t="shared" si="29"/>
      </c>
      <c r="L115">
        <f t="shared" si="29"/>
      </c>
      <c r="M115">
        <f t="shared" si="29"/>
      </c>
      <c r="N115">
        <f t="shared" si="29"/>
      </c>
      <c r="O115">
        <f t="shared" si="29"/>
      </c>
      <c r="P115">
        <f t="shared" si="29"/>
      </c>
      <c r="Q115">
        <f t="shared" si="29"/>
      </c>
      <c r="R115" s="9">
        <f t="shared" si="17"/>
        <v>100000</v>
      </c>
      <c r="T115">
        <f t="shared" si="18"/>
      </c>
      <c r="U115">
        <f t="shared" si="30"/>
        <v>100000</v>
      </c>
      <c r="V115">
        <f t="shared" si="30"/>
      </c>
      <c r="W115">
        <f t="shared" si="30"/>
      </c>
      <c r="X115">
        <f t="shared" si="30"/>
      </c>
      <c r="Y115">
        <f t="shared" si="30"/>
      </c>
      <c r="Z115">
        <f t="shared" si="30"/>
      </c>
      <c r="AA115">
        <f t="shared" si="30"/>
      </c>
      <c r="AB115">
        <f t="shared" si="30"/>
      </c>
      <c r="AC115">
        <f t="shared" si="30"/>
      </c>
      <c r="AD115">
        <f t="shared" si="30"/>
      </c>
      <c r="AE115">
        <f t="shared" si="11"/>
      </c>
      <c r="AF115" s="9">
        <f t="shared" si="12"/>
        <v>100000</v>
      </c>
      <c r="AG115">
        <f t="shared" si="31"/>
        <v>0</v>
      </c>
      <c r="AH115">
        <f t="shared" si="31"/>
        <v>1</v>
      </c>
      <c r="AI115">
        <f t="shared" si="31"/>
        <v>0</v>
      </c>
      <c r="AJ115">
        <f t="shared" si="31"/>
        <v>0</v>
      </c>
      <c r="AK115">
        <f t="shared" si="31"/>
        <v>0</v>
      </c>
      <c r="AL115">
        <f t="shared" si="31"/>
        <v>0</v>
      </c>
      <c r="AM115">
        <f t="shared" si="31"/>
        <v>0</v>
      </c>
      <c r="AN115">
        <f t="shared" si="31"/>
        <v>0</v>
      </c>
      <c r="AO115">
        <f t="shared" si="31"/>
        <v>0</v>
      </c>
      <c r="AP115">
        <f t="shared" si="20"/>
        <v>1</v>
      </c>
      <c r="BL115" s="9">
        <f t="shared" si="15"/>
        <v>96152.68750644795</v>
      </c>
      <c r="BM115" s="9">
        <f t="shared" si="28"/>
        <v>96152.68750644795</v>
      </c>
      <c r="BN115" s="9">
        <f t="shared" si="21"/>
      </c>
      <c r="BU115" s="9"/>
      <c r="BV115" s="9"/>
      <c r="BW115" s="9"/>
      <c r="BX115" s="9"/>
    </row>
    <row r="116" spans="1:76" ht="12.75">
      <c r="A116" s="59">
        <f t="shared" si="22"/>
        <v>61</v>
      </c>
      <c r="B116" s="50" t="s">
        <v>93</v>
      </c>
      <c r="C116" s="50">
        <v>2006</v>
      </c>
      <c r="D116" s="69">
        <v>65000</v>
      </c>
      <c r="E116" s="70"/>
      <c r="F116" s="70"/>
      <c r="G116" s="66"/>
      <c r="H116">
        <f t="shared" si="29"/>
      </c>
      <c r="I116">
        <f t="shared" si="29"/>
      </c>
      <c r="J116">
        <f t="shared" si="29"/>
        <v>65000</v>
      </c>
      <c r="K116">
        <f t="shared" si="29"/>
      </c>
      <c r="L116">
        <f t="shared" si="29"/>
      </c>
      <c r="M116">
        <f t="shared" si="29"/>
      </c>
      <c r="N116">
        <f t="shared" si="29"/>
      </c>
      <c r="O116">
        <f t="shared" si="29"/>
      </c>
      <c r="P116">
        <f t="shared" si="29"/>
      </c>
      <c r="Q116">
        <f t="shared" si="29"/>
      </c>
      <c r="R116" s="9">
        <f t="shared" si="17"/>
        <v>65000</v>
      </c>
      <c r="T116">
        <f t="shared" si="18"/>
      </c>
      <c r="U116">
        <f t="shared" si="30"/>
        <v>65000</v>
      </c>
      <c r="V116">
        <f t="shared" si="30"/>
      </c>
      <c r="W116">
        <f t="shared" si="30"/>
      </c>
      <c r="X116">
        <f t="shared" si="30"/>
      </c>
      <c r="Y116">
        <f t="shared" si="30"/>
      </c>
      <c r="Z116">
        <f t="shared" si="30"/>
      </c>
      <c r="AA116">
        <f t="shared" si="30"/>
      </c>
      <c r="AB116">
        <f t="shared" si="30"/>
      </c>
      <c r="AC116">
        <f t="shared" si="30"/>
      </c>
      <c r="AD116">
        <f t="shared" si="30"/>
      </c>
      <c r="AE116">
        <f t="shared" si="11"/>
      </c>
      <c r="AF116" s="9">
        <f t="shared" si="12"/>
        <v>65000</v>
      </c>
      <c r="AG116">
        <f t="shared" si="31"/>
        <v>0</v>
      </c>
      <c r="AH116">
        <f t="shared" si="31"/>
        <v>1</v>
      </c>
      <c r="AI116">
        <f t="shared" si="31"/>
        <v>0</v>
      </c>
      <c r="AJ116">
        <f t="shared" si="31"/>
        <v>0</v>
      </c>
      <c r="AK116">
        <f t="shared" si="31"/>
        <v>0</v>
      </c>
      <c r="AL116">
        <f t="shared" si="31"/>
        <v>0</v>
      </c>
      <c r="AM116">
        <f t="shared" si="31"/>
        <v>0</v>
      </c>
      <c r="AN116">
        <f t="shared" si="31"/>
        <v>0</v>
      </c>
      <c r="AO116">
        <f t="shared" si="31"/>
        <v>0</v>
      </c>
      <c r="AP116">
        <f t="shared" si="20"/>
        <v>1</v>
      </c>
      <c r="BL116" s="9">
        <f t="shared" si="15"/>
        <v>61152.687506447946</v>
      </c>
      <c r="BM116" s="9">
        <f t="shared" si="28"/>
        <v>61152.687506447946</v>
      </c>
      <c r="BN116" s="9">
        <f t="shared" si="21"/>
      </c>
      <c r="BU116" s="9"/>
      <c r="BV116" s="9"/>
      <c r="BW116" s="9"/>
      <c r="BX116" s="9"/>
    </row>
    <row r="117" spans="1:76" ht="12.75">
      <c r="A117" s="59">
        <f t="shared" si="22"/>
        <v>62</v>
      </c>
      <c r="B117" s="50" t="s">
        <v>93</v>
      </c>
      <c r="C117" s="50">
        <v>2006</v>
      </c>
      <c r="D117" s="69">
        <v>60000</v>
      </c>
      <c r="E117" s="70"/>
      <c r="F117" s="70"/>
      <c r="G117" s="66"/>
      <c r="H117">
        <f t="shared" si="29"/>
      </c>
      <c r="I117">
        <f t="shared" si="29"/>
      </c>
      <c r="J117">
        <f t="shared" si="29"/>
        <v>60000</v>
      </c>
      <c r="K117">
        <f t="shared" si="29"/>
      </c>
      <c r="L117">
        <f t="shared" si="29"/>
      </c>
      <c r="M117">
        <f t="shared" si="29"/>
      </c>
      <c r="N117">
        <f t="shared" si="29"/>
      </c>
      <c r="O117">
        <f t="shared" si="29"/>
      </c>
      <c r="P117">
        <f t="shared" si="29"/>
      </c>
      <c r="Q117">
        <f t="shared" si="29"/>
      </c>
      <c r="R117" s="9">
        <f t="shared" si="17"/>
        <v>60000</v>
      </c>
      <c r="T117">
        <f t="shared" si="18"/>
      </c>
      <c r="U117">
        <f t="shared" si="30"/>
        <v>60000</v>
      </c>
      <c r="V117">
        <f t="shared" si="30"/>
      </c>
      <c r="W117">
        <f t="shared" si="30"/>
      </c>
      <c r="X117">
        <f t="shared" si="30"/>
      </c>
      <c r="Y117">
        <f t="shared" si="30"/>
      </c>
      <c r="Z117">
        <f t="shared" si="30"/>
      </c>
      <c r="AA117">
        <f t="shared" si="30"/>
      </c>
      <c r="AB117">
        <f t="shared" si="30"/>
      </c>
      <c r="AC117">
        <f t="shared" si="30"/>
      </c>
      <c r="AD117">
        <f t="shared" si="30"/>
      </c>
      <c r="AE117">
        <f t="shared" si="11"/>
      </c>
      <c r="AF117" s="9">
        <f t="shared" si="12"/>
        <v>60000</v>
      </c>
      <c r="AG117">
        <f t="shared" si="31"/>
        <v>0</v>
      </c>
      <c r="AH117">
        <f t="shared" si="31"/>
        <v>1</v>
      </c>
      <c r="AI117">
        <f t="shared" si="31"/>
        <v>0</v>
      </c>
      <c r="AJ117">
        <f t="shared" si="31"/>
        <v>0</v>
      </c>
      <c r="AK117">
        <f t="shared" si="31"/>
        <v>0</v>
      </c>
      <c r="AL117">
        <f t="shared" si="31"/>
        <v>0</v>
      </c>
      <c r="AM117">
        <f t="shared" si="31"/>
        <v>0</v>
      </c>
      <c r="AN117">
        <f t="shared" si="31"/>
        <v>0</v>
      </c>
      <c r="AO117">
        <f t="shared" si="31"/>
        <v>0</v>
      </c>
      <c r="AP117">
        <f t="shared" si="20"/>
        <v>1</v>
      </c>
      <c r="BL117" s="9">
        <f t="shared" si="15"/>
        <v>56152.687506447946</v>
      </c>
      <c r="BM117" s="9">
        <f t="shared" si="28"/>
        <v>56152.687506447946</v>
      </c>
      <c r="BN117" s="9">
        <f t="shared" si="21"/>
      </c>
      <c r="BU117" s="9"/>
      <c r="BV117" s="9"/>
      <c r="BW117" s="9"/>
      <c r="BX117" s="9"/>
    </row>
    <row r="118" spans="1:76" ht="12.75">
      <c r="A118" s="59">
        <f t="shared" si="22"/>
        <v>63</v>
      </c>
      <c r="B118" s="51" t="s">
        <v>92</v>
      </c>
      <c r="C118" s="51">
        <v>1986</v>
      </c>
      <c r="D118" s="72">
        <v>180000</v>
      </c>
      <c r="E118" s="73" t="s">
        <v>103</v>
      </c>
      <c r="F118" s="74">
        <v>0.68</v>
      </c>
      <c r="G118" s="75"/>
      <c r="H118">
        <f t="shared" si="29"/>
      </c>
      <c r="I118">
        <f t="shared" si="29"/>
      </c>
      <c r="J118">
        <f t="shared" si="29"/>
      </c>
      <c r="K118">
        <f t="shared" si="29"/>
        <v>180000</v>
      </c>
      <c r="L118">
        <f t="shared" si="29"/>
      </c>
      <c r="M118">
        <f t="shared" si="29"/>
      </c>
      <c r="N118">
        <f t="shared" si="29"/>
      </c>
      <c r="O118">
        <f t="shared" si="29"/>
      </c>
      <c r="P118">
        <f t="shared" si="29"/>
      </c>
      <c r="Q118">
        <f t="shared" si="29"/>
      </c>
      <c r="R118" s="9">
        <f t="shared" si="17"/>
        <v>180000</v>
      </c>
      <c r="T118">
        <f t="shared" si="18"/>
      </c>
      <c r="U118">
        <f t="shared" si="30"/>
      </c>
      <c r="V118">
        <f t="shared" si="30"/>
      </c>
      <c r="W118">
        <f t="shared" si="30"/>
      </c>
      <c r="X118">
        <f t="shared" si="30"/>
      </c>
      <c r="Y118">
        <f t="shared" si="30"/>
      </c>
      <c r="Z118">
        <f t="shared" si="30"/>
      </c>
      <c r="AA118">
        <f t="shared" si="30"/>
      </c>
      <c r="AB118">
        <f t="shared" si="30"/>
      </c>
      <c r="AC118">
        <f t="shared" si="30"/>
      </c>
      <c r="AD118">
        <f t="shared" si="30"/>
      </c>
      <c r="AE118">
        <f t="shared" si="11"/>
        <v>180000</v>
      </c>
      <c r="AF118" s="9">
        <f t="shared" si="12"/>
        <v>180000</v>
      </c>
      <c r="AG118">
        <f t="shared" si="31"/>
        <v>0</v>
      </c>
      <c r="AH118">
        <f t="shared" si="31"/>
        <v>0</v>
      </c>
      <c r="AI118">
        <f t="shared" si="31"/>
        <v>1</v>
      </c>
      <c r="AJ118">
        <f t="shared" si="31"/>
        <v>0</v>
      </c>
      <c r="AK118">
        <f t="shared" si="31"/>
        <v>0</v>
      </c>
      <c r="AL118">
        <f t="shared" si="31"/>
        <v>0</v>
      </c>
      <c r="AM118">
        <f t="shared" si="31"/>
        <v>0</v>
      </c>
      <c r="AN118">
        <f t="shared" si="31"/>
        <v>0</v>
      </c>
      <c r="AO118">
        <f t="shared" si="31"/>
        <v>0</v>
      </c>
      <c r="AP118">
        <f t="shared" si="20"/>
        <v>21</v>
      </c>
      <c r="BL118" s="9">
        <f t="shared" si="15"/>
        <v>99206.43763540691</v>
      </c>
      <c r="BM118" s="9">
        <f t="shared" si="28"/>
        <v>99206.43763540691</v>
      </c>
      <c r="BN118" s="9">
        <f t="shared" si="21"/>
      </c>
      <c r="BU118" s="9"/>
      <c r="BV118" s="9"/>
      <c r="BW118" s="9"/>
      <c r="BX118" s="9"/>
    </row>
    <row r="119" spans="1:76" ht="12.75">
      <c r="A119" s="59">
        <f t="shared" si="22"/>
        <v>64</v>
      </c>
      <c r="B119" s="51" t="s">
        <v>92</v>
      </c>
      <c r="C119" s="51">
        <v>1987</v>
      </c>
      <c r="D119" s="72">
        <v>180000</v>
      </c>
      <c r="E119" s="73"/>
      <c r="F119" s="73"/>
      <c r="G119" s="66"/>
      <c r="H119">
        <f t="shared" si="29"/>
      </c>
      <c r="I119">
        <f t="shared" si="29"/>
      </c>
      <c r="J119">
        <f t="shared" si="29"/>
      </c>
      <c r="K119">
        <f t="shared" si="29"/>
        <v>180000</v>
      </c>
      <c r="L119">
        <f t="shared" si="29"/>
      </c>
      <c r="M119">
        <f t="shared" si="29"/>
      </c>
      <c r="N119">
        <f t="shared" si="29"/>
      </c>
      <c r="O119">
        <f t="shared" si="29"/>
      </c>
      <c r="P119">
        <f t="shared" si="29"/>
      </c>
      <c r="Q119">
        <f t="shared" si="29"/>
      </c>
      <c r="R119" s="9">
        <f t="shared" si="17"/>
        <v>180000</v>
      </c>
      <c r="T119">
        <f t="shared" si="18"/>
      </c>
      <c r="U119">
        <f t="shared" si="30"/>
      </c>
      <c r="V119">
        <f t="shared" si="30"/>
      </c>
      <c r="W119">
        <f t="shared" si="30"/>
      </c>
      <c r="X119">
        <f t="shared" si="30"/>
      </c>
      <c r="Y119">
        <f t="shared" si="30"/>
      </c>
      <c r="Z119">
        <f t="shared" si="30"/>
      </c>
      <c r="AA119">
        <f t="shared" si="30"/>
      </c>
      <c r="AB119">
        <f t="shared" si="30"/>
      </c>
      <c r="AC119">
        <f t="shared" si="30"/>
      </c>
      <c r="AD119">
        <f t="shared" si="30"/>
      </c>
      <c r="AE119">
        <f t="shared" si="11"/>
        <v>180000</v>
      </c>
      <c r="AF119" s="9">
        <f t="shared" si="12"/>
        <v>180000</v>
      </c>
      <c r="AG119">
        <f t="shared" si="31"/>
        <v>0</v>
      </c>
      <c r="AH119">
        <f t="shared" si="31"/>
        <v>0</v>
      </c>
      <c r="AI119">
        <f t="shared" si="31"/>
        <v>1</v>
      </c>
      <c r="AJ119">
        <f t="shared" si="31"/>
        <v>0</v>
      </c>
      <c r="AK119">
        <f t="shared" si="31"/>
        <v>0</v>
      </c>
      <c r="AL119">
        <f t="shared" si="31"/>
        <v>0</v>
      </c>
      <c r="AM119">
        <f t="shared" si="31"/>
        <v>0</v>
      </c>
      <c r="AN119">
        <f t="shared" si="31"/>
        <v>0</v>
      </c>
      <c r="AO119">
        <f t="shared" si="31"/>
        <v>0</v>
      </c>
      <c r="AP119">
        <f t="shared" si="20"/>
        <v>20</v>
      </c>
      <c r="BL119" s="9">
        <f t="shared" si="15"/>
        <v>103053.75012895896</v>
      </c>
      <c r="BM119" s="9">
        <f t="shared" si="28"/>
        <v>103053.75012895896</v>
      </c>
      <c r="BN119" s="9">
        <f t="shared" si="21"/>
      </c>
      <c r="BU119" s="9"/>
      <c r="BV119" s="9"/>
      <c r="BW119" s="9"/>
      <c r="BX119" s="9"/>
    </row>
    <row r="120" spans="1:76" ht="12.75">
      <c r="A120" s="59">
        <f t="shared" si="22"/>
        <v>65</v>
      </c>
      <c r="B120" s="51" t="s">
        <v>92</v>
      </c>
      <c r="C120" s="51">
        <v>1983</v>
      </c>
      <c r="D120" s="72">
        <v>200000</v>
      </c>
      <c r="E120" s="73"/>
      <c r="F120" s="73"/>
      <c r="G120" s="66"/>
      <c r="H120">
        <f aca="true" t="shared" si="32" ref="H120:Q135">IF($B120=H$55,$D120,"")</f>
      </c>
      <c r="I120">
        <f t="shared" si="32"/>
      </c>
      <c r="J120">
        <f t="shared" si="32"/>
      </c>
      <c r="K120">
        <f t="shared" si="32"/>
        <v>200000</v>
      </c>
      <c r="L120">
        <f t="shared" si="32"/>
      </c>
      <c r="M120">
        <f t="shared" si="32"/>
      </c>
      <c r="N120">
        <f t="shared" si="32"/>
      </c>
      <c r="O120">
        <f t="shared" si="32"/>
      </c>
      <c r="P120">
        <f t="shared" si="32"/>
      </c>
      <c r="Q120">
        <f t="shared" si="32"/>
      </c>
      <c r="R120" s="9">
        <f t="shared" si="17"/>
        <v>200000</v>
      </c>
      <c r="T120">
        <f t="shared" si="18"/>
      </c>
      <c r="U120">
        <f aca="true" t="shared" si="33" ref="U120:AD135">IF($C120=U$55,$D120,"")</f>
      </c>
      <c r="V120">
        <f t="shared" si="33"/>
      </c>
      <c r="W120">
        <f t="shared" si="33"/>
      </c>
      <c r="X120">
        <f t="shared" si="33"/>
      </c>
      <c r="Y120">
        <f t="shared" si="33"/>
      </c>
      <c r="Z120">
        <f t="shared" si="33"/>
      </c>
      <c r="AA120">
        <f t="shared" si="33"/>
      </c>
      <c r="AB120">
        <f t="shared" si="33"/>
      </c>
      <c r="AC120">
        <f t="shared" si="33"/>
      </c>
      <c r="AD120">
        <f t="shared" si="33"/>
      </c>
      <c r="AE120">
        <f aca="true" t="shared" si="34" ref="AE120:AE183">IF($C120&lt;1997,$D120,"")</f>
        <v>200000</v>
      </c>
      <c r="AF120" s="9">
        <f aca="true" t="shared" si="35" ref="AF120:AF183">IF(C120=".","",D120)</f>
        <v>200000</v>
      </c>
      <c r="AG120">
        <f t="shared" si="31"/>
        <v>0</v>
      </c>
      <c r="AH120">
        <f t="shared" si="31"/>
        <v>0</v>
      </c>
      <c r="AI120">
        <f t="shared" si="31"/>
        <v>1</v>
      </c>
      <c r="AJ120">
        <f t="shared" si="31"/>
        <v>0</v>
      </c>
      <c r="AK120">
        <f t="shared" si="31"/>
        <v>0</v>
      </c>
      <c r="AL120">
        <f t="shared" si="31"/>
        <v>0</v>
      </c>
      <c r="AM120">
        <f t="shared" si="31"/>
        <v>0</v>
      </c>
      <c r="AN120">
        <f t="shared" si="31"/>
        <v>0</v>
      </c>
      <c r="AO120">
        <f t="shared" si="31"/>
        <v>0</v>
      </c>
      <c r="AP120">
        <f t="shared" si="20"/>
        <v>24</v>
      </c>
      <c r="BL120" s="9">
        <f aca="true" t="shared" si="36" ref="BL120:BL183">D120-AP120*$AV$52</f>
        <v>107664.50015475076</v>
      </c>
      <c r="BM120" s="9">
        <f aca="true" t="shared" si="37" ref="BM120:BM183">IF(BL120&lt;$BO$52,BL120,"")</f>
      </c>
      <c r="BN120" s="9">
        <f aca="true" t="shared" si="38" ref="BN120:BN183">IF(BL120&gt;$BO$52,BL120,"")</f>
        <v>107664.50015475076</v>
      </c>
      <c r="BU120" s="9"/>
      <c r="BV120" s="9"/>
      <c r="BW120" s="9"/>
      <c r="BX120" s="9"/>
    </row>
    <row r="121" spans="1:76" ht="12.75">
      <c r="A121" s="59">
        <f t="shared" si="22"/>
        <v>66</v>
      </c>
      <c r="B121" s="51" t="s">
        <v>92</v>
      </c>
      <c r="C121" s="51">
        <v>1989</v>
      </c>
      <c r="D121" s="72">
        <v>160000</v>
      </c>
      <c r="E121" s="73"/>
      <c r="F121" s="73"/>
      <c r="G121" s="66"/>
      <c r="H121">
        <f t="shared" si="32"/>
      </c>
      <c r="I121">
        <f t="shared" si="32"/>
      </c>
      <c r="J121">
        <f t="shared" si="32"/>
      </c>
      <c r="K121">
        <f t="shared" si="32"/>
        <v>160000</v>
      </c>
      <c r="L121">
        <f t="shared" si="32"/>
      </c>
      <c r="M121">
        <f t="shared" si="32"/>
      </c>
      <c r="N121">
        <f t="shared" si="32"/>
      </c>
      <c r="O121">
        <f t="shared" si="32"/>
      </c>
      <c r="P121">
        <f t="shared" si="32"/>
      </c>
      <c r="Q121">
        <f t="shared" si="32"/>
      </c>
      <c r="R121" s="9">
        <f aca="true" t="shared" si="39" ref="R121:R184">D121</f>
        <v>160000</v>
      </c>
      <c r="T121">
        <f aca="true" t="shared" si="40" ref="T121:T184">IF($C121=T$55,$D121,"")</f>
      </c>
      <c r="U121">
        <f t="shared" si="33"/>
      </c>
      <c r="V121">
        <f t="shared" si="33"/>
      </c>
      <c r="W121">
        <f t="shared" si="33"/>
      </c>
      <c r="X121">
        <f t="shared" si="33"/>
      </c>
      <c r="Y121">
        <f t="shared" si="33"/>
      </c>
      <c r="Z121">
        <f t="shared" si="33"/>
      </c>
      <c r="AA121">
        <f t="shared" si="33"/>
      </c>
      <c r="AB121">
        <f t="shared" si="33"/>
      </c>
      <c r="AC121">
        <f t="shared" si="33"/>
      </c>
      <c r="AD121">
        <f t="shared" si="33"/>
      </c>
      <c r="AE121">
        <f t="shared" si="34"/>
        <v>160000</v>
      </c>
      <c r="AF121" s="9">
        <f t="shared" si="35"/>
        <v>160000</v>
      </c>
      <c r="AG121">
        <f t="shared" si="31"/>
        <v>0</v>
      </c>
      <c r="AH121">
        <f t="shared" si="31"/>
        <v>0</v>
      </c>
      <c r="AI121">
        <f t="shared" si="31"/>
        <v>1</v>
      </c>
      <c r="AJ121">
        <f t="shared" si="31"/>
        <v>0</v>
      </c>
      <c r="AK121">
        <f t="shared" si="31"/>
        <v>0</v>
      </c>
      <c r="AL121">
        <f t="shared" si="31"/>
        <v>0</v>
      </c>
      <c r="AM121">
        <f t="shared" si="31"/>
        <v>0</v>
      </c>
      <c r="AN121">
        <f t="shared" si="31"/>
        <v>0</v>
      </c>
      <c r="AO121">
        <f t="shared" si="31"/>
        <v>0</v>
      </c>
      <c r="AP121">
        <f aca="true" t="shared" si="41" ref="AP121:AP184">2007-C121</f>
        <v>18</v>
      </c>
      <c r="BL121" s="9">
        <f t="shared" si="36"/>
        <v>90748.37511606306</v>
      </c>
      <c r="BM121" s="9">
        <f t="shared" si="37"/>
        <v>90748.37511606306</v>
      </c>
      <c r="BN121" s="9">
        <f t="shared" si="38"/>
      </c>
      <c r="BU121" s="9"/>
      <c r="BV121" s="9"/>
      <c r="BW121" s="9"/>
      <c r="BX121" s="9"/>
    </row>
    <row r="122" spans="1:76" ht="12.75">
      <c r="A122" s="59">
        <f aca="true" t="shared" si="42" ref="A122:A185">A121+1</f>
        <v>67</v>
      </c>
      <c r="B122" s="51" t="s">
        <v>92</v>
      </c>
      <c r="C122" s="51">
        <v>1987</v>
      </c>
      <c r="D122" s="72">
        <v>160000</v>
      </c>
      <c r="E122" s="73"/>
      <c r="F122" s="73"/>
      <c r="G122" s="66"/>
      <c r="H122">
        <f t="shared" si="32"/>
      </c>
      <c r="I122">
        <f t="shared" si="32"/>
      </c>
      <c r="J122">
        <f t="shared" si="32"/>
      </c>
      <c r="K122">
        <f t="shared" si="32"/>
        <v>160000</v>
      </c>
      <c r="L122">
        <f t="shared" si="32"/>
      </c>
      <c r="M122">
        <f t="shared" si="32"/>
      </c>
      <c r="N122">
        <f t="shared" si="32"/>
      </c>
      <c r="O122">
        <f t="shared" si="32"/>
      </c>
      <c r="P122">
        <f t="shared" si="32"/>
      </c>
      <c r="Q122">
        <f t="shared" si="32"/>
      </c>
      <c r="R122" s="9">
        <f t="shared" si="39"/>
        <v>160000</v>
      </c>
      <c r="T122">
        <f t="shared" si="40"/>
      </c>
      <c r="U122">
        <f t="shared" si="33"/>
      </c>
      <c r="V122">
        <f t="shared" si="33"/>
      </c>
      <c r="W122">
        <f t="shared" si="33"/>
      </c>
      <c r="X122">
        <f t="shared" si="33"/>
      </c>
      <c r="Y122">
        <f t="shared" si="33"/>
      </c>
      <c r="Z122">
        <f t="shared" si="33"/>
      </c>
      <c r="AA122">
        <f t="shared" si="33"/>
      </c>
      <c r="AB122">
        <f t="shared" si="33"/>
      </c>
      <c r="AC122">
        <f t="shared" si="33"/>
      </c>
      <c r="AD122">
        <f t="shared" si="33"/>
      </c>
      <c r="AE122">
        <f t="shared" si="34"/>
        <v>160000</v>
      </c>
      <c r="AF122" s="9">
        <f t="shared" si="35"/>
        <v>160000</v>
      </c>
      <c r="AG122">
        <f t="shared" si="31"/>
        <v>0</v>
      </c>
      <c r="AH122">
        <f t="shared" si="31"/>
        <v>0</v>
      </c>
      <c r="AI122">
        <f t="shared" si="31"/>
        <v>1</v>
      </c>
      <c r="AJ122">
        <f t="shared" si="31"/>
        <v>0</v>
      </c>
      <c r="AK122">
        <f t="shared" si="31"/>
        <v>0</v>
      </c>
      <c r="AL122">
        <f t="shared" si="31"/>
        <v>0</v>
      </c>
      <c r="AM122">
        <f t="shared" si="31"/>
        <v>0</v>
      </c>
      <c r="AN122">
        <f t="shared" si="31"/>
        <v>0</v>
      </c>
      <c r="AO122">
        <f t="shared" si="31"/>
        <v>0</v>
      </c>
      <c r="AP122">
        <f t="shared" si="41"/>
        <v>20</v>
      </c>
      <c r="BL122" s="9">
        <f t="shared" si="36"/>
        <v>83053.75012895896</v>
      </c>
      <c r="BM122" s="9">
        <f t="shared" si="37"/>
        <v>83053.75012895896</v>
      </c>
      <c r="BN122" s="9">
        <f t="shared" si="38"/>
      </c>
      <c r="BU122" s="9"/>
      <c r="BV122" s="9"/>
      <c r="BW122" s="9"/>
      <c r="BX122" s="9"/>
    </row>
    <row r="123" spans="1:76" ht="12.75">
      <c r="A123" s="59">
        <f t="shared" si="42"/>
        <v>68</v>
      </c>
      <c r="B123" s="51" t="s">
        <v>92</v>
      </c>
      <c r="C123" s="51">
        <v>1987</v>
      </c>
      <c r="D123" s="72">
        <v>165000</v>
      </c>
      <c r="E123" s="73"/>
      <c r="F123" s="73"/>
      <c r="G123" s="66"/>
      <c r="H123">
        <f t="shared" si="32"/>
      </c>
      <c r="I123">
        <f t="shared" si="32"/>
      </c>
      <c r="J123">
        <f t="shared" si="32"/>
      </c>
      <c r="K123">
        <f t="shared" si="32"/>
        <v>165000</v>
      </c>
      <c r="L123">
        <f t="shared" si="32"/>
      </c>
      <c r="M123">
        <f t="shared" si="32"/>
      </c>
      <c r="N123">
        <f t="shared" si="32"/>
      </c>
      <c r="O123">
        <f t="shared" si="32"/>
      </c>
      <c r="P123">
        <f t="shared" si="32"/>
      </c>
      <c r="Q123">
        <f t="shared" si="32"/>
      </c>
      <c r="R123" s="9">
        <f t="shared" si="39"/>
        <v>165000</v>
      </c>
      <c r="T123">
        <f t="shared" si="40"/>
      </c>
      <c r="U123">
        <f t="shared" si="33"/>
      </c>
      <c r="V123">
        <f t="shared" si="33"/>
      </c>
      <c r="W123">
        <f t="shared" si="33"/>
      </c>
      <c r="X123">
        <f t="shared" si="33"/>
      </c>
      <c r="Y123">
        <f t="shared" si="33"/>
      </c>
      <c r="Z123">
        <f t="shared" si="33"/>
      </c>
      <c r="AA123">
        <f t="shared" si="33"/>
      </c>
      <c r="AB123">
        <f t="shared" si="33"/>
      </c>
      <c r="AC123">
        <f t="shared" si="33"/>
      </c>
      <c r="AD123">
        <f t="shared" si="33"/>
      </c>
      <c r="AE123">
        <f t="shared" si="34"/>
        <v>165000</v>
      </c>
      <c r="AF123" s="9">
        <f t="shared" si="35"/>
        <v>165000</v>
      </c>
      <c r="AG123">
        <f t="shared" si="31"/>
        <v>0</v>
      </c>
      <c r="AH123">
        <f t="shared" si="31"/>
        <v>0</v>
      </c>
      <c r="AI123">
        <f t="shared" si="31"/>
        <v>1</v>
      </c>
      <c r="AJ123">
        <f t="shared" si="31"/>
        <v>0</v>
      </c>
      <c r="AK123">
        <f t="shared" si="31"/>
        <v>0</v>
      </c>
      <c r="AL123">
        <f t="shared" si="31"/>
        <v>0</v>
      </c>
      <c r="AM123">
        <f t="shared" si="31"/>
        <v>0</v>
      </c>
      <c r="AN123">
        <f t="shared" si="31"/>
        <v>0</v>
      </c>
      <c r="AO123">
        <f t="shared" si="31"/>
        <v>0</v>
      </c>
      <c r="AP123">
        <f t="shared" si="41"/>
        <v>20</v>
      </c>
      <c r="BL123" s="9">
        <f t="shared" si="36"/>
        <v>88053.75012895896</v>
      </c>
      <c r="BM123" s="9">
        <f t="shared" si="37"/>
        <v>88053.75012895896</v>
      </c>
      <c r="BN123" s="9">
        <f t="shared" si="38"/>
      </c>
      <c r="BU123" s="9"/>
      <c r="BV123" s="9"/>
      <c r="BW123" s="9"/>
      <c r="BX123" s="9"/>
    </row>
    <row r="124" spans="1:76" ht="12.75">
      <c r="A124" s="59">
        <f t="shared" si="42"/>
        <v>69</v>
      </c>
      <c r="B124" s="51" t="s">
        <v>92</v>
      </c>
      <c r="C124" s="51">
        <v>1987</v>
      </c>
      <c r="D124" s="72">
        <v>180000</v>
      </c>
      <c r="E124" s="73"/>
      <c r="F124" s="73"/>
      <c r="G124" s="66"/>
      <c r="H124">
        <f t="shared" si="32"/>
      </c>
      <c r="I124">
        <f t="shared" si="32"/>
      </c>
      <c r="J124">
        <f t="shared" si="32"/>
      </c>
      <c r="K124">
        <f t="shared" si="32"/>
        <v>180000</v>
      </c>
      <c r="L124">
        <f t="shared" si="32"/>
      </c>
      <c r="M124">
        <f t="shared" si="32"/>
      </c>
      <c r="N124">
        <f t="shared" si="32"/>
      </c>
      <c r="O124">
        <f t="shared" si="32"/>
      </c>
      <c r="P124">
        <f t="shared" si="32"/>
      </c>
      <c r="Q124">
        <f t="shared" si="32"/>
      </c>
      <c r="R124" s="9">
        <f t="shared" si="39"/>
        <v>180000</v>
      </c>
      <c r="T124">
        <f t="shared" si="40"/>
      </c>
      <c r="U124">
        <f t="shared" si="33"/>
      </c>
      <c r="V124">
        <f t="shared" si="33"/>
      </c>
      <c r="W124">
        <f t="shared" si="33"/>
      </c>
      <c r="X124">
        <f t="shared" si="33"/>
      </c>
      <c r="Y124">
        <f t="shared" si="33"/>
      </c>
      <c r="Z124">
        <f t="shared" si="33"/>
      </c>
      <c r="AA124">
        <f t="shared" si="33"/>
      </c>
      <c r="AB124">
        <f t="shared" si="33"/>
      </c>
      <c r="AC124">
        <f t="shared" si="33"/>
      </c>
      <c r="AD124">
        <f t="shared" si="33"/>
      </c>
      <c r="AE124">
        <f t="shared" si="34"/>
        <v>180000</v>
      </c>
      <c r="AF124" s="9">
        <f t="shared" si="35"/>
        <v>180000</v>
      </c>
      <c r="AG124">
        <f t="shared" si="31"/>
        <v>0</v>
      </c>
      <c r="AH124">
        <f t="shared" si="31"/>
        <v>0</v>
      </c>
      <c r="AI124">
        <f t="shared" si="31"/>
        <v>1</v>
      </c>
      <c r="AJ124">
        <f t="shared" si="31"/>
        <v>0</v>
      </c>
      <c r="AK124">
        <f t="shared" si="31"/>
        <v>0</v>
      </c>
      <c r="AL124">
        <f t="shared" si="31"/>
        <v>0</v>
      </c>
      <c r="AM124">
        <f t="shared" si="31"/>
        <v>0</v>
      </c>
      <c r="AN124">
        <f t="shared" si="31"/>
        <v>0</v>
      </c>
      <c r="AO124">
        <f t="shared" si="31"/>
        <v>0</v>
      </c>
      <c r="AP124">
        <f t="shared" si="41"/>
        <v>20</v>
      </c>
      <c r="BL124" s="9">
        <f t="shared" si="36"/>
        <v>103053.75012895896</v>
      </c>
      <c r="BM124" s="9">
        <f t="shared" si="37"/>
        <v>103053.75012895896</v>
      </c>
      <c r="BN124" s="9">
        <f t="shared" si="38"/>
      </c>
      <c r="BU124" s="9"/>
      <c r="BV124" s="9"/>
      <c r="BW124" s="9"/>
      <c r="BX124" s="9"/>
    </row>
    <row r="125" spans="1:76" ht="12.75">
      <c r="A125" s="59">
        <f t="shared" si="42"/>
        <v>70</v>
      </c>
      <c r="B125" s="51" t="s">
        <v>92</v>
      </c>
      <c r="C125" s="51">
        <v>1989</v>
      </c>
      <c r="D125" s="72">
        <v>150000</v>
      </c>
      <c r="E125" s="73"/>
      <c r="F125" s="73"/>
      <c r="G125" s="66"/>
      <c r="H125">
        <f t="shared" si="32"/>
      </c>
      <c r="I125">
        <f t="shared" si="32"/>
      </c>
      <c r="J125">
        <f t="shared" si="32"/>
      </c>
      <c r="K125">
        <f t="shared" si="32"/>
        <v>150000</v>
      </c>
      <c r="L125">
        <f t="shared" si="32"/>
      </c>
      <c r="M125">
        <f t="shared" si="32"/>
      </c>
      <c r="N125">
        <f t="shared" si="32"/>
      </c>
      <c r="O125">
        <f t="shared" si="32"/>
      </c>
      <c r="P125">
        <f t="shared" si="32"/>
      </c>
      <c r="Q125">
        <f t="shared" si="32"/>
      </c>
      <c r="R125" s="9">
        <f t="shared" si="39"/>
        <v>150000</v>
      </c>
      <c r="T125">
        <f t="shared" si="40"/>
      </c>
      <c r="U125">
        <f t="shared" si="33"/>
      </c>
      <c r="V125">
        <f t="shared" si="33"/>
      </c>
      <c r="W125">
        <f t="shared" si="33"/>
      </c>
      <c r="X125">
        <f t="shared" si="33"/>
      </c>
      <c r="Y125">
        <f t="shared" si="33"/>
      </c>
      <c r="Z125">
        <f t="shared" si="33"/>
      </c>
      <c r="AA125">
        <f t="shared" si="33"/>
      </c>
      <c r="AB125">
        <f t="shared" si="33"/>
      </c>
      <c r="AC125">
        <f t="shared" si="33"/>
      </c>
      <c r="AD125">
        <f t="shared" si="33"/>
      </c>
      <c r="AE125">
        <f t="shared" si="34"/>
        <v>150000</v>
      </c>
      <c r="AF125" s="9">
        <f t="shared" si="35"/>
        <v>150000</v>
      </c>
      <c r="AG125">
        <f t="shared" si="31"/>
        <v>0</v>
      </c>
      <c r="AH125">
        <f t="shared" si="31"/>
        <v>0</v>
      </c>
      <c r="AI125">
        <f t="shared" si="31"/>
        <v>1</v>
      </c>
      <c r="AJ125">
        <f t="shared" si="31"/>
        <v>0</v>
      </c>
      <c r="AK125">
        <f t="shared" si="31"/>
        <v>0</v>
      </c>
      <c r="AL125">
        <f t="shared" si="31"/>
        <v>0</v>
      </c>
      <c r="AM125">
        <f t="shared" si="31"/>
        <v>0</v>
      </c>
      <c r="AN125">
        <f t="shared" si="31"/>
        <v>0</v>
      </c>
      <c r="AO125">
        <f t="shared" si="31"/>
        <v>0</v>
      </c>
      <c r="AP125">
        <f t="shared" si="41"/>
        <v>18</v>
      </c>
      <c r="BL125" s="9">
        <f t="shared" si="36"/>
        <v>80748.37511606306</v>
      </c>
      <c r="BM125" s="9">
        <f t="shared" si="37"/>
        <v>80748.37511606306</v>
      </c>
      <c r="BN125" s="9">
        <f t="shared" si="38"/>
      </c>
      <c r="BU125" s="9"/>
      <c r="BV125" s="9"/>
      <c r="BW125" s="9"/>
      <c r="BX125" s="9"/>
    </row>
    <row r="126" spans="1:76" ht="12.75">
      <c r="A126" s="59">
        <f t="shared" si="42"/>
        <v>71</v>
      </c>
      <c r="B126" s="51" t="s">
        <v>92</v>
      </c>
      <c r="C126" s="51">
        <v>1984</v>
      </c>
      <c r="D126" s="72">
        <v>150000</v>
      </c>
      <c r="E126" s="73"/>
      <c r="F126" s="73"/>
      <c r="G126" s="66"/>
      <c r="H126">
        <f t="shared" si="32"/>
      </c>
      <c r="I126">
        <f t="shared" si="32"/>
      </c>
      <c r="J126">
        <f t="shared" si="32"/>
      </c>
      <c r="K126">
        <f t="shared" si="32"/>
        <v>150000</v>
      </c>
      <c r="L126">
        <f t="shared" si="32"/>
      </c>
      <c r="M126">
        <f t="shared" si="32"/>
      </c>
      <c r="N126">
        <f t="shared" si="32"/>
      </c>
      <c r="O126">
        <f t="shared" si="32"/>
      </c>
      <c r="P126">
        <f t="shared" si="32"/>
      </c>
      <c r="Q126">
        <f t="shared" si="32"/>
      </c>
      <c r="R126" s="9">
        <f t="shared" si="39"/>
        <v>150000</v>
      </c>
      <c r="T126">
        <f t="shared" si="40"/>
      </c>
      <c r="U126">
        <f t="shared" si="33"/>
      </c>
      <c r="V126">
        <f t="shared" si="33"/>
      </c>
      <c r="W126">
        <f t="shared" si="33"/>
      </c>
      <c r="X126">
        <f t="shared" si="33"/>
      </c>
      <c r="Y126">
        <f t="shared" si="33"/>
      </c>
      <c r="Z126">
        <f t="shared" si="33"/>
      </c>
      <c r="AA126">
        <f t="shared" si="33"/>
      </c>
      <c r="AB126">
        <f t="shared" si="33"/>
      </c>
      <c r="AC126">
        <f t="shared" si="33"/>
      </c>
      <c r="AD126">
        <f t="shared" si="33"/>
      </c>
      <c r="AE126">
        <f t="shared" si="34"/>
        <v>150000</v>
      </c>
      <c r="AF126" s="9">
        <f t="shared" si="35"/>
        <v>150000</v>
      </c>
      <c r="AG126">
        <f t="shared" si="31"/>
        <v>0</v>
      </c>
      <c r="AH126">
        <f t="shared" si="31"/>
        <v>0</v>
      </c>
      <c r="AI126">
        <f t="shared" si="31"/>
        <v>1</v>
      </c>
      <c r="AJ126">
        <f t="shared" si="31"/>
        <v>0</v>
      </c>
      <c r="AK126">
        <f t="shared" si="31"/>
        <v>0</v>
      </c>
      <c r="AL126">
        <f t="shared" si="31"/>
        <v>0</v>
      </c>
      <c r="AM126">
        <f t="shared" si="31"/>
        <v>0</v>
      </c>
      <c r="AN126">
        <f t="shared" si="31"/>
        <v>0</v>
      </c>
      <c r="AO126">
        <f t="shared" si="31"/>
        <v>0</v>
      </c>
      <c r="AP126">
        <f t="shared" si="41"/>
        <v>23</v>
      </c>
      <c r="BL126" s="9">
        <f t="shared" si="36"/>
        <v>61511.8126483028</v>
      </c>
      <c r="BM126" s="9">
        <f t="shared" si="37"/>
        <v>61511.8126483028</v>
      </c>
      <c r="BN126" s="9">
        <f t="shared" si="38"/>
      </c>
      <c r="BU126" s="9"/>
      <c r="BV126" s="9"/>
      <c r="BW126" s="9"/>
      <c r="BX126" s="9"/>
    </row>
    <row r="127" spans="1:76" ht="12.75">
      <c r="A127" s="59">
        <f t="shared" si="42"/>
        <v>72</v>
      </c>
      <c r="B127" s="51" t="s">
        <v>92</v>
      </c>
      <c r="C127" s="51">
        <v>1986</v>
      </c>
      <c r="D127" s="72">
        <v>150000</v>
      </c>
      <c r="E127" s="73"/>
      <c r="F127" s="73"/>
      <c r="G127" s="66"/>
      <c r="H127">
        <f t="shared" si="32"/>
      </c>
      <c r="I127">
        <f t="shared" si="32"/>
      </c>
      <c r="J127">
        <f t="shared" si="32"/>
      </c>
      <c r="K127">
        <f t="shared" si="32"/>
        <v>150000</v>
      </c>
      <c r="L127">
        <f t="shared" si="32"/>
      </c>
      <c r="M127">
        <f t="shared" si="32"/>
      </c>
      <c r="N127">
        <f t="shared" si="32"/>
      </c>
      <c r="O127">
        <f t="shared" si="32"/>
      </c>
      <c r="P127">
        <f t="shared" si="32"/>
      </c>
      <c r="Q127">
        <f t="shared" si="32"/>
      </c>
      <c r="R127" s="9">
        <f t="shared" si="39"/>
        <v>150000</v>
      </c>
      <c r="T127">
        <f t="shared" si="40"/>
      </c>
      <c r="U127">
        <f t="shared" si="33"/>
      </c>
      <c r="V127">
        <f t="shared" si="33"/>
      </c>
      <c r="W127">
        <f t="shared" si="33"/>
      </c>
      <c r="X127">
        <f t="shared" si="33"/>
      </c>
      <c r="Y127">
        <f t="shared" si="33"/>
      </c>
      <c r="Z127">
        <f t="shared" si="33"/>
      </c>
      <c r="AA127">
        <f t="shared" si="33"/>
      </c>
      <c r="AB127">
        <f t="shared" si="33"/>
      </c>
      <c r="AC127">
        <f t="shared" si="33"/>
      </c>
      <c r="AD127">
        <f t="shared" si="33"/>
      </c>
      <c r="AE127">
        <f t="shared" si="34"/>
        <v>150000</v>
      </c>
      <c r="AF127" s="9">
        <f t="shared" si="35"/>
        <v>150000</v>
      </c>
      <c r="AG127">
        <f t="shared" si="31"/>
        <v>0</v>
      </c>
      <c r="AH127">
        <f t="shared" si="31"/>
        <v>0</v>
      </c>
      <c r="AI127">
        <f t="shared" si="31"/>
        <v>1</v>
      </c>
      <c r="AJ127">
        <f t="shared" si="31"/>
        <v>0</v>
      </c>
      <c r="AK127">
        <f t="shared" si="31"/>
        <v>0</v>
      </c>
      <c r="AL127">
        <f t="shared" si="31"/>
        <v>0</v>
      </c>
      <c r="AM127">
        <f t="shared" si="31"/>
        <v>0</v>
      </c>
      <c r="AN127">
        <f t="shared" si="31"/>
        <v>0</v>
      </c>
      <c r="AO127">
        <f t="shared" si="31"/>
        <v>0</v>
      </c>
      <c r="AP127">
        <f t="shared" si="41"/>
        <v>21</v>
      </c>
      <c r="BL127" s="9">
        <f t="shared" si="36"/>
        <v>69206.43763540691</v>
      </c>
      <c r="BM127" s="9">
        <f t="shared" si="37"/>
        <v>69206.43763540691</v>
      </c>
      <c r="BN127" s="9">
        <f t="shared" si="38"/>
      </c>
      <c r="BU127" s="9"/>
      <c r="BV127" s="9"/>
      <c r="BW127" s="9"/>
      <c r="BX127" s="9"/>
    </row>
    <row r="128" spans="1:76" ht="12.75">
      <c r="A128" s="59">
        <f t="shared" si="42"/>
        <v>73</v>
      </c>
      <c r="B128" s="51" t="s">
        <v>92</v>
      </c>
      <c r="C128" s="51">
        <v>1989</v>
      </c>
      <c r="D128" s="72">
        <v>230000</v>
      </c>
      <c r="E128" s="73"/>
      <c r="F128" s="73"/>
      <c r="G128" s="66"/>
      <c r="H128">
        <f t="shared" si="32"/>
      </c>
      <c r="I128">
        <f t="shared" si="32"/>
      </c>
      <c r="J128">
        <f t="shared" si="32"/>
      </c>
      <c r="K128">
        <f t="shared" si="32"/>
        <v>230000</v>
      </c>
      <c r="L128">
        <f t="shared" si="32"/>
      </c>
      <c r="M128">
        <f t="shared" si="32"/>
      </c>
      <c r="N128">
        <f t="shared" si="32"/>
      </c>
      <c r="O128">
        <f t="shared" si="32"/>
      </c>
      <c r="P128">
        <f t="shared" si="32"/>
      </c>
      <c r="Q128">
        <f t="shared" si="32"/>
      </c>
      <c r="R128" s="9">
        <f t="shared" si="39"/>
        <v>230000</v>
      </c>
      <c r="T128">
        <f t="shared" si="40"/>
      </c>
      <c r="U128">
        <f t="shared" si="33"/>
      </c>
      <c r="V128">
        <f t="shared" si="33"/>
      </c>
      <c r="W128">
        <f t="shared" si="33"/>
      </c>
      <c r="X128">
        <f t="shared" si="33"/>
      </c>
      <c r="Y128">
        <f t="shared" si="33"/>
      </c>
      <c r="Z128">
        <f t="shared" si="33"/>
      </c>
      <c r="AA128">
        <f t="shared" si="33"/>
      </c>
      <c r="AB128">
        <f t="shared" si="33"/>
      </c>
      <c r="AC128">
        <f t="shared" si="33"/>
      </c>
      <c r="AD128">
        <f t="shared" si="33"/>
      </c>
      <c r="AE128">
        <f t="shared" si="34"/>
        <v>230000</v>
      </c>
      <c r="AF128" s="9">
        <f t="shared" si="35"/>
        <v>230000</v>
      </c>
      <c r="AG128">
        <f t="shared" si="31"/>
        <v>0</v>
      </c>
      <c r="AH128">
        <f t="shared" si="31"/>
        <v>0</v>
      </c>
      <c r="AI128">
        <f t="shared" si="31"/>
        <v>1</v>
      </c>
      <c r="AJ128">
        <f t="shared" si="31"/>
        <v>0</v>
      </c>
      <c r="AK128">
        <f t="shared" si="31"/>
        <v>0</v>
      </c>
      <c r="AL128">
        <f t="shared" si="31"/>
        <v>0</v>
      </c>
      <c r="AM128">
        <f t="shared" si="31"/>
        <v>0</v>
      </c>
      <c r="AN128">
        <f t="shared" si="31"/>
        <v>0</v>
      </c>
      <c r="AO128">
        <f t="shared" si="31"/>
        <v>0</v>
      </c>
      <c r="AP128">
        <f t="shared" si="41"/>
        <v>18</v>
      </c>
      <c r="BL128" s="9">
        <f t="shared" si="36"/>
        <v>160748.37511606305</v>
      </c>
      <c r="BM128" s="9">
        <f t="shared" si="37"/>
      </c>
      <c r="BN128" s="9">
        <f t="shared" si="38"/>
        <v>160748.37511606305</v>
      </c>
      <c r="BU128" s="9"/>
      <c r="BV128" s="9"/>
      <c r="BW128" s="9"/>
      <c r="BX128" s="9"/>
    </row>
    <row r="129" spans="1:76" ht="12.75">
      <c r="A129" s="59">
        <f t="shared" si="42"/>
        <v>74</v>
      </c>
      <c r="B129" s="51" t="s">
        <v>92</v>
      </c>
      <c r="C129" s="51">
        <v>1990</v>
      </c>
      <c r="D129" s="72">
        <v>200000</v>
      </c>
      <c r="E129" s="73"/>
      <c r="F129" s="73"/>
      <c r="G129" s="66"/>
      <c r="H129">
        <f t="shared" si="32"/>
      </c>
      <c r="I129">
        <f t="shared" si="32"/>
      </c>
      <c r="J129">
        <f t="shared" si="32"/>
      </c>
      <c r="K129">
        <f t="shared" si="32"/>
        <v>200000</v>
      </c>
      <c r="L129">
        <f t="shared" si="32"/>
      </c>
      <c r="M129">
        <f t="shared" si="32"/>
      </c>
      <c r="N129">
        <f t="shared" si="32"/>
      </c>
      <c r="O129">
        <f t="shared" si="32"/>
      </c>
      <c r="P129">
        <f t="shared" si="32"/>
      </c>
      <c r="Q129">
        <f t="shared" si="32"/>
      </c>
      <c r="R129" s="9">
        <f t="shared" si="39"/>
        <v>200000</v>
      </c>
      <c r="T129">
        <f t="shared" si="40"/>
      </c>
      <c r="U129">
        <f t="shared" si="33"/>
      </c>
      <c r="V129">
        <f t="shared" si="33"/>
      </c>
      <c r="W129">
        <f t="shared" si="33"/>
      </c>
      <c r="X129">
        <f t="shared" si="33"/>
      </c>
      <c r="Y129">
        <f t="shared" si="33"/>
      </c>
      <c r="Z129">
        <f t="shared" si="33"/>
      </c>
      <c r="AA129">
        <f t="shared" si="33"/>
      </c>
      <c r="AB129">
        <f t="shared" si="33"/>
      </c>
      <c r="AC129">
        <f t="shared" si="33"/>
      </c>
      <c r="AD129">
        <f t="shared" si="33"/>
      </c>
      <c r="AE129">
        <f t="shared" si="34"/>
        <v>200000</v>
      </c>
      <c r="AF129" s="9">
        <f t="shared" si="35"/>
        <v>200000</v>
      </c>
      <c r="AG129">
        <f t="shared" si="31"/>
        <v>0</v>
      </c>
      <c r="AH129">
        <f t="shared" si="31"/>
        <v>0</v>
      </c>
      <c r="AI129">
        <f t="shared" si="31"/>
        <v>1</v>
      </c>
      <c r="AJ129">
        <f t="shared" si="31"/>
        <v>0</v>
      </c>
      <c r="AK129">
        <f t="shared" si="31"/>
        <v>0</v>
      </c>
      <c r="AL129">
        <f t="shared" si="31"/>
        <v>0</v>
      </c>
      <c r="AM129">
        <f t="shared" si="31"/>
        <v>0</v>
      </c>
      <c r="AN129">
        <f t="shared" si="31"/>
        <v>0</v>
      </c>
      <c r="AO129">
        <f t="shared" si="31"/>
        <v>0</v>
      </c>
      <c r="AP129">
        <f t="shared" si="41"/>
        <v>17</v>
      </c>
      <c r="BL129" s="9">
        <f t="shared" si="36"/>
        <v>134595.68760961512</v>
      </c>
      <c r="BM129" s="9">
        <f t="shared" si="37"/>
      </c>
      <c r="BN129" s="9">
        <f t="shared" si="38"/>
        <v>134595.68760961512</v>
      </c>
      <c r="BU129" s="9"/>
      <c r="BV129" s="9"/>
      <c r="BW129" s="9"/>
      <c r="BX129" s="9"/>
    </row>
    <row r="130" spans="1:76" ht="12.75">
      <c r="A130" s="59">
        <f t="shared" si="42"/>
        <v>75</v>
      </c>
      <c r="B130" s="51" t="s">
        <v>92</v>
      </c>
      <c r="C130" s="51">
        <v>1990</v>
      </c>
      <c r="D130" s="72">
        <v>180000</v>
      </c>
      <c r="E130" s="73"/>
      <c r="F130" s="73"/>
      <c r="G130" s="66"/>
      <c r="H130">
        <f t="shared" si="32"/>
      </c>
      <c r="I130">
        <f t="shared" si="32"/>
      </c>
      <c r="J130">
        <f t="shared" si="32"/>
      </c>
      <c r="K130">
        <f t="shared" si="32"/>
        <v>180000</v>
      </c>
      <c r="L130">
        <f t="shared" si="32"/>
      </c>
      <c r="M130">
        <f t="shared" si="32"/>
      </c>
      <c r="N130">
        <f t="shared" si="32"/>
      </c>
      <c r="O130">
        <f t="shared" si="32"/>
      </c>
      <c r="P130">
        <f t="shared" si="32"/>
      </c>
      <c r="Q130">
        <f t="shared" si="32"/>
      </c>
      <c r="R130" s="9">
        <f t="shared" si="39"/>
        <v>180000</v>
      </c>
      <c r="T130">
        <f t="shared" si="40"/>
      </c>
      <c r="U130">
        <f t="shared" si="33"/>
      </c>
      <c r="V130">
        <f t="shared" si="33"/>
      </c>
      <c r="W130">
        <f t="shared" si="33"/>
      </c>
      <c r="X130">
        <f t="shared" si="33"/>
      </c>
      <c r="Y130">
        <f t="shared" si="33"/>
      </c>
      <c r="Z130">
        <f t="shared" si="33"/>
      </c>
      <c r="AA130">
        <f t="shared" si="33"/>
      </c>
      <c r="AB130">
        <f t="shared" si="33"/>
      </c>
      <c r="AC130">
        <f t="shared" si="33"/>
      </c>
      <c r="AD130">
        <f t="shared" si="33"/>
      </c>
      <c r="AE130">
        <f t="shared" si="34"/>
        <v>180000</v>
      </c>
      <c r="AF130" s="9">
        <f t="shared" si="35"/>
        <v>180000</v>
      </c>
      <c r="AG130">
        <f t="shared" si="31"/>
        <v>0</v>
      </c>
      <c r="AH130">
        <f t="shared" si="31"/>
        <v>0</v>
      </c>
      <c r="AI130">
        <f t="shared" si="31"/>
        <v>1</v>
      </c>
      <c r="AJ130">
        <f t="shared" si="31"/>
        <v>0</v>
      </c>
      <c r="AK130">
        <f t="shared" si="31"/>
        <v>0</v>
      </c>
      <c r="AL130">
        <f t="shared" si="31"/>
        <v>0</v>
      </c>
      <c r="AM130">
        <f t="shared" si="31"/>
        <v>0</v>
      </c>
      <c r="AN130">
        <f t="shared" si="31"/>
        <v>0</v>
      </c>
      <c r="AO130">
        <f t="shared" si="31"/>
        <v>0</v>
      </c>
      <c r="AP130">
        <f t="shared" si="41"/>
        <v>17</v>
      </c>
      <c r="BL130" s="9">
        <f t="shared" si="36"/>
        <v>114595.68760961512</v>
      </c>
      <c r="BM130" s="9">
        <f t="shared" si="37"/>
      </c>
      <c r="BN130" s="9">
        <f t="shared" si="38"/>
        <v>114595.68760961512</v>
      </c>
      <c r="BU130" s="9"/>
      <c r="BV130" s="9"/>
      <c r="BW130" s="9"/>
      <c r="BX130" s="9"/>
    </row>
    <row r="131" spans="1:76" ht="12.75">
      <c r="A131" s="59">
        <f t="shared" si="42"/>
        <v>76</v>
      </c>
      <c r="B131" s="51" t="s">
        <v>92</v>
      </c>
      <c r="C131" s="51">
        <v>1990</v>
      </c>
      <c r="D131" s="72">
        <v>250000</v>
      </c>
      <c r="E131" s="73"/>
      <c r="F131" s="73"/>
      <c r="G131" s="66"/>
      <c r="H131">
        <f t="shared" si="32"/>
      </c>
      <c r="I131">
        <f t="shared" si="32"/>
      </c>
      <c r="J131">
        <f t="shared" si="32"/>
      </c>
      <c r="K131">
        <f t="shared" si="32"/>
        <v>250000</v>
      </c>
      <c r="L131">
        <f t="shared" si="32"/>
      </c>
      <c r="M131">
        <f t="shared" si="32"/>
      </c>
      <c r="N131">
        <f t="shared" si="32"/>
      </c>
      <c r="O131">
        <f t="shared" si="32"/>
      </c>
      <c r="P131">
        <f t="shared" si="32"/>
      </c>
      <c r="Q131">
        <f t="shared" si="32"/>
      </c>
      <c r="R131" s="9">
        <f t="shared" si="39"/>
        <v>250000</v>
      </c>
      <c r="T131">
        <f t="shared" si="40"/>
      </c>
      <c r="U131">
        <f t="shared" si="33"/>
      </c>
      <c r="V131">
        <f t="shared" si="33"/>
      </c>
      <c r="W131">
        <f t="shared" si="33"/>
      </c>
      <c r="X131">
        <f t="shared" si="33"/>
      </c>
      <c r="Y131">
        <f t="shared" si="33"/>
      </c>
      <c r="Z131">
        <f t="shared" si="33"/>
      </c>
      <c r="AA131">
        <f t="shared" si="33"/>
      </c>
      <c r="AB131">
        <f t="shared" si="33"/>
      </c>
      <c r="AC131">
        <f t="shared" si="33"/>
      </c>
      <c r="AD131">
        <f t="shared" si="33"/>
      </c>
      <c r="AE131">
        <f t="shared" si="34"/>
        <v>250000</v>
      </c>
      <c r="AF131" s="9">
        <f t="shared" si="35"/>
        <v>250000</v>
      </c>
      <c r="AG131">
        <f t="shared" si="31"/>
        <v>0</v>
      </c>
      <c r="AH131">
        <f t="shared" si="31"/>
        <v>0</v>
      </c>
      <c r="AI131">
        <f t="shared" si="31"/>
        <v>1</v>
      </c>
      <c r="AJ131">
        <f t="shared" si="31"/>
        <v>0</v>
      </c>
      <c r="AK131">
        <f t="shared" si="31"/>
        <v>0</v>
      </c>
      <c r="AL131">
        <f t="shared" si="31"/>
        <v>0</v>
      </c>
      <c r="AM131">
        <f t="shared" si="31"/>
        <v>0</v>
      </c>
      <c r="AN131">
        <f t="shared" si="31"/>
        <v>0</v>
      </c>
      <c r="AO131">
        <f t="shared" si="31"/>
        <v>0</v>
      </c>
      <c r="AP131">
        <f t="shared" si="41"/>
        <v>17</v>
      </c>
      <c r="BL131" s="9">
        <f t="shared" si="36"/>
        <v>184595.68760961512</v>
      </c>
      <c r="BM131" s="9">
        <f t="shared" si="37"/>
      </c>
      <c r="BN131" s="9">
        <f t="shared" si="38"/>
        <v>184595.68760961512</v>
      </c>
      <c r="BU131" s="9"/>
      <c r="BV131" s="9"/>
      <c r="BW131" s="9"/>
      <c r="BX131" s="9"/>
    </row>
    <row r="132" spans="1:76" ht="12.75">
      <c r="A132" s="59">
        <f t="shared" si="42"/>
        <v>77</v>
      </c>
      <c r="B132" s="51" t="s">
        <v>92</v>
      </c>
      <c r="C132" s="51">
        <v>1987</v>
      </c>
      <c r="D132" s="72">
        <v>160000</v>
      </c>
      <c r="E132" s="73"/>
      <c r="F132" s="73"/>
      <c r="G132" s="66"/>
      <c r="H132">
        <f t="shared" si="32"/>
      </c>
      <c r="I132">
        <f t="shared" si="32"/>
      </c>
      <c r="J132">
        <f t="shared" si="32"/>
      </c>
      <c r="K132">
        <f t="shared" si="32"/>
        <v>160000</v>
      </c>
      <c r="L132">
        <f t="shared" si="32"/>
      </c>
      <c r="M132">
        <f t="shared" si="32"/>
      </c>
      <c r="N132">
        <f t="shared" si="32"/>
      </c>
      <c r="O132">
        <f t="shared" si="32"/>
      </c>
      <c r="P132">
        <f t="shared" si="32"/>
      </c>
      <c r="Q132">
        <f t="shared" si="32"/>
      </c>
      <c r="R132" s="9">
        <f t="shared" si="39"/>
        <v>160000</v>
      </c>
      <c r="T132">
        <f t="shared" si="40"/>
      </c>
      <c r="U132">
        <f t="shared" si="33"/>
      </c>
      <c r="V132">
        <f t="shared" si="33"/>
      </c>
      <c r="W132">
        <f t="shared" si="33"/>
      </c>
      <c r="X132">
        <f t="shared" si="33"/>
      </c>
      <c r="Y132">
        <f t="shared" si="33"/>
      </c>
      <c r="Z132">
        <f t="shared" si="33"/>
      </c>
      <c r="AA132">
        <f t="shared" si="33"/>
      </c>
      <c r="AB132">
        <f t="shared" si="33"/>
      </c>
      <c r="AC132">
        <f t="shared" si="33"/>
      </c>
      <c r="AD132">
        <f t="shared" si="33"/>
      </c>
      <c r="AE132">
        <f t="shared" si="34"/>
        <v>160000</v>
      </c>
      <c r="AF132" s="9">
        <f t="shared" si="35"/>
        <v>160000</v>
      </c>
      <c r="AG132">
        <f t="shared" si="31"/>
        <v>0</v>
      </c>
      <c r="AH132">
        <f t="shared" si="31"/>
        <v>0</v>
      </c>
      <c r="AI132">
        <f t="shared" si="31"/>
        <v>1</v>
      </c>
      <c r="AJ132">
        <f aca="true" t="shared" si="43" ref="AH132:AO160">IF($B132=AJ$55,1,0)</f>
        <v>0</v>
      </c>
      <c r="AK132">
        <f t="shared" si="43"/>
        <v>0</v>
      </c>
      <c r="AL132">
        <f t="shared" si="43"/>
        <v>0</v>
      </c>
      <c r="AM132">
        <f t="shared" si="43"/>
        <v>0</v>
      </c>
      <c r="AN132">
        <f t="shared" si="43"/>
        <v>0</v>
      </c>
      <c r="AO132">
        <f t="shared" si="43"/>
        <v>0</v>
      </c>
      <c r="AP132">
        <f t="shared" si="41"/>
        <v>20</v>
      </c>
      <c r="BL132" s="9">
        <f t="shared" si="36"/>
        <v>83053.75012895896</v>
      </c>
      <c r="BM132" s="9">
        <f t="shared" si="37"/>
        <v>83053.75012895896</v>
      </c>
      <c r="BN132" s="9">
        <f t="shared" si="38"/>
      </c>
      <c r="BU132" s="9"/>
      <c r="BV132" s="9"/>
      <c r="BW132" s="9"/>
      <c r="BX132" s="9"/>
    </row>
    <row r="133" spans="1:76" ht="12.75">
      <c r="A133" s="59">
        <f t="shared" si="42"/>
        <v>78</v>
      </c>
      <c r="B133" s="51" t="s">
        <v>92</v>
      </c>
      <c r="C133" s="51">
        <v>1989</v>
      </c>
      <c r="D133" s="72">
        <v>170000</v>
      </c>
      <c r="E133" s="73"/>
      <c r="F133" s="73"/>
      <c r="G133" s="66"/>
      <c r="H133">
        <f t="shared" si="32"/>
      </c>
      <c r="I133">
        <f t="shared" si="32"/>
      </c>
      <c r="J133">
        <f t="shared" si="32"/>
      </c>
      <c r="K133">
        <f t="shared" si="32"/>
        <v>170000</v>
      </c>
      <c r="L133">
        <f t="shared" si="32"/>
      </c>
      <c r="M133">
        <f t="shared" si="32"/>
      </c>
      <c r="N133">
        <f t="shared" si="32"/>
      </c>
      <c r="O133">
        <f t="shared" si="32"/>
      </c>
      <c r="P133">
        <f t="shared" si="32"/>
      </c>
      <c r="Q133">
        <f t="shared" si="32"/>
      </c>
      <c r="R133" s="9">
        <f t="shared" si="39"/>
        <v>170000</v>
      </c>
      <c r="T133">
        <f t="shared" si="40"/>
      </c>
      <c r="U133">
        <f t="shared" si="33"/>
      </c>
      <c r="V133">
        <f t="shared" si="33"/>
      </c>
      <c r="W133">
        <f t="shared" si="33"/>
      </c>
      <c r="X133">
        <f t="shared" si="33"/>
      </c>
      <c r="Y133">
        <f t="shared" si="33"/>
      </c>
      <c r="Z133">
        <f t="shared" si="33"/>
      </c>
      <c r="AA133">
        <f t="shared" si="33"/>
      </c>
      <c r="AB133">
        <f t="shared" si="33"/>
      </c>
      <c r="AC133">
        <f t="shared" si="33"/>
      </c>
      <c r="AD133">
        <f t="shared" si="33"/>
      </c>
      <c r="AE133">
        <f t="shared" si="34"/>
        <v>170000</v>
      </c>
      <c r="AF133" s="9">
        <f t="shared" si="35"/>
        <v>170000</v>
      </c>
      <c r="AG133">
        <f aca="true" t="shared" si="44" ref="AG133:AO186">IF($B133=AG$55,1,0)</f>
        <v>0</v>
      </c>
      <c r="AH133">
        <f t="shared" si="43"/>
        <v>0</v>
      </c>
      <c r="AI133">
        <f t="shared" si="43"/>
        <v>1</v>
      </c>
      <c r="AJ133">
        <f t="shared" si="43"/>
        <v>0</v>
      </c>
      <c r="AK133">
        <f t="shared" si="43"/>
        <v>0</v>
      </c>
      <c r="AL133">
        <f t="shared" si="43"/>
        <v>0</v>
      </c>
      <c r="AM133">
        <f t="shared" si="43"/>
        <v>0</v>
      </c>
      <c r="AN133">
        <f t="shared" si="43"/>
        <v>0</v>
      </c>
      <c r="AO133">
        <f t="shared" si="43"/>
        <v>0</v>
      </c>
      <c r="AP133">
        <f t="shared" si="41"/>
        <v>18</v>
      </c>
      <c r="BL133" s="9">
        <f t="shared" si="36"/>
        <v>100748.37511606306</v>
      </c>
      <c r="BM133" s="9">
        <f t="shared" si="37"/>
        <v>100748.37511606306</v>
      </c>
      <c r="BN133" s="9">
        <f t="shared" si="38"/>
      </c>
      <c r="BU133" s="9"/>
      <c r="BV133" s="9"/>
      <c r="BW133" s="9"/>
      <c r="BX133" s="9"/>
    </row>
    <row r="134" spans="1:76" ht="12.75">
      <c r="A134" s="59">
        <f t="shared" si="42"/>
        <v>79</v>
      </c>
      <c r="B134" s="51" t="s">
        <v>92</v>
      </c>
      <c r="C134" s="51">
        <v>1987</v>
      </c>
      <c r="D134" s="72">
        <v>170000</v>
      </c>
      <c r="E134" s="73"/>
      <c r="F134" s="73"/>
      <c r="G134" s="66"/>
      <c r="H134">
        <f t="shared" si="32"/>
      </c>
      <c r="I134">
        <f t="shared" si="32"/>
      </c>
      <c r="J134">
        <f t="shared" si="32"/>
      </c>
      <c r="K134">
        <f t="shared" si="32"/>
        <v>170000</v>
      </c>
      <c r="L134">
        <f t="shared" si="32"/>
      </c>
      <c r="M134">
        <f t="shared" si="32"/>
      </c>
      <c r="N134">
        <f t="shared" si="32"/>
      </c>
      <c r="O134">
        <f t="shared" si="32"/>
      </c>
      <c r="P134">
        <f t="shared" si="32"/>
      </c>
      <c r="Q134">
        <f t="shared" si="32"/>
      </c>
      <c r="R134" s="9">
        <f t="shared" si="39"/>
        <v>170000</v>
      </c>
      <c r="T134">
        <f t="shared" si="40"/>
      </c>
      <c r="U134">
        <f t="shared" si="33"/>
      </c>
      <c r="V134">
        <f t="shared" si="33"/>
      </c>
      <c r="W134">
        <f t="shared" si="33"/>
      </c>
      <c r="X134">
        <f t="shared" si="33"/>
      </c>
      <c r="Y134">
        <f t="shared" si="33"/>
      </c>
      <c r="Z134">
        <f t="shared" si="33"/>
      </c>
      <c r="AA134">
        <f t="shared" si="33"/>
      </c>
      <c r="AB134">
        <f t="shared" si="33"/>
      </c>
      <c r="AC134">
        <f t="shared" si="33"/>
      </c>
      <c r="AD134">
        <f t="shared" si="33"/>
      </c>
      <c r="AE134">
        <f t="shared" si="34"/>
        <v>170000</v>
      </c>
      <c r="AF134" s="9">
        <f t="shared" si="35"/>
        <v>170000</v>
      </c>
      <c r="AG134">
        <f t="shared" si="44"/>
        <v>0</v>
      </c>
      <c r="AH134">
        <f t="shared" si="43"/>
        <v>0</v>
      </c>
      <c r="AI134">
        <f t="shared" si="43"/>
        <v>1</v>
      </c>
      <c r="AJ134">
        <f t="shared" si="43"/>
        <v>0</v>
      </c>
      <c r="AK134">
        <f t="shared" si="43"/>
        <v>0</v>
      </c>
      <c r="AL134">
        <f t="shared" si="43"/>
        <v>0</v>
      </c>
      <c r="AM134">
        <f t="shared" si="43"/>
        <v>0</v>
      </c>
      <c r="AN134">
        <f t="shared" si="43"/>
        <v>0</v>
      </c>
      <c r="AO134">
        <f t="shared" si="43"/>
        <v>0</v>
      </c>
      <c r="AP134">
        <f t="shared" si="41"/>
        <v>20</v>
      </c>
      <c r="BL134" s="9">
        <f t="shared" si="36"/>
        <v>93053.75012895896</v>
      </c>
      <c r="BM134" s="9">
        <f t="shared" si="37"/>
        <v>93053.75012895896</v>
      </c>
      <c r="BN134" s="9">
        <f t="shared" si="38"/>
      </c>
      <c r="BU134" s="9"/>
      <c r="BV134" s="9"/>
      <c r="BW134" s="9"/>
      <c r="BX134" s="9"/>
    </row>
    <row r="135" spans="1:76" ht="12.75">
      <c r="A135" s="59">
        <f t="shared" si="42"/>
        <v>80</v>
      </c>
      <c r="B135" s="51" t="s">
        <v>92</v>
      </c>
      <c r="C135" s="51">
        <v>1980</v>
      </c>
      <c r="D135" s="72">
        <v>120000</v>
      </c>
      <c r="E135" s="73"/>
      <c r="F135" s="73"/>
      <c r="G135" s="66"/>
      <c r="H135">
        <f t="shared" si="32"/>
      </c>
      <c r="I135">
        <f t="shared" si="32"/>
      </c>
      <c r="J135">
        <f t="shared" si="32"/>
      </c>
      <c r="K135">
        <f t="shared" si="32"/>
        <v>120000</v>
      </c>
      <c r="L135">
        <f t="shared" si="32"/>
      </c>
      <c r="M135">
        <f t="shared" si="32"/>
      </c>
      <c r="N135">
        <f t="shared" si="32"/>
      </c>
      <c r="O135">
        <f t="shared" si="32"/>
      </c>
      <c r="P135">
        <f t="shared" si="32"/>
      </c>
      <c r="Q135">
        <f t="shared" si="32"/>
      </c>
      <c r="R135" s="9">
        <f t="shared" si="39"/>
        <v>120000</v>
      </c>
      <c r="T135">
        <f t="shared" si="40"/>
      </c>
      <c r="U135">
        <f t="shared" si="33"/>
      </c>
      <c r="V135">
        <f t="shared" si="33"/>
      </c>
      <c r="W135">
        <f t="shared" si="33"/>
      </c>
      <c r="X135">
        <f t="shared" si="33"/>
      </c>
      <c r="Y135">
        <f t="shared" si="33"/>
      </c>
      <c r="Z135">
        <f t="shared" si="33"/>
      </c>
      <c r="AA135">
        <f t="shared" si="33"/>
      </c>
      <c r="AB135">
        <f t="shared" si="33"/>
      </c>
      <c r="AC135">
        <f t="shared" si="33"/>
      </c>
      <c r="AD135">
        <f t="shared" si="33"/>
      </c>
      <c r="AE135">
        <f t="shared" si="34"/>
        <v>120000</v>
      </c>
      <c r="AF135" s="9">
        <f t="shared" si="35"/>
        <v>120000</v>
      </c>
      <c r="AG135">
        <f t="shared" si="44"/>
        <v>0</v>
      </c>
      <c r="AH135">
        <f t="shared" si="43"/>
        <v>0</v>
      </c>
      <c r="AI135">
        <f t="shared" si="43"/>
        <v>1</v>
      </c>
      <c r="AJ135">
        <f t="shared" si="43"/>
        <v>0</v>
      </c>
      <c r="AK135">
        <f t="shared" si="43"/>
        <v>0</v>
      </c>
      <c r="AL135">
        <f t="shared" si="43"/>
        <v>0</v>
      </c>
      <c r="AM135">
        <f t="shared" si="43"/>
        <v>0</v>
      </c>
      <c r="AN135">
        <f t="shared" si="43"/>
        <v>0</v>
      </c>
      <c r="AO135">
        <f t="shared" si="43"/>
        <v>0</v>
      </c>
      <c r="AP135">
        <f t="shared" si="41"/>
        <v>27</v>
      </c>
      <c r="BL135" s="9">
        <f t="shared" si="36"/>
        <v>16122.562674094603</v>
      </c>
      <c r="BM135" s="9">
        <f t="shared" si="37"/>
        <v>16122.562674094603</v>
      </c>
      <c r="BN135" s="9">
        <f t="shared" si="38"/>
      </c>
      <c r="BU135" s="9"/>
      <c r="BV135" s="9"/>
      <c r="BW135" s="9"/>
      <c r="BX135" s="9"/>
    </row>
    <row r="136" spans="1:76" ht="12.75">
      <c r="A136" s="59">
        <f t="shared" si="42"/>
        <v>81</v>
      </c>
      <c r="B136" s="51" t="s">
        <v>92</v>
      </c>
      <c r="C136" s="51">
        <v>1980</v>
      </c>
      <c r="D136" s="72">
        <v>120000</v>
      </c>
      <c r="E136" s="73"/>
      <c r="F136" s="73"/>
      <c r="G136" s="66"/>
      <c r="H136">
        <f aca="true" t="shared" si="45" ref="H136:Q151">IF($B136=H$55,$D136,"")</f>
      </c>
      <c r="I136">
        <f t="shared" si="45"/>
      </c>
      <c r="J136">
        <f t="shared" si="45"/>
      </c>
      <c r="K136">
        <f t="shared" si="45"/>
        <v>120000</v>
      </c>
      <c r="L136">
        <f t="shared" si="45"/>
      </c>
      <c r="M136">
        <f t="shared" si="45"/>
      </c>
      <c r="N136">
        <f t="shared" si="45"/>
      </c>
      <c r="O136">
        <f t="shared" si="45"/>
      </c>
      <c r="P136">
        <f t="shared" si="45"/>
      </c>
      <c r="Q136">
        <f t="shared" si="45"/>
      </c>
      <c r="R136" s="9">
        <f t="shared" si="39"/>
        <v>120000</v>
      </c>
      <c r="T136">
        <f t="shared" si="40"/>
      </c>
      <c r="U136">
        <f aca="true" t="shared" si="46" ref="U136:AD151">IF($C136=U$55,$D136,"")</f>
      </c>
      <c r="V136">
        <f t="shared" si="46"/>
      </c>
      <c r="W136">
        <f t="shared" si="46"/>
      </c>
      <c r="X136">
        <f t="shared" si="46"/>
      </c>
      <c r="Y136">
        <f t="shared" si="46"/>
      </c>
      <c r="Z136">
        <f t="shared" si="46"/>
      </c>
      <c r="AA136">
        <f t="shared" si="46"/>
      </c>
      <c r="AB136">
        <f t="shared" si="46"/>
      </c>
      <c r="AC136">
        <f t="shared" si="46"/>
      </c>
      <c r="AD136">
        <f t="shared" si="46"/>
      </c>
      <c r="AE136">
        <f t="shared" si="34"/>
        <v>120000</v>
      </c>
      <c r="AF136" s="9">
        <f t="shared" si="35"/>
        <v>120000</v>
      </c>
      <c r="AG136">
        <f t="shared" si="44"/>
        <v>0</v>
      </c>
      <c r="AH136">
        <f t="shared" si="43"/>
        <v>0</v>
      </c>
      <c r="AI136">
        <f t="shared" si="43"/>
        <v>1</v>
      </c>
      <c r="AJ136">
        <f t="shared" si="43"/>
        <v>0</v>
      </c>
      <c r="AK136">
        <f t="shared" si="43"/>
        <v>0</v>
      </c>
      <c r="AL136">
        <f t="shared" si="43"/>
        <v>0</v>
      </c>
      <c r="AM136">
        <f t="shared" si="43"/>
        <v>0</v>
      </c>
      <c r="AN136">
        <f t="shared" si="43"/>
        <v>0</v>
      </c>
      <c r="AO136">
        <f t="shared" si="43"/>
        <v>0</v>
      </c>
      <c r="AP136">
        <f t="shared" si="41"/>
        <v>27</v>
      </c>
      <c r="BL136" s="9">
        <f t="shared" si="36"/>
        <v>16122.562674094603</v>
      </c>
      <c r="BM136" s="9">
        <f t="shared" si="37"/>
        <v>16122.562674094603</v>
      </c>
      <c r="BN136" s="9">
        <f t="shared" si="38"/>
      </c>
      <c r="BU136" s="9"/>
      <c r="BV136" s="9"/>
      <c r="BW136" s="9"/>
      <c r="BX136" s="9"/>
    </row>
    <row r="137" spans="1:76" ht="12.75">
      <c r="A137" s="59">
        <f t="shared" si="42"/>
        <v>82</v>
      </c>
      <c r="B137" s="51" t="s">
        <v>92</v>
      </c>
      <c r="C137" s="51">
        <v>1988</v>
      </c>
      <c r="D137" s="72">
        <v>160000</v>
      </c>
      <c r="E137" s="73"/>
      <c r="F137" s="73"/>
      <c r="G137" s="66"/>
      <c r="H137">
        <f t="shared" si="45"/>
      </c>
      <c r="I137">
        <f t="shared" si="45"/>
      </c>
      <c r="J137">
        <f t="shared" si="45"/>
      </c>
      <c r="K137">
        <f t="shared" si="45"/>
        <v>160000</v>
      </c>
      <c r="L137">
        <f t="shared" si="45"/>
      </c>
      <c r="M137">
        <f t="shared" si="45"/>
      </c>
      <c r="N137">
        <f t="shared" si="45"/>
      </c>
      <c r="O137">
        <f t="shared" si="45"/>
      </c>
      <c r="P137">
        <f t="shared" si="45"/>
      </c>
      <c r="Q137">
        <f t="shared" si="45"/>
      </c>
      <c r="R137" s="9">
        <f t="shared" si="39"/>
        <v>160000</v>
      </c>
      <c r="T137">
        <f t="shared" si="40"/>
      </c>
      <c r="U137">
        <f t="shared" si="46"/>
      </c>
      <c r="V137">
        <f t="shared" si="46"/>
      </c>
      <c r="W137">
        <f t="shared" si="46"/>
      </c>
      <c r="X137">
        <f t="shared" si="46"/>
      </c>
      <c r="Y137">
        <f t="shared" si="46"/>
      </c>
      <c r="Z137">
        <f t="shared" si="46"/>
      </c>
      <c r="AA137">
        <f t="shared" si="46"/>
      </c>
      <c r="AB137">
        <f t="shared" si="46"/>
      </c>
      <c r="AC137">
        <f t="shared" si="46"/>
      </c>
      <c r="AD137">
        <f t="shared" si="46"/>
      </c>
      <c r="AE137">
        <f t="shared" si="34"/>
        <v>160000</v>
      </c>
      <c r="AF137" s="9">
        <f t="shared" si="35"/>
        <v>160000</v>
      </c>
      <c r="AG137">
        <f t="shared" si="44"/>
        <v>0</v>
      </c>
      <c r="AH137">
        <f t="shared" si="43"/>
        <v>0</v>
      </c>
      <c r="AI137">
        <f t="shared" si="43"/>
        <v>1</v>
      </c>
      <c r="AJ137">
        <f t="shared" si="43"/>
        <v>0</v>
      </c>
      <c r="AK137">
        <f t="shared" si="43"/>
        <v>0</v>
      </c>
      <c r="AL137">
        <f t="shared" si="43"/>
        <v>0</v>
      </c>
      <c r="AM137">
        <f t="shared" si="43"/>
        <v>0</v>
      </c>
      <c r="AN137">
        <f t="shared" si="43"/>
        <v>0</v>
      </c>
      <c r="AO137">
        <f t="shared" si="43"/>
        <v>0</v>
      </c>
      <c r="AP137">
        <f t="shared" si="41"/>
        <v>19</v>
      </c>
      <c r="BL137" s="9">
        <f t="shared" si="36"/>
        <v>86901.06262251102</v>
      </c>
      <c r="BM137" s="9">
        <f t="shared" si="37"/>
        <v>86901.06262251102</v>
      </c>
      <c r="BN137" s="9">
        <f t="shared" si="38"/>
      </c>
      <c r="BU137" s="9"/>
      <c r="BV137" s="9"/>
      <c r="BW137" s="9"/>
      <c r="BX137" s="9"/>
    </row>
    <row r="138" spans="1:76" ht="12.75">
      <c r="A138" s="59">
        <f t="shared" si="42"/>
        <v>83</v>
      </c>
      <c r="B138" s="52" t="s">
        <v>91</v>
      </c>
      <c r="C138" s="52">
        <v>2006</v>
      </c>
      <c r="D138" s="76">
        <v>80000</v>
      </c>
      <c r="E138" s="77" t="s">
        <v>102</v>
      </c>
      <c r="F138" s="78">
        <v>0.6</v>
      </c>
      <c r="G138" s="75"/>
      <c r="H138">
        <f t="shared" si="45"/>
      </c>
      <c r="I138">
        <f t="shared" si="45"/>
      </c>
      <c r="J138">
        <f t="shared" si="45"/>
      </c>
      <c r="K138">
        <f t="shared" si="45"/>
      </c>
      <c r="L138">
        <f t="shared" si="45"/>
        <v>80000</v>
      </c>
      <c r="M138">
        <f t="shared" si="45"/>
      </c>
      <c r="N138">
        <f t="shared" si="45"/>
      </c>
      <c r="O138">
        <f t="shared" si="45"/>
      </c>
      <c r="P138">
        <f t="shared" si="45"/>
      </c>
      <c r="Q138">
        <f t="shared" si="45"/>
      </c>
      <c r="R138" s="9">
        <f t="shared" si="39"/>
        <v>80000</v>
      </c>
      <c r="T138">
        <f t="shared" si="40"/>
      </c>
      <c r="U138">
        <f t="shared" si="46"/>
        <v>80000</v>
      </c>
      <c r="V138">
        <f t="shared" si="46"/>
      </c>
      <c r="W138">
        <f t="shared" si="46"/>
      </c>
      <c r="X138">
        <f t="shared" si="46"/>
      </c>
      <c r="Y138">
        <f t="shared" si="46"/>
      </c>
      <c r="Z138">
        <f t="shared" si="46"/>
      </c>
      <c r="AA138">
        <f t="shared" si="46"/>
      </c>
      <c r="AB138">
        <f t="shared" si="46"/>
      </c>
      <c r="AC138">
        <f t="shared" si="46"/>
      </c>
      <c r="AD138">
        <f t="shared" si="46"/>
      </c>
      <c r="AE138">
        <f t="shared" si="34"/>
      </c>
      <c r="AF138" s="9">
        <f t="shared" si="35"/>
        <v>80000</v>
      </c>
      <c r="AG138">
        <f t="shared" si="44"/>
        <v>0</v>
      </c>
      <c r="AH138">
        <f t="shared" si="43"/>
        <v>0</v>
      </c>
      <c r="AI138">
        <f t="shared" si="43"/>
        <v>0</v>
      </c>
      <c r="AJ138">
        <f t="shared" si="43"/>
        <v>1</v>
      </c>
      <c r="AK138">
        <f t="shared" si="43"/>
        <v>0</v>
      </c>
      <c r="AL138">
        <f t="shared" si="43"/>
        <v>0</v>
      </c>
      <c r="AM138">
        <f t="shared" si="43"/>
        <v>0</v>
      </c>
      <c r="AN138">
        <f t="shared" si="43"/>
        <v>0</v>
      </c>
      <c r="AO138">
        <f t="shared" si="43"/>
        <v>0</v>
      </c>
      <c r="AP138">
        <f t="shared" si="41"/>
        <v>1</v>
      </c>
      <c r="BL138" s="9">
        <f t="shared" si="36"/>
        <v>76152.68750644795</v>
      </c>
      <c r="BM138" s="9">
        <f t="shared" si="37"/>
        <v>76152.68750644795</v>
      </c>
      <c r="BN138" s="9">
        <f t="shared" si="38"/>
      </c>
      <c r="BU138" s="9"/>
      <c r="BV138" s="9"/>
      <c r="BW138" s="9"/>
      <c r="BX138" s="9"/>
    </row>
    <row r="139" spans="1:76" ht="12.75">
      <c r="A139" s="59">
        <f t="shared" si="42"/>
        <v>84</v>
      </c>
      <c r="B139" s="52" t="s">
        <v>91</v>
      </c>
      <c r="C139" s="52">
        <v>2006</v>
      </c>
      <c r="D139" s="76">
        <v>75000</v>
      </c>
      <c r="E139" s="79"/>
      <c r="F139" s="79"/>
      <c r="G139" s="66"/>
      <c r="H139">
        <f t="shared" si="45"/>
      </c>
      <c r="I139">
        <f t="shared" si="45"/>
      </c>
      <c r="J139">
        <f t="shared" si="45"/>
      </c>
      <c r="K139">
        <f t="shared" si="45"/>
      </c>
      <c r="L139">
        <f t="shared" si="45"/>
        <v>75000</v>
      </c>
      <c r="M139">
        <f t="shared" si="45"/>
      </c>
      <c r="N139">
        <f t="shared" si="45"/>
      </c>
      <c r="O139">
        <f t="shared" si="45"/>
      </c>
      <c r="P139">
        <f t="shared" si="45"/>
      </c>
      <c r="Q139">
        <f t="shared" si="45"/>
      </c>
      <c r="R139" s="9">
        <f t="shared" si="39"/>
        <v>75000</v>
      </c>
      <c r="T139">
        <f t="shared" si="40"/>
      </c>
      <c r="U139">
        <f t="shared" si="46"/>
        <v>75000</v>
      </c>
      <c r="V139">
        <f t="shared" si="46"/>
      </c>
      <c r="W139">
        <f t="shared" si="46"/>
      </c>
      <c r="X139">
        <f t="shared" si="46"/>
      </c>
      <c r="Y139">
        <f t="shared" si="46"/>
      </c>
      <c r="Z139">
        <f t="shared" si="46"/>
      </c>
      <c r="AA139">
        <f t="shared" si="46"/>
      </c>
      <c r="AB139">
        <f t="shared" si="46"/>
      </c>
      <c r="AC139">
        <f t="shared" si="46"/>
      </c>
      <c r="AD139">
        <f t="shared" si="46"/>
      </c>
      <c r="AE139">
        <f t="shared" si="34"/>
      </c>
      <c r="AF139" s="9">
        <f t="shared" si="35"/>
        <v>75000</v>
      </c>
      <c r="AG139">
        <f t="shared" si="44"/>
        <v>0</v>
      </c>
      <c r="AH139">
        <f t="shared" si="43"/>
        <v>0</v>
      </c>
      <c r="AI139">
        <f t="shared" si="43"/>
        <v>0</v>
      </c>
      <c r="AJ139">
        <f t="shared" si="43"/>
        <v>1</v>
      </c>
      <c r="AK139">
        <f t="shared" si="43"/>
        <v>0</v>
      </c>
      <c r="AL139">
        <f t="shared" si="43"/>
        <v>0</v>
      </c>
      <c r="AM139">
        <f t="shared" si="43"/>
        <v>0</v>
      </c>
      <c r="AN139">
        <f t="shared" si="43"/>
        <v>0</v>
      </c>
      <c r="AO139">
        <f t="shared" si="43"/>
        <v>0</v>
      </c>
      <c r="AP139">
        <f t="shared" si="41"/>
        <v>1</v>
      </c>
      <c r="BL139" s="9">
        <f t="shared" si="36"/>
        <v>71152.68750644795</v>
      </c>
      <c r="BM139" s="9">
        <f t="shared" si="37"/>
        <v>71152.68750644795</v>
      </c>
      <c r="BN139" s="9">
        <f t="shared" si="38"/>
      </c>
      <c r="BU139" s="9"/>
      <c r="BV139" s="9"/>
      <c r="BW139" s="9"/>
      <c r="BX139" s="9"/>
    </row>
    <row r="140" spans="1:76" ht="12.75">
      <c r="A140" s="59">
        <f t="shared" si="42"/>
        <v>85</v>
      </c>
      <c r="B140" s="52" t="s">
        <v>91</v>
      </c>
      <c r="C140" s="52">
        <v>2006</v>
      </c>
      <c r="D140" s="76">
        <v>200000</v>
      </c>
      <c r="E140" s="79"/>
      <c r="F140" s="79"/>
      <c r="G140" s="66"/>
      <c r="H140">
        <f t="shared" si="45"/>
      </c>
      <c r="I140">
        <f t="shared" si="45"/>
      </c>
      <c r="J140">
        <f t="shared" si="45"/>
      </c>
      <c r="K140">
        <f t="shared" si="45"/>
      </c>
      <c r="L140">
        <f t="shared" si="45"/>
        <v>200000</v>
      </c>
      <c r="M140">
        <f t="shared" si="45"/>
      </c>
      <c r="N140">
        <f t="shared" si="45"/>
      </c>
      <c r="O140">
        <f t="shared" si="45"/>
      </c>
      <c r="P140">
        <f t="shared" si="45"/>
      </c>
      <c r="Q140">
        <f t="shared" si="45"/>
      </c>
      <c r="R140" s="9">
        <f t="shared" si="39"/>
        <v>200000</v>
      </c>
      <c r="T140">
        <f t="shared" si="40"/>
      </c>
      <c r="U140">
        <f t="shared" si="46"/>
        <v>200000</v>
      </c>
      <c r="V140">
        <f t="shared" si="46"/>
      </c>
      <c r="W140">
        <f t="shared" si="46"/>
      </c>
      <c r="X140">
        <f t="shared" si="46"/>
      </c>
      <c r="Y140">
        <f t="shared" si="46"/>
      </c>
      <c r="Z140">
        <f t="shared" si="46"/>
      </c>
      <c r="AA140">
        <f t="shared" si="46"/>
      </c>
      <c r="AB140">
        <f t="shared" si="46"/>
      </c>
      <c r="AC140">
        <f t="shared" si="46"/>
      </c>
      <c r="AD140">
        <f t="shared" si="46"/>
      </c>
      <c r="AE140">
        <f t="shared" si="34"/>
      </c>
      <c r="AF140" s="9">
        <f t="shared" si="35"/>
        <v>200000</v>
      </c>
      <c r="AG140">
        <f t="shared" si="44"/>
        <v>0</v>
      </c>
      <c r="AH140">
        <f t="shared" si="43"/>
        <v>0</v>
      </c>
      <c r="AI140">
        <f t="shared" si="43"/>
        <v>0</v>
      </c>
      <c r="AJ140">
        <f t="shared" si="43"/>
        <v>1</v>
      </c>
      <c r="AK140">
        <f t="shared" si="43"/>
        <v>0</v>
      </c>
      <c r="AL140">
        <f t="shared" si="43"/>
        <v>0</v>
      </c>
      <c r="AM140">
        <f t="shared" si="43"/>
        <v>0</v>
      </c>
      <c r="AN140">
        <f t="shared" si="43"/>
        <v>0</v>
      </c>
      <c r="AO140">
        <f t="shared" si="43"/>
        <v>0</v>
      </c>
      <c r="AP140">
        <f t="shared" si="41"/>
        <v>1</v>
      </c>
      <c r="BL140" s="9">
        <f t="shared" si="36"/>
        <v>196152.68750644795</v>
      </c>
      <c r="BM140" s="9">
        <f t="shared" si="37"/>
      </c>
      <c r="BN140" s="9">
        <f t="shared" si="38"/>
        <v>196152.68750644795</v>
      </c>
      <c r="BU140" s="9"/>
      <c r="BV140" s="9"/>
      <c r="BW140" s="9"/>
      <c r="BX140" s="9"/>
    </row>
    <row r="141" spans="1:76" ht="12.75">
      <c r="A141" s="59">
        <f t="shared" si="42"/>
        <v>86</v>
      </c>
      <c r="B141" s="52" t="s">
        <v>91</v>
      </c>
      <c r="C141" s="52">
        <v>2006</v>
      </c>
      <c r="D141" s="76">
        <v>110000</v>
      </c>
      <c r="E141" s="79"/>
      <c r="F141" s="79"/>
      <c r="G141" s="66"/>
      <c r="H141">
        <f t="shared" si="45"/>
      </c>
      <c r="I141">
        <f t="shared" si="45"/>
      </c>
      <c r="J141">
        <f t="shared" si="45"/>
      </c>
      <c r="K141">
        <f t="shared" si="45"/>
      </c>
      <c r="L141">
        <f t="shared" si="45"/>
        <v>110000</v>
      </c>
      <c r="M141">
        <f t="shared" si="45"/>
      </c>
      <c r="N141">
        <f t="shared" si="45"/>
      </c>
      <c r="O141">
        <f t="shared" si="45"/>
      </c>
      <c r="P141">
        <f t="shared" si="45"/>
      </c>
      <c r="Q141">
        <f t="shared" si="45"/>
      </c>
      <c r="R141" s="9">
        <f t="shared" si="39"/>
        <v>110000</v>
      </c>
      <c r="T141">
        <f t="shared" si="40"/>
      </c>
      <c r="U141">
        <f t="shared" si="46"/>
        <v>110000</v>
      </c>
      <c r="V141">
        <f t="shared" si="46"/>
      </c>
      <c r="W141">
        <f t="shared" si="46"/>
      </c>
      <c r="X141">
        <f t="shared" si="46"/>
      </c>
      <c r="Y141">
        <f t="shared" si="46"/>
      </c>
      <c r="Z141">
        <f t="shared" si="46"/>
      </c>
      <c r="AA141">
        <f t="shared" si="46"/>
      </c>
      <c r="AB141">
        <f t="shared" si="46"/>
      </c>
      <c r="AC141">
        <f t="shared" si="46"/>
      </c>
      <c r="AD141">
        <f t="shared" si="46"/>
      </c>
      <c r="AE141">
        <f t="shared" si="34"/>
      </c>
      <c r="AF141" s="9">
        <f t="shared" si="35"/>
        <v>110000</v>
      </c>
      <c r="AG141">
        <f t="shared" si="44"/>
        <v>0</v>
      </c>
      <c r="AH141">
        <f t="shared" si="43"/>
        <v>0</v>
      </c>
      <c r="AI141">
        <f t="shared" si="43"/>
        <v>0</v>
      </c>
      <c r="AJ141">
        <f t="shared" si="43"/>
        <v>1</v>
      </c>
      <c r="AK141">
        <f t="shared" si="43"/>
        <v>0</v>
      </c>
      <c r="AL141">
        <f t="shared" si="43"/>
        <v>0</v>
      </c>
      <c r="AM141">
        <f t="shared" si="43"/>
        <v>0</v>
      </c>
      <c r="AN141">
        <f t="shared" si="43"/>
        <v>0</v>
      </c>
      <c r="AO141">
        <f t="shared" si="43"/>
        <v>0</v>
      </c>
      <c r="AP141">
        <f t="shared" si="41"/>
        <v>1</v>
      </c>
      <c r="BL141" s="9">
        <f t="shared" si="36"/>
        <v>106152.68750644795</v>
      </c>
      <c r="BM141" s="9">
        <f t="shared" si="37"/>
      </c>
      <c r="BN141" s="9">
        <f t="shared" si="38"/>
        <v>106152.68750644795</v>
      </c>
      <c r="BU141" s="9"/>
      <c r="BV141" s="9"/>
      <c r="BW141" s="9"/>
      <c r="BX141" s="9"/>
    </row>
    <row r="142" spans="1:76" ht="12.75">
      <c r="A142" s="59">
        <f t="shared" si="42"/>
        <v>87</v>
      </c>
      <c r="B142" s="52" t="s">
        <v>91</v>
      </c>
      <c r="C142" s="52">
        <v>2006</v>
      </c>
      <c r="D142" s="76">
        <v>160000</v>
      </c>
      <c r="E142" s="79"/>
      <c r="F142" s="79"/>
      <c r="G142" s="66"/>
      <c r="H142">
        <f t="shared" si="45"/>
      </c>
      <c r="I142">
        <f t="shared" si="45"/>
      </c>
      <c r="J142">
        <f t="shared" si="45"/>
      </c>
      <c r="K142">
        <f t="shared" si="45"/>
      </c>
      <c r="L142">
        <f t="shared" si="45"/>
        <v>160000</v>
      </c>
      <c r="M142">
        <f t="shared" si="45"/>
      </c>
      <c r="N142">
        <f t="shared" si="45"/>
      </c>
      <c r="O142">
        <f t="shared" si="45"/>
      </c>
      <c r="P142">
        <f t="shared" si="45"/>
      </c>
      <c r="Q142">
        <f t="shared" si="45"/>
      </c>
      <c r="R142" s="9">
        <f t="shared" si="39"/>
        <v>160000</v>
      </c>
      <c r="T142">
        <f t="shared" si="40"/>
      </c>
      <c r="U142">
        <f t="shared" si="46"/>
        <v>160000</v>
      </c>
      <c r="V142">
        <f t="shared" si="46"/>
      </c>
      <c r="W142">
        <f t="shared" si="46"/>
      </c>
      <c r="X142">
        <f t="shared" si="46"/>
      </c>
      <c r="Y142">
        <f t="shared" si="46"/>
      </c>
      <c r="Z142">
        <f t="shared" si="46"/>
      </c>
      <c r="AA142">
        <f t="shared" si="46"/>
      </c>
      <c r="AB142">
        <f t="shared" si="46"/>
      </c>
      <c r="AC142">
        <f t="shared" si="46"/>
      </c>
      <c r="AD142">
        <f t="shared" si="46"/>
      </c>
      <c r="AE142">
        <f t="shared" si="34"/>
      </c>
      <c r="AF142" s="9">
        <f t="shared" si="35"/>
        <v>160000</v>
      </c>
      <c r="AG142">
        <f t="shared" si="44"/>
        <v>0</v>
      </c>
      <c r="AH142">
        <f t="shared" si="43"/>
        <v>0</v>
      </c>
      <c r="AI142">
        <f t="shared" si="43"/>
        <v>0</v>
      </c>
      <c r="AJ142">
        <f t="shared" si="43"/>
        <v>1</v>
      </c>
      <c r="AK142">
        <f t="shared" si="43"/>
        <v>0</v>
      </c>
      <c r="AL142">
        <f t="shared" si="43"/>
        <v>0</v>
      </c>
      <c r="AM142">
        <f t="shared" si="43"/>
        <v>0</v>
      </c>
      <c r="AN142">
        <f t="shared" si="43"/>
        <v>0</v>
      </c>
      <c r="AO142">
        <f t="shared" si="43"/>
        <v>0</v>
      </c>
      <c r="AP142">
        <f t="shared" si="41"/>
        <v>1</v>
      </c>
      <c r="BL142" s="9">
        <f t="shared" si="36"/>
        <v>156152.68750644795</v>
      </c>
      <c r="BM142" s="9">
        <f t="shared" si="37"/>
      </c>
      <c r="BN142" s="9">
        <f t="shared" si="38"/>
        <v>156152.68750644795</v>
      </c>
      <c r="BU142" s="9"/>
      <c r="BV142" s="9"/>
      <c r="BW142" s="9"/>
      <c r="BX142" s="9"/>
    </row>
    <row r="143" spans="1:76" ht="12.75">
      <c r="A143" s="59">
        <f t="shared" si="42"/>
        <v>88</v>
      </c>
      <c r="B143" s="52" t="s">
        <v>91</v>
      </c>
      <c r="C143" s="52">
        <v>2006</v>
      </c>
      <c r="D143" s="76">
        <v>200000</v>
      </c>
      <c r="E143" s="79"/>
      <c r="F143" s="79"/>
      <c r="G143" s="66"/>
      <c r="H143">
        <f t="shared" si="45"/>
      </c>
      <c r="I143">
        <f t="shared" si="45"/>
      </c>
      <c r="J143">
        <f t="shared" si="45"/>
      </c>
      <c r="K143">
        <f t="shared" si="45"/>
      </c>
      <c r="L143">
        <f t="shared" si="45"/>
        <v>200000</v>
      </c>
      <c r="M143">
        <f t="shared" si="45"/>
      </c>
      <c r="N143">
        <f t="shared" si="45"/>
      </c>
      <c r="O143">
        <f t="shared" si="45"/>
      </c>
      <c r="P143">
        <f t="shared" si="45"/>
      </c>
      <c r="Q143">
        <f t="shared" si="45"/>
      </c>
      <c r="R143" s="9">
        <f t="shared" si="39"/>
        <v>200000</v>
      </c>
      <c r="T143">
        <f t="shared" si="40"/>
      </c>
      <c r="U143">
        <f t="shared" si="46"/>
        <v>200000</v>
      </c>
      <c r="V143">
        <f t="shared" si="46"/>
      </c>
      <c r="W143">
        <f t="shared" si="46"/>
      </c>
      <c r="X143">
        <f t="shared" si="46"/>
      </c>
      <c r="Y143">
        <f t="shared" si="46"/>
      </c>
      <c r="Z143">
        <f t="shared" si="46"/>
      </c>
      <c r="AA143">
        <f t="shared" si="46"/>
      </c>
      <c r="AB143">
        <f t="shared" si="46"/>
      </c>
      <c r="AC143">
        <f t="shared" si="46"/>
      </c>
      <c r="AD143">
        <f t="shared" si="46"/>
      </c>
      <c r="AE143">
        <f t="shared" si="34"/>
      </c>
      <c r="AF143" s="9">
        <f t="shared" si="35"/>
        <v>200000</v>
      </c>
      <c r="AG143">
        <f t="shared" si="44"/>
        <v>0</v>
      </c>
      <c r="AH143">
        <f t="shared" si="43"/>
        <v>0</v>
      </c>
      <c r="AI143">
        <f t="shared" si="43"/>
        <v>0</v>
      </c>
      <c r="AJ143">
        <f t="shared" si="43"/>
        <v>1</v>
      </c>
      <c r="AK143">
        <f t="shared" si="43"/>
        <v>0</v>
      </c>
      <c r="AL143">
        <f t="shared" si="43"/>
        <v>0</v>
      </c>
      <c r="AM143">
        <f t="shared" si="43"/>
        <v>0</v>
      </c>
      <c r="AN143">
        <f t="shared" si="43"/>
        <v>0</v>
      </c>
      <c r="AO143">
        <f t="shared" si="43"/>
        <v>0</v>
      </c>
      <c r="AP143">
        <f t="shared" si="41"/>
        <v>1</v>
      </c>
      <c r="BL143" s="9">
        <f t="shared" si="36"/>
        <v>196152.68750644795</v>
      </c>
      <c r="BM143" s="9">
        <f t="shared" si="37"/>
      </c>
      <c r="BN143" s="9">
        <f t="shared" si="38"/>
        <v>196152.68750644795</v>
      </c>
      <c r="BU143" s="9"/>
      <c r="BV143" s="9"/>
      <c r="BW143" s="9"/>
      <c r="BX143" s="9"/>
    </row>
    <row r="144" spans="1:76" ht="12.75">
      <c r="A144" s="59">
        <f t="shared" si="42"/>
        <v>89</v>
      </c>
      <c r="B144" s="52" t="s">
        <v>91</v>
      </c>
      <c r="C144" s="52">
        <v>2006</v>
      </c>
      <c r="D144" s="76">
        <v>210000</v>
      </c>
      <c r="E144" s="79"/>
      <c r="F144" s="79"/>
      <c r="G144" s="66"/>
      <c r="H144">
        <f t="shared" si="45"/>
      </c>
      <c r="I144">
        <f t="shared" si="45"/>
      </c>
      <c r="J144">
        <f t="shared" si="45"/>
      </c>
      <c r="K144">
        <f t="shared" si="45"/>
      </c>
      <c r="L144">
        <f t="shared" si="45"/>
        <v>210000</v>
      </c>
      <c r="M144">
        <f t="shared" si="45"/>
      </c>
      <c r="N144">
        <f t="shared" si="45"/>
      </c>
      <c r="O144">
        <f t="shared" si="45"/>
      </c>
      <c r="P144">
        <f t="shared" si="45"/>
      </c>
      <c r="Q144">
        <f t="shared" si="45"/>
      </c>
      <c r="R144" s="9">
        <f t="shared" si="39"/>
        <v>210000</v>
      </c>
      <c r="T144">
        <f t="shared" si="40"/>
      </c>
      <c r="U144">
        <f t="shared" si="46"/>
        <v>210000</v>
      </c>
      <c r="V144">
        <f t="shared" si="46"/>
      </c>
      <c r="W144">
        <f t="shared" si="46"/>
      </c>
      <c r="X144">
        <f t="shared" si="46"/>
      </c>
      <c r="Y144">
        <f t="shared" si="46"/>
      </c>
      <c r="Z144">
        <f t="shared" si="46"/>
      </c>
      <c r="AA144">
        <f t="shared" si="46"/>
      </c>
      <c r="AB144">
        <f t="shared" si="46"/>
      </c>
      <c r="AC144">
        <f t="shared" si="46"/>
      </c>
      <c r="AD144">
        <f t="shared" si="46"/>
      </c>
      <c r="AE144">
        <f t="shared" si="34"/>
      </c>
      <c r="AF144" s="9">
        <f t="shared" si="35"/>
        <v>210000</v>
      </c>
      <c r="AG144">
        <f t="shared" si="44"/>
        <v>0</v>
      </c>
      <c r="AH144">
        <f t="shared" si="43"/>
        <v>0</v>
      </c>
      <c r="AI144">
        <f t="shared" si="43"/>
        <v>0</v>
      </c>
      <c r="AJ144">
        <f t="shared" si="43"/>
        <v>1</v>
      </c>
      <c r="AK144">
        <f t="shared" si="43"/>
        <v>0</v>
      </c>
      <c r="AL144">
        <f t="shared" si="43"/>
        <v>0</v>
      </c>
      <c r="AM144">
        <f t="shared" si="43"/>
        <v>0</v>
      </c>
      <c r="AN144">
        <f t="shared" si="43"/>
        <v>0</v>
      </c>
      <c r="AO144">
        <f t="shared" si="43"/>
        <v>0</v>
      </c>
      <c r="AP144">
        <f t="shared" si="41"/>
        <v>1</v>
      </c>
      <c r="BL144" s="9">
        <f t="shared" si="36"/>
        <v>206152.68750644795</v>
      </c>
      <c r="BM144" s="9">
        <f t="shared" si="37"/>
      </c>
      <c r="BN144" s="9">
        <f t="shared" si="38"/>
        <v>206152.68750644795</v>
      </c>
      <c r="BU144" s="9"/>
      <c r="BV144" s="9"/>
      <c r="BW144" s="9"/>
      <c r="BX144" s="9"/>
    </row>
    <row r="145" spans="1:76" ht="12.75">
      <c r="A145" s="59">
        <f t="shared" si="42"/>
        <v>90</v>
      </c>
      <c r="B145" s="52" t="s">
        <v>91</v>
      </c>
      <c r="C145" s="52">
        <v>2006</v>
      </c>
      <c r="D145" s="76">
        <v>200000</v>
      </c>
      <c r="E145" s="79"/>
      <c r="F145" s="79"/>
      <c r="G145" s="66"/>
      <c r="H145">
        <f t="shared" si="45"/>
      </c>
      <c r="I145">
        <f t="shared" si="45"/>
      </c>
      <c r="J145">
        <f t="shared" si="45"/>
      </c>
      <c r="K145">
        <f t="shared" si="45"/>
      </c>
      <c r="L145">
        <f t="shared" si="45"/>
        <v>200000</v>
      </c>
      <c r="M145">
        <f t="shared" si="45"/>
      </c>
      <c r="N145">
        <f t="shared" si="45"/>
      </c>
      <c r="O145">
        <f t="shared" si="45"/>
      </c>
      <c r="P145">
        <f t="shared" si="45"/>
      </c>
      <c r="Q145">
        <f t="shared" si="45"/>
      </c>
      <c r="R145" s="9">
        <f t="shared" si="39"/>
        <v>200000</v>
      </c>
      <c r="T145">
        <f t="shared" si="40"/>
      </c>
      <c r="U145">
        <f t="shared" si="46"/>
        <v>200000</v>
      </c>
      <c r="V145">
        <f t="shared" si="46"/>
      </c>
      <c r="W145">
        <f t="shared" si="46"/>
      </c>
      <c r="X145">
        <f t="shared" si="46"/>
      </c>
      <c r="Y145">
        <f t="shared" si="46"/>
      </c>
      <c r="Z145">
        <f t="shared" si="46"/>
      </c>
      <c r="AA145">
        <f t="shared" si="46"/>
      </c>
      <c r="AB145">
        <f t="shared" si="46"/>
      </c>
      <c r="AC145">
        <f t="shared" si="46"/>
      </c>
      <c r="AD145">
        <f t="shared" si="46"/>
      </c>
      <c r="AE145">
        <f t="shared" si="34"/>
      </c>
      <c r="AF145" s="9">
        <f t="shared" si="35"/>
        <v>200000</v>
      </c>
      <c r="AG145">
        <f t="shared" si="44"/>
        <v>0</v>
      </c>
      <c r="AH145">
        <f t="shared" si="43"/>
        <v>0</v>
      </c>
      <c r="AI145">
        <f t="shared" si="43"/>
        <v>0</v>
      </c>
      <c r="AJ145">
        <f t="shared" si="43"/>
        <v>1</v>
      </c>
      <c r="AK145">
        <f t="shared" si="43"/>
        <v>0</v>
      </c>
      <c r="AL145">
        <f t="shared" si="43"/>
        <v>0</v>
      </c>
      <c r="AM145">
        <f t="shared" si="43"/>
        <v>0</v>
      </c>
      <c r="AN145">
        <f t="shared" si="43"/>
        <v>0</v>
      </c>
      <c r="AO145">
        <f t="shared" si="43"/>
        <v>0</v>
      </c>
      <c r="AP145">
        <f t="shared" si="41"/>
        <v>1</v>
      </c>
      <c r="BL145" s="9">
        <f t="shared" si="36"/>
        <v>196152.68750644795</v>
      </c>
      <c r="BM145" s="9">
        <f t="shared" si="37"/>
      </c>
      <c r="BN145" s="9">
        <f t="shared" si="38"/>
        <v>196152.68750644795</v>
      </c>
      <c r="BU145" s="9"/>
      <c r="BV145" s="9"/>
      <c r="BW145" s="9"/>
      <c r="BX145" s="9"/>
    </row>
    <row r="146" spans="1:76" ht="12.75">
      <c r="A146" s="59">
        <f t="shared" si="42"/>
        <v>91</v>
      </c>
      <c r="B146" s="52" t="s">
        <v>91</v>
      </c>
      <c r="C146" s="52">
        <v>2006</v>
      </c>
      <c r="D146" s="76">
        <v>180000</v>
      </c>
      <c r="E146" s="79"/>
      <c r="F146" s="79"/>
      <c r="G146" s="66"/>
      <c r="H146">
        <f t="shared" si="45"/>
      </c>
      <c r="I146">
        <f t="shared" si="45"/>
      </c>
      <c r="J146">
        <f t="shared" si="45"/>
      </c>
      <c r="K146">
        <f t="shared" si="45"/>
      </c>
      <c r="L146">
        <f t="shared" si="45"/>
        <v>180000</v>
      </c>
      <c r="M146">
        <f t="shared" si="45"/>
      </c>
      <c r="N146">
        <f t="shared" si="45"/>
      </c>
      <c r="O146">
        <f t="shared" si="45"/>
      </c>
      <c r="P146">
        <f t="shared" si="45"/>
      </c>
      <c r="Q146">
        <f t="shared" si="45"/>
      </c>
      <c r="R146" s="9">
        <f t="shared" si="39"/>
        <v>180000</v>
      </c>
      <c r="T146">
        <f t="shared" si="40"/>
      </c>
      <c r="U146">
        <f t="shared" si="46"/>
        <v>180000</v>
      </c>
      <c r="V146">
        <f t="shared" si="46"/>
      </c>
      <c r="W146">
        <f t="shared" si="46"/>
      </c>
      <c r="X146">
        <f t="shared" si="46"/>
      </c>
      <c r="Y146">
        <f t="shared" si="46"/>
      </c>
      <c r="Z146">
        <f t="shared" si="46"/>
      </c>
      <c r="AA146">
        <f t="shared" si="46"/>
      </c>
      <c r="AB146">
        <f t="shared" si="46"/>
      </c>
      <c r="AC146">
        <f t="shared" si="46"/>
      </c>
      <c r="AD146">
        <f t="shared" si="46"/>
      </c>
      <c r="AE146">
        <f t="shared" si="34"/>
      </c>
      <c r="AF146" s="9">
        <f t="shared" si="35"/>
        <v>180000</v>
      </c>
      <c r="AG146">
        <f t="shared" si="44"/>
        <v>0</v>
      </c>
      <c r="AH146">
        <f t="shared" si="43"/>
        <v>0</v>
      </c>
      <c r="AI146">
        <f t="shared" si="43"/>
        <v>0</v>
      </c>
      <c r="AJ146">
        <f t="shared" si="43"/>
        <v>1</v>
      </c>
      <c r="AK146">
        <f t="shared" si="43"/>
        <v>0</v>
      </c>
      <c r="AL146">
        <f t="shared" si="43"/>
        <v>0</v>
      </c>
      <c r="AM146">
        <f t="shared" si="43"/>
        <v>0</v>
      </c>
      <c r="AN146">
        <f t="shared" si="43"/>
        <v>0</v>
      </c>
      <c r="AO146">
        <f t="shared" si="43"/>
        <v>0</v>
      </c>
      <c r="AP146">
        <f t="shared" si="41"/>
        <v>1</v>
      </c>
      <c r="BL146" s="9">
        <f t="shared" si="36"/>
        <v>176152.68750644795</v>
      </c>
      <c r="BM146" s="9">
        <f t="shared" si="37"/>
      </c>
      <c r="BN146" s="9">
        <f t="shared" si="38"/>
        <v>176152.68750644795</v>
      </c>
      <c r="BU146" s="9"/>
      <c r="BV146" s="9"/>
      <c r="BW146" s="9"/>
      <c r="BX146" s="9"/>
    </row>
    <row r="147" spans="1:76" ht="12.75">
      <c r="A147" s="59">
        <f t="shared" si="42"/>
        <v>92</v>
      </c>
      <c r="B147" s="52" t="s">
        <v>91</v>
      </c>
      <c r="C147" s="52">
        <v>2006</v>
      </c>
      <c r="D147" s="76">
        <v>180000</v>
      </c>
      <c r="E147" s="79"/>
      <c r="F147" s="79"/>
      <c r="G147" s="66"/>
      <c r="H147">
        <f t="shared" si="45"/>
      </c>
      <c r="I147">
        <f t="shared" si="45"/>
      </c>
      <c r="J147">
        <f t="shared" si="45"/>
      </c>
      <c r="K147">
        <f t="shared" si="45"/>
      </c>
      <c r="L147">
        <f t="shared" si="45"/>
        <v>180000</v>
      </c>
      <c r="M147">
        <f t="shared" si="45"/>
      </c>
      <c r="N147">
        <f t="shared" si="45"/>
      </c>
      <c r="O147">
        <f t="shared" si="45"/>
      </c>
      <c r="P147">
        <f t="shared" si="45"/>
      </c>
      <c r="Q147">
        <f t="shared" si="45"/>
      </c>
      <c r="R147" s="9">
        <f t="shared" si="39"/>
        <v>180000</v>
      </c>
      <c r="T147">
        <f t="shared" si="40"/>
      </c>
      <c r="U147">
        <f t="shared" si="46"/>
        <v>180000</v>
      </c>
      <c r="V147">
        <f t="shared" si="46"/>
      </c>
      <c r="W147">
        <f t="shared" si="46"/>
      </c>
      <c r="X147">
        <f t="shared" si="46"/>
      </c>
      <c r="Y147">
        <f t="shared" si="46"/>
      </c>
      <c r="Z147">
        <f t="shared" si="46"/>
      </c>
      <c r="AA147">
        <f t="shared" si="46"/>
      </c>
      <c r="AB147">
        <f t="shared" si="46"/>
      </c>
      <c r="AC147">
        <f t="shared" si="46"/>
      </c>
      <c r="AD147">
        <f t="shared" si="46"/>
      </c>
      <c r="AE147">
        <f t="shared" si="34"/>
      </c>
      <c r="AF147" s="9">
        <f t="shared" si="35"/>
        <v>180000</v>
      </c>
      <c r="AG147">
        <f t="shared" si="44"/>
        <v>0</v>
      </c>
      <c r="AH147">
        <f t="shared" si="43"/>
        <v>0</v>
      </c>
      <c r="AI147">
        <f t="shared" si="43"/>
        <v>0</v>
      </c>
      <c r="AJ147">
        <f t="shared" si="43"/>
        <v>1</v>
      </c>
      <c r="AK147">
        <f t="shared" si="43"/>
        <v>0</v>
      </c>
      <c r="AL147">
        <f t="shared" si="43"/>
        <v>0</v>
      </c>
      <c r="AM147">
        <f t="shared" si="43"/>
        <v>0</v>
      </c>
      <c r="AN147">
        <f t="shared" si="43"/>
        <v>0</v>
      </c>
      <c r="AO147">
        <f t="shared" si="43"/>
        <v>0</v>
      </c>
      <c r="AP147">
        <f t="shared" si="41"/>
        <v>1</v>
      </c>
      <c r="BL147" s="9">
        <f t="shared" si="36"/>
        <v>176152.68750644795</v>
      </c>
      <c r="BM147" s="9">
        <f t="shared" si="37"/>
      </c>
      <c r="BN147" s="9">
        <f t="shared" si="38"/>
        <v>176152.68750644795</v>
      </c>
      <c r="BU147" s="9"/>
      <c r="BV147" s="9"/>
      <c r="BW147" s="9"/>
      <c r="BX147" s="9"/>
    </row>
    <row r="148" spans="1:76" ht="12.75">
      <c r="A148" s="59">
        <f t="shared" si="42"/>
        <v>93</v>
      </c>
      <c r="B148" s="52" t="s">
        <v>91</v>
      </c>
      <c r="C148" s="52">
        <v>2006</v>
      </c>
      <c r="D148" s="76">
        <v>120000</v>
      </c>
      <c r="E148" s="79"/>
      <c r="F148" s="79"/>
      <c r="G148" s="66"/>
      <c r="H148">
        <f t="shared" si="45"/>
      </c>
      <c r="I148">
        <f t="shared" si="45"/>
      </c>
      <c r="J148">
        <f t="shared" si="45"/>
      </c>
      <c r="K148">
        <f t="shared" si="45"/>
      </c>
      <c r="L148">
        <f t="shared" si="45"/>
        <v>120000</v>
      </c>
      <c r="M148">
        <f t="shared" si="45"/>
      </c>
      <c r="N148">
        <f t="shared" si="45"/>
      </c>
      <c r="O148">
        <f t="shared" si="45"/>
      </c>
      <c r="P148">
        <f t="shared" si="45"/>
      </c>
      <c r="Q148">
        <f t="shared" si="45"/>
      </c>
      <c r="R148" s="9">
        <f t="shared" si="39"/>
        <v>120000</v>
      </c>
      <c r="T148">
        <f t="shared" si="40"/>
      </c>
      <c r="U148">
        <f t="shared" si="46"/>
        <v>120000</v>
      </c>
      <c r="V148">
        <f t="shared" si="46"/>
      </c>
      <c r="W148">
        <f t="shared" si="46"/>
      </c>
      <c r="X148">
        <f t="shared" si="46"/>
      </c>
      <c r="Y148">
        <f t="shared" si="46"/>
      </c>
      <c r="Z148">
        <f t="shared" si="46"/>
      </c>
      <c r="AA148">
        <f t="shared" si="46"/>
      </c>
      <c r="AB148">
        <f t="shared" si="46"/>
      </c>
      <c r="AC148">
        <f t="shared" si="46"/>
      </c>
      <c r="AD148">
        <f t="shared" si="46"/>
      </c>
      <c r="AE148">
        <f t="shared" si="34"/>
      </c>
      <c r="AF148" s="9">
        <f t="shared" si="35"/>
        <v>120000</v>
      </c>
      <c r="AG148">
        <f t="shared" si="44"/>
        <v>0</v>
      </c>
      <c r="AH148">
        <f t="shared" si="43"/>
        <v>0</v>
      </c>
      <c r="AI148">
        <f t="shared" si="43"/>
        <v>0</v>
      </c>
      <c r="AJ148">
        <f t="shared" si="43"/>
        <v>1</v>
      </c>
      <c r="AK148">
        <f t="shared" si="43"/>
        <v>0</v>
      </c>
      <c r="AL148">
        <f t="shared" si="43"/>
        <v>0</v>
      </c>
      <c r="AM148">
        <f t="shared" si="43"/>
        <v>0</v>
      </c>
      <c r="AN148">
        <f t="shared" si="43"/>
        <v>0</v>
      </c>
      <c r="AO148">
        <f t="shared" si="43"/>
        <v>0</v>
      </c>
      <c r="AP148">
        <f t="shared" si="41"/>
        <v>1</v>
      </c>
      <c r="BL148" s="9">
        <f t="shared" si="36"/>
        <v>116152.68750644795</v>
      </c>
      <c r="BM148" s="9">
        <f t="shared" si="37"/>
      </c>
      <c r="BN148" s="9">
        <f t="shared" si="38"/>
        <v>116152.68750644795</v>
      </c>
      <c r="BU148" s="9"/>
      <c r="BV148" s="9"/>
      <c r="BW148" s="9"/>
      <c r="BX148" s="9"/>
    </row>
    <row r="149" spans="1:76" ht="12.75">
      <c r="A149" s="59">
        <f t="shared" si="42"/>
        <v>94</v>
      </c>
      <c r="B149" s="52" t="s">
        <v>91</v>
      </c>
      <c r="C149" s="52">
        <v>2006</v>
      </c>
      <c r="D149" s="76">
        <v>120000</v>
      </c>
      <c r="E149" s="79"/>
      <c r="F149" s="79"/>
      <c r="G149" s="66"/>
      <c r="H149">
        <f t="shared" si="45"/>
      </c>
      <c r="I149">
        <f t="shared" si="45"/>
      </c>
      <c r="J149">
        <f t="shared" si="45"/>
      </c>
      <c r="K149">
        <f t="shared" si="45"/>
      </c>
      <c r="L149">
        <f t="shared" si="45"/>
        <v>120000</v>
      </c>
      <c r="M149">
        <f t="shared" si="45"/>
      </c>
      <c r="N149">
        <f t="shared" si="45"/>
      </c>
      <c r="O149">
        <f t="shared" si="45"/>
      </c>
      <c r="P149">
        <f t="shared" si="45"/>
      </c>
      <c r="Q149">
        <f t="shared" si="45"/>
      </c>
      <c r="R149" s="9">
        <f t="shared" si="39"/>
        <v>120000</v>
      </c>
      <c r="T149">
        <f t="shared" si="40"/>
      </c>
      <c r="U149">
        <f t="shared" si="46"/>
        <v>120000</v>
      </c>
      <c r="V149">
        <f t="shared" si="46"/>
      </c>
      <c r="W149">
        <f t="shared" si="46"/>
      </c>
      <c r="X149">
        <f t="shared" si="46"/>
      </c>
      <c r="Y149">
        <f t="shared" si="46"/>
      </c>
      <c r="Z149">
        <f t="shared" si="46"/>
      </c>
      <c r="AA149">
        <f t="shared" si="46"/>
      </c>
      <c r="AB149">
        <f t="shared" si="46"/>
      </c>
      <c r="AC149">
        <f t="shared" si="46"/>
      </c>
      <c r="AD149">
        <f t="shared" si="46"/>
      </c>
      <c r="AE149">
        <f t="shared" si="34"/>
      </c>
      <c r="AF149" s="9">
        <f t="shared" si="35"/>
        <v>120000</v>
      </c>
      <c r="AG149">
        <f t="shared" si="44"/>
        <v>0</v>
      </c>
      <c r="AH149">
        <f t="shared" si="43"/>
        <v>0</v>
      </c>
      <c r="AI149">
        <f t="shared" si="43"/>
        <v>0</v>
      </c>
      <c r="AJ149">
        <f t="shared" si="43"/>
        <v>1</v>
      </c>
      <c r="AK149">
        <f t="shared" si="43"/>
        <v>0</v>
      </c>
      <c r="AL149">
        <f t="shared" si="43"/>
        <v>0</v>
      </c>
      <c r="AM149">
        <f t="shared" si="43"/>
        <v>0</v>
      </c>
      <c r="AN149">
        <f t="shared" si="43"/>
        <v>0</v>
      </c>
      <c r="AO149">
        <f t="shared" si="43"/>
        <v>0</v>
      </c>
      <c r="AP149">
        <f t="shared" si="41"/>
        <v>1</v>
      </c>
      <c r="BL149" s="9">
        <f t="shared" si="36"/>
        <v>116152.68750644795</v>
      </c>
      <c r="BM149" s="9">
        <f t="shared" si="37"/>
      </c>
      <c r="BN149" s="9">
        <f t="shared" si="38"/>
        <v>116152.68750644795</v>
      </c>
      <c r="BU149" s="9"/>
      <c r="BV149" s="9"/>
      <c r="BW149" s="9"/>
      <c r="BX149" s="9"/>
    </row>
    <row r="150" spans="1:76" ht="12.75">
      <c r="A150" s="59">
        <f t="shared" si="42"/>
        <v>95</v>
      </c>
      <c r="B150" s="52" t="s">
        <v>91</v>
      </c>
      <c r="C150" s="52">
        <v>2006</v>
      </c>
      <c r="D150" s="76">
        <v>100000</v>
      </c>
      <c r="E150" s="79"/>
      <c r="F150" s="79"/>
      <c r="G150" s="66"/>
      <c r="H150">
        <f t="shared" si="45"/>
      </c>
      <c r="I150">
        <f t="shared" si="45"/>
      </c>
      <c r="J150">
        <f t="shared" si="45"/>
      </c>
      <c r="K150">
        <f t="shared" si="45"/>
      </c>
      <c r="L150">
        <f t="shared" si="45"/>
        <v>100000</v>
      </c>
      <c r="M150">
        <f t="shared" si="45"/>
      </c>
      <c r="N150">
        <f t="shared" si="45"/>
      </c>
      <c r="O150">
        <f t="shared" si="45"/>
      </c>
      <c r="P150">
        <f t="shared" si="45"/>
      </c>
      <c r="Q150">
        <f t="shared" si="45"/>
      </c>
      <c r="R150" s="9">
        <f t="shared" si="39"/>
        <v>100000</v>
      </c>
      <c r="T150">
        <f t="shared" si="40"/>
      </c>
      <c r="U150">
        <f t="shared" si="46"/>
        <v>100000</v>
      </c>
      <c r="V150">
        <f t="shared" si="46"/>
      </c>
      <c r="W150">
        <f t="shared" si="46"/>
      </c>
      <c r="X150">
        <f t="shared" si="46"/>
      </c>
      <c r="Y150">
        <f t="shared" si="46"/>
      </c>
      <c r="Z150">
        <f t="shared" si="46"/>
      </c>
      <c r="AA150">
        <f t="shared" si="46"/>
      </c>
      <c r="AB150">
        <f t="shared" si="46"/>
      </c>
      <c r="AC150">
        <f t="shared" si="46"/>
      </c>
      <c r="AD150">
        <f t="shared" si="46"/>
      </c>
      <c r="AE150">
        <f t="shared" si="34"/>
      </c>
      <c r="AF150" s="9">
        <f t="shared" si="35"/>
        <v>100000</v>
      </c>
      <c r="AG150">
        <f t="shared" si="44"/>
        <v>0</v>
      </c>
      <c r="AH150">
        <f t="shared" si="43"/>
        <v>0</v>
      </c>
      <c r="AI150">
        <f t="shared" si="43"/>
        <v>0</v>
      </c>
      <c r="AJ150">
        <f t="shared" si="43"/>
        <v>1</v>
      </c>
      <c r="AK150">
        <f t="shared" si="43"/>
        <v>0</v>
      </c>
      <c r="AL150">
        <f t="shared" si="43"/>
        <v>0</v>
      </c>
      <c r="AM150">
        <f t="shared" si="43"/>
        <v>0</v>
      </c>
      <c r="AN150">
        <f t="shared" si="43"/>
        <v>0</v>
      </c>
      <c r="AO150">
        <f t="shared" si="43"/>
        <v>0</v>
      </c>
      <c r="AP150">
        <f t="shared" si="41"/>
        <v>1</v>
      </c>
      <c r="BL150" s="9">
        <f t="shared" si="36"/>
        <v>96152.68750644795</v>
      </c>
      <c r="BM150" s="9">
        <f t="shared" si="37"/>
        <v>96152.68750644795</v>
      </c>
      <c r="BN150" s="9">
        <f t="shared" si="38"/>
      </c>
      <c r="BU150" s="9"/>
      <c r="BV150" s="9"/>
      <c r="BW150" s="9"/>
      <c r="BX150" s="9"/>
    </row>
    <row r="151" spans="1:76" ht="12.75">
      <c r="A151" s="59">
        <f t="shared" si="42"/>
        <v>96</v>
      </c>
      <c r="B151" s="52" t="s">
        <v>91</v>
      </c>
      <c r="C151" s="52">
        <v>2006</v>
      </c>
      <c r="D151" s="76">
        <v>80000</v>
      </c>
      <c r="E151" s="79"/>
      <c r="F151" s="79"/>
      <c r="G151" s="66"/>
      <c r="H151">
        <f t="shared" si="45"/>
      </c>
      <c r="I151">
        <f t="shared" si="45"/>
      </c>
      <c r="J151">
        <f t="shared" si="45"/>
      </c>
      <c r="K151">
        <f t="shared" si="45"/>
      </c>
      <c r="L151">
        <f t="shared" si="45"/>
        <v>80000</v>
      </c>
      <c r="M151">
        <f t="shared" si="45"/>
      </c>
      <c r="N151">
        <f t="shared" si="45"/>
      </c>
      <c r="O151">
        <f t="shared" si="45"/>
      </c>
      <c r="P151">
        <f t="shared" si="45"/>
      </c>
      <c r="Q151">
        <f t="shared" si="45"/>
      </c>
      <c r="R151" s="9">
        <f t="shared" si="39"/>
        <v>80000</v>
      </c>
      <c r="T151">
        <f t="shared" si="40"/>
      </c>
      <c r="U151">
        <f t="shared" si="46"/>
        <v>80000</v>
      </c>
      <c r="V151">
        <f t="shared" si="46"/>
      </c>
      <c r="W151">
        <f t="shared" si="46"/>
      </c>
      <c r="X151">
        <f t="shared" si="46"/>
      </c>
      <c r="Y151">
        <f t="shared" si="46"/>
      </c>
      <c r="Z151">
        <f t="shared" si="46"/>
      </c>
      <c r="AA151">
        <f t="shared" si="46"/>
      </c>
      <c r="AB151">
        <f t="shared" si="46"/>
      </c>
      <c r="AC151">
        <f t="shared" si="46"/>
      </c>
      <c r="AD151">
        <f t="shared" si="46"/>
      </c>
      <c r="AE151">
        <f t="shared" si="34"/>
      </c>
      <c r="AF151" s="9">
        <f t="shared" si="35"/>
        <v>80000</v>
      </c>
      <c r="AG151">
        <f t="shared" si="44"/>
        <v>0</v>
      </c>
      <c r="AH151">
        <f t="shared" si="43"/>
        <v>0</v>
      </c>
      <c r="AI151">
        <f t="shared" si="43"/>
        <v>0</v>
      </c>
      <c r="AJ151">
        <f t="shared" si="43"/>
        <v>1</v>
      </c>
      <c r="AK151">
        <f t="shared" si="43"/>
        <v>0</v>
      </c>
      <c r="AL151">
        <f t="shared" si="43"/>
        <v>0</v>
      </c>
      <c r="AM151">
        <f t="shared" si="43"/>
        <v>0</v>
      </c>
      <c r="AN151">
        <f t="shared" si="43"/>
        <v>0</v>
      </c>
      <c r="AO151">
        <f t="shared" si="43"/>
        <v>0</v>
      </c>
      <c r="AP151">
        <f t="shared" si="41"/>
        <v>1</v>
      </c>
      <c r="BL151" s="9">
        <f t="shared" si="36"/>
        <v>76152.68750644795</v>
      </c>
      <c r="BM151" s="9">
        <f t="shared" si="37"/>
        <v>76152.68750644795</v>
      </c>
      <c r="BN151" s="9">
        <f t="shared" si="38"/>
      </c>
      <c r="BU151" s="9"/>
      <c r="BV151" s="9"/>
      <c r="BW151" s="9"/>
      <c r="BX151" s="9"/>
    </row>
    <row r="152" spans="1:76" ht="12.75">
      <c r="A152" s="59">
        <f t="shared" si="42"/>
        <v>97</v>
      </c>
      <c r="B152" s="52" t="s">
        <v>91</v>
      </c>
      <c r="C152" s="52">
        <v>2006</v>
      </c>
      <c r="D152" s="76">
        <v>100000</v>
      </c>
      <c r="E152" s="79"/>
      <c r="F152" s="79"/>
      <c r="G152" s="66"/>
      <c r="H152">
        <f aca="true" t="shared" si="47" ref="H152:Q167">IF($B152=H$55,$D152,"")</f>
      </c>
      <c r="I152">
        <f t="shared" si="47"/>
      </c>
      <c r="J152">
        <f t="shared" si="47"/>
      </c>
      <c r="K152">
        <f t="shared" si="47"/>
      </c>
      <c r="L152">
        <f t="shared" si="47"/>
        <v>100000</v>
      </c>
      <c r="M152">
        <f t="shared" si="47"/>
      </c>
      <c r="N152">
        <f t="shared" si="47"/>
      </c>
      <c r="O152">
        <f t="shared" si="47"/>
      </c>
      <c r="P152">
        <f t="shared" si="47"/>
      </c>
      <c r="Q152">
        <f t="shared" si="47"/>
      </c>
      <c r="R152" s="9">
        <f t="shared" si="39"/>
        <v>100000</v>
      </c>
      <c r="T152">
        <f t="shared" si="40"/>
      </c>
      <c r="U152">
        <f aca="true" t="shared" si="48" ref="U152:AD167">IF($C152=U$55,$D152,"")</f>
        <v>100000</v>
      </c>
      <c r="V152">
        <f t="shared" si="48"/>
      </c>
      <c r="W152">
        <f t="shared" si="48"/>
      </c>
      <c r="X152">
        <f t="shared" si="48"/>
      </c>
      <c r="Y152">
        <f t="shared" si="48"/>
      </c>
      <c r="Z152">
        <f t="shared" si="48"/>
      </c>
      <c r="AA152">
        <f t="shared" si="48"/>
      </c>
      <c r="AB152">
        <f t="shared" si="48"/>
      </c>
      <c r="AC152">
        <f t="shared" si="48"/>
      </c>
      <c r="AD152">
        <f t="shared" si="48"/>
      </c>
      <c r="AE152">
        <f t="shared" si="34"/>
      </c>
      <c r="AF152" s="9">
        <f t="shared" si="35"/>
        <v>100000</v>
      </c>
      <c r="AG152">
        <f t="shared" si="44"/>
        <v>0</v>
      </c>
      <c r="AH152">
        <f t="shared" si="43"/>
        <v>0</v>
      </c>
      <c r="AI152">
        <f t="shared" si="43"/>
        <v>0</v>
      </c>
      <c r="AJ152">
        <f t="shared" si="43"/>
        <v>1</v>
      </c>
      <c r="AK152">
        <f t="shared" si="43"/>
        <v>0</v>
      </c>
      <c r="AL152">
        <f t="shared" si="43"/>
        <v>0</v>
      </c>
      <c r="AM152">
        <f t="shared" si="43"/>
        <v>0</v>
      </c>
      <c r="AN152">
        <f t="shared" si="43"/>
        <v>0</v>
      </c>
      <c r="AO152">
        <f t="shared" si="43"/>
        <v>0</v>
      </c>
      <c r="AP152">
        <f t="shared" si="41"/>
        <v>1</v>
      </c>
      <c r="BL152" s="9">
        <f t="shared" si="36"/>
        <v>96152.68750644795</v>
      </c>
      <c r="BM152" s="9">
        <f t="shared" si="37"/>
        <v>96152.68750644795</v>
      </c>
      <c r="BN152" s="9">
        <f t="shared" si="38"/>
      </c>
      <c r="BU152" s="9"/>
      <c r="BV152" s="9"/>
      <c r="BW152" s="9"/>
      <c r="BX152" s="9"/>
    </row>
    <row r="153" spans="1:76" ht="12.75">
      <c r="A153" s="59">
        <f t="shared" si="42"/>
        <v>98</v>
      </c>
      <c r="B153" s="52" t="s">
        <v>91</v>
      </c>
      <c r="C153" s="52">
        <v>2006</v>
      </c>
      <c r="D153" s="76">
        <v>100000</v>
      </c>
      <c r="E153" s="79"/>
      <c r="F153" s="79"/>
      <c r="G153" s="66"/>
      <c r="H153">
        <f t="shared" si="47"/>
      </c>
      <c r="I153">
        <f t="shared" si="47"/>
      </c>
      <c r="J153">
        <f t="shared" si="47"/>
      </c>
      <c r="K153">
        <f t="shared" si="47"/>
      </c>
      <c r="L153">
        <f t="shared" si="47"/>
        <v>100000</v>
      </c>
      <c r="M153">
        <f t="shared" si="47"/>
      </c>
      <c r="N153">
        <f t="shared" si="47"/>
      </c>
      <c r="O153">
        <f t="shared" si="47"/>
      </c>
      <c r="P153">
        <f t="shared" si="47"/>
      </c>
      <c r="Q153">
        <f t="shared" si="47"/>
      </c>
      <c r="R153" s="9">
        <f t="shared" si="39"/>
        <v>100000</v>
      </c>
      <c r="T153">
        <f t="shared" si="40"/>
      </c>
      <c r="U153">
        <f t="shared" si="48"/>
        <v>100000</v>
      </c>
      <c r="V153">
        <f t="shared" si="48"/>
      </c>
      <c r="W153">
        <f t="shared" si="48"/>
      </c>
      <c r="X153">
        <f t="shared" si="48"/>
      </c>
      <c r="Y153">
        <f t="shared" si="48"/>
      </c>
      <c r="Z153">
        <f t="shared" si="48"/>
      </c>
      <c r="AA153">
        <f t="shared" si="48"/>
      </c>
      <c r="AB153">
        <f t="shared" si="48"/>
      </c>
      <c r="AC153">
        <f t="shared" si="48"/>
      </c>
      <c r="AD153">
        <f t="shared" si="48"/>
      </c>
      <c r="AE153">
        <f t="shared" si="34"/>
      </c>
      <c r="AF153" s="9">
        <f t="shared" si="35"/>
        <v>100000</v>
      </c>
      <c r="AG153">
        <f t="shared" si="44"/>
        <v>0</v>
      </c>
      <c r="AH153">
        <f t="shared" si="43"/>
        <v>0</v>
      </c>
      <c r="AI153">
        <f t="shared" si="43"/>
        <v>0</v>
      </c>
      <c r="AJ153">
        <f t="shared" si="43"/>
        <v>1</v>
      </c>
      <c r="AK153">
        <f t="shared" si="43"/>
        <v>0</v>
      </c>
      <c r="AL153">
        <f t="shared" si="43"/>
        <v>0</v>
      </c>
      <c r="AM153">
        <f t="shared" si="43"/>
        <v>0</v>
      </c>
      <c r="AN153">
        <f t="shared" si="43"/>
        <v>0</v>
      </c>
      <c r="AO153">
        <f t="shared" si="43"/>
        <v>0</v>
      </c>
      <c r="AP153">
        <f t="shared" si="41"/>
        <v>1</v>
      </c>
      <c r="BL153" s="9">
        <f t="shared" si="36"/>
        <v>96152.68750644795</v>
      </c>
      <c r="BM153" s="9">
        <f t="shared" si="37"/>
        <v>96152.68750644795</v>
      </c>
      <c r="BN153" s="9">
        <f t="shared" si="38"/>
      </c>
      <c r="BU153" s="9"/>
      <c r="BV153" s="9"/>
      <c r="BW153" s="9"/>
      <c r="BX153" s="9"/>
    </row>
    <row r="154" spans="1:76" ht="12.75">
      <c r="A154" s="59">
        <f t="shared" si="42"/>
        <v>99</v>
      </c>
      <c r="B154" s="52" t="s">
        <v>91</v>
      </c>
      <c r="C154" s="52">
        <v>2006</v>
      </c>
      <c r="D154" s="76">
        <v>180000</v>
      </c>
      <c r="E154" s="79"/>
      <c r="F154" s="79"/>
      <c r="G154" s="66"/>
      <c r="H154">
        <f t="shared" si="47"/>
      </c>
      <c r="I154">
        <f t="shared" si="47"/>
      </c>
      <c r="J154">
        <f t="shared" si="47"/>
      </c>
      <c r="K154">
        <f t="shared" si="47"/>
      </c>
      <c r="L154">
        <f t="shared" si="47"/>
        <v>180000</v>
      </c>
      <c r="M154">
        <f t="shared" si="47"/>
      </c>
      <c r="N154">
        <f t="shared" si="47"/>
      </c>
      <c r="O154">
        <f t="shared" si="47"/>
      </c>
      <c r="P154">
        <f t="shared" si="47"/>
      </c>
      <c r="Q154">
        <f t="shared" si="47"/>
      </c>
      <c r="R154" s="9">
        <f t="shared" si="39"/>
        <v>180000</v>
      </c>
      <c r="T154">
        <f t="shared" si="40"/>
      </c>
      <c r="U154">
        <f t="shared" si="48"/>
        <v>180000</v>
      </c>
      <c r="V154">
        <f t="shared" si="48"/>
      </c>
      <c r="W154">
        <f t="shared" si="48"/>
      </c>
      <c r="X154">
        <f t="shared" si="48"/>
      </c>
      <c r="Y154">
        <f t="shared" si="48"/>
      </c>
      <c r="Z154">
        <f t="shared" si="48"/>
      </c>
      <c r="AA154">
        <f t="shared" si="48"/>
      </c>
      <c r="AB154">
        <f t="shared" si="48"/>
      </c>
      <c r="AC154">
        <f t="shared" si="48"/>
      </c>
      <c r="AD154">
        <f t="shared" si="48"/>
      </c>
      <c r="AE154">
        <f t="shared" si="34"/>
      </c>
      <c r="AF154" s="9">
        <f t="shared" si="35"/>
        <v>180000</v>
      </c>
      <c r="AG154">
        <f t="shared" si="44"/>
        <v>0</v>
      </c>
      <c r="AH154">
        <f t="shared" si="43"/>
        <v>0</v>
      </c>
      <c r="AI154">
        <f t="shared" si="43"/>
        <v>0</v>
      </c>
      <c r="AJ154">
        <f t="shared" si="43"/>
        <v>1</v>
      </c>
      <c r="AK154">
        <f t="shared" si="43"/>
        <v>0</v>
      </c>
      <c r="AL154">
        <f t="shared" si="43"/>
        <v>0</v>
      </c>
      <c r="AM154">
        <f t="shared" si="43"/>
        <v>0</v>
      </c>
      <c r="AN154">
        <f t="shared" si="43"/>
        <v>0</v>
      </c>
      <c r="AO154">
        <f t="shared" si="43"/>
        <v>0</v>
      </c>
      <c r="AP154">
        <f t="shared" si="41"/>
        <v>1</v>
      </c>
      <c r="BL154" s="9">
        <f t="shared" si="36"/>
        <v>176152.68750644795</v>
      </c>
      <c r="BM154" s="9">
        <f t="shared" si="37"/>
      </c>
      <c r="BN154" s="9">
        <f t="shared" si="38"/>
        <v>176152.68750644795</v>
      </c>
      <c r="BU154" s="9"/>
      <c r="BV154" s="9"/>
      <c r="BW154" s="9"/>
      <c r="BX154" s="9"/>
    </row>
    <row r="155" spans="1:76" ht="12.75">
      <c r="A155" s="59">
        <f t="shared" si="42"/>
        <v>100</v>
      </c>
      <c r="B155" s="52" t="s">
        <v>91</v>
      </c>
      <c r="C155" s="52">
        <v>2006</v>
      </c>
      <c r="D155" s="76">
        <v>100000</v>
      </c>
      <c r="E155" s="79"/>
      <c r="F155" s="79"/>
      <c r="G155" s="66"/>
      <c r="H155">
        <f t="shared" si="47"/>
      </c>
      <c r="I155">
        <f t="shared" si="47"/>
      </c>
      <c r="J155">
        <f t="shared" si="47"/>
      </c>
      <c r="K155">
        <f t="shared" si="47"/>
      </c>
      <c r="L155">
        <f t="shared" si="47"/>
        <v>100000</v>
      </c>
      <c r="M155">
        <f t="shared" si="47"/>
      </c>
      <c r="N155">
        <f t="shared" si="47"/>
      </c>
      <c r="O155">
        <f t="shared" si="47"/>
      </c>
      <c r="P155">
        <f t="shared" si="47"/>
      </c>
      <c r="Q155">
        <f t="shared" si="47"/>
      </c>
      <c r="R155" s="9">
        <f t="shared" si="39"/>
        <v>100000</v>
      </c>
      <c r="T155">
        <f t="shared" si="40"/>
      </c>
      <c r="U155">
        <f t="shared" si="48"/>
        <v>100000</v>
      </c>
      <c r="V155">
        <f t="shared" si="48"/>
      </c>
      <c r="W155">
        <f t="shared" si="48"/>
      </c>
      <c r="X155">
        <f t="shared" si="48"/>
      </c>
      <c r="Y155">
        <f t="shared" si="48"/>
      </c>
      <c r="Z155">
        <f t="shared" si="48"/>
      </c>
      <c r="AA155">
        <f t="shared" si="48"/>
      </c>
      <c r="AB155">
        <f t="shared" si="48"/>
      </c>
      <c r="AC155">
        <f t="shared" si="48"/>
      </c>
      <c r="AD155">
        <f t="shared" si="48"/>
      </c>
      <c r="AE155">
        <f t="shared" si="34"/>
      </c>
      <c r="AF155" s="9">
        <f t="shared" si="35"/>
        <v>100000</v>
      </c>
      <c r="AG155">
        <f t="shared" si="44"/>
        <v>0</v>
      </c>
      <c r="AH155">
        <f t="shared" si="43"/>
        <v>0</v>
      </c>
      <c r="AI155">
        <f t="shared" si="43"/>
        <v>0</v>
      </c>
      <c r="AJ155">
        <f t="shared" si="43"/>
        <v>1</v>
      </c>
      <c r="AK155">
        <f t="shared" si="43"/>
        <v>0</v>
      </c>
      <c r="AL155">
        <f t="shared" si="43"/>
        <v>0</v>
      </c>
      <c r="AM155">
        <f t="shared" si="43"/>
        <v>0</v>
      </c>
      <c r="AN155">
        <f t="shared" si="43"/>
        <v>0</v>
      </c>
      <c r="AO155">
        <f t="shared" si="43"/>
        <v>0</v>
      </c>
      <c r="AP155">
        <f t="shared" si="41"/>
        <v>1</v>
      </c>
      <c r="BL155" s="9">
        <f t="shared" si="36"/>
        <v>96152.68750644795</v>
      </c>
      <c r="BM155" s="9">
        <f t="shared" si="37"/>
        <v>96152.68750644795</v>
      </c>
      <c r="BN155" s="9">
        <f t="shared" si="38"/>
      </c>
      <c r="BU155" s="9"/>
      <c r="BV155" s="9"/>
      <c r="BW155" s="9"/>
      <c r="BX155" s="9"/>
    </row>
    <row r="156" spans="1:76" ht="12.75">
      <c r="A156" s="59">
        <f t="shared" si="42"/>
        <v>101</v>
      </c>
      <c r="B156" s="53" t="s">
        <v>90</v>
      </c>
      <c r="C156" s="53">
        <v>2004</v>
      </c>
      <c r="D156" s="80">
        <v>150000</v>
      </c>
      <c r="E156" s="81" t="s">
        <v>109</v>
      </c>
      <c r="F156" s="82">
        <v>0.96</v>
      </c>
      <c r="G156" s="75"/>
      <c r="H156">
        <f t="shared" si="47"/>
      </c>
      <c r="I156">
        <f t="shared" si="47"/>
      </c>
      <c r="J156">
        <f t="shared" si="47"/>
      </c>
      <c r="K156">
        <f t="shared" si="47"/>
      </c>
      <c r="L156">
        <f t="shared" si="47"/>
      </c>
      <c r="M156">
        <f t="shared" si="47"/>
        <v>150000</v>
      </c>
      <c r="N156">
        <f t="shared" si="47"/>
      </c>
      <c r="O156">
        <f t="shared" si="47"/>
      </c>
      <c r="P156">
        <f t="shared" si="47"/>
      </c>
      <c r="Q156">
        <f t="shared" si="47"/>
      </c>
      <c r="R156" s="9">
        <f t="shared" si="39"/>
        <v>150000</v>
      </c>
      <c r="T156">
        <f t="shared" si="40"/>
      </c>
      <c r="U156">
        <f t="shared" si="48"/>
      </c>
      <c r="V156">
        <f t="shared" si="48"/>
      </c>
      <c r="W156">
        <f t="shared" si="48"/>
        <v>150000</v>
      </c>
      <c r="X156">
        <f t="shared" si="48"/>
      </c>
      <c r="Y156">
        <f t="shared" si="48"/>
      </c>
      <c r="Z156">
        <f t="shared" si="48"/>
      </c>
      <c r="AA156">
        <f t="shared" si="48"/>
      </c>
      <c r="AB156">
        <f t="shared" si="48"/>
      </c>
      <c r="AC156">
        <f t="shared" si="48"/>
      </c>
      <c r="AD156">
        <f t="shared" si="48"/>
      </c>
      <c r="AE156">
        <f t="shared" si="34"/>
      </c>
      <c r="AF156" s="9">
        <f t="shared" si="35"/>
        <v>150000</v>
      </c>
      <c r="AG156">
        <f t="shared" si="44"/>
        <v>0</v>
      </c>
      <c r="AH156">
        <f t="shared" si="43"/>
        <v>0</v>
      </c>
      <c r="AI156">
        <f t="shared" si="43"/>
        <v>0</v>
      </c>
      <c r="AJ156">
        <f t="shared" si="43"/>
        <v>0</v>
      </c>
      <c r="AK156">
        <f t="shared" si="43"/>
        <v>1</v>
      </c>
      <c r="AL156">
        <f t="shared" si="43"/>
        <v>0</v>
      </c>
      <c r="AM156">
        <f t="shared" si="43"/>
        <v>0</v>
      </c>
      <c r="AN156">
        <f t="shared" si="43"/>
        <v>0</v>
      </c>
      <c r="AO156">
        <f t="shared" si="43"/>
        <v>0</v>
      </c>
      <c r="AP156">
        <f t="shared" si="41"/>
        <v>3</v>
      </c>
      <c r="BL156" s="9">
        <f t="shared" si="36"/>
        <v>138458.06251934383</v>
      </c>
      <c r="BM156" s="9">
        <f t="shared" si="37"/>
      </c>
      <c r="BN156" s="9">
        <f t="shared" si="38"/>
        <v>138458.06251934383</v>
      </c>
      <c r="BU156" s="9"/>
      <c r="BV156" s="9"/>
      <c r="BW156" s="9"/>
      <c r="BX156" s="9"/>
    </row>
    <row r="157" spans="1:76" ht="12.75">
      <c r="A157" s="59">
        <f t="shared" si="42"/>
        <v>102</v>
      </c>
      <c r="B157" s="53" t="s">
        <v>90</v>
      </c>
      <c r="C157" s="53">
        <v>2005</v>
      </c>
      <c r="D157" s="80">
        <v>240000</v>
      </c>
      <c r="E157" s="81"/>
      <c r="F157" s="81"/>
      <c r="G157" s="66"/>
      <c r="H157">
        <f t="shared" si="47"/>
      </c>
      <c r="I157">
        <f t="shared" si="47"/>
      </c>
      <c r="J157">
        <f t="shared" si="47"/>
      </c>
      <c r="K157">
        <f t="shared" si="47"/>
      </c>
      <c r="L157">
        <f t="shared" si="47"/>
      </c>
      <c r="M157">
        <f t="shared" si="47"/>
        <v>240000</v>
      </c>
      <c r="N157">
        <f t="shared" si="47"/>
      </c>
      <c r="O157">
        <f t="shared" si="47"/>
      </c>
      <c r="P157">
        <f t="shared" si="47"/>
      </c>
      <c r="Q157">
        <f t="shared" si="47"/>
      </c>
      <c r="R157" s="9">
        <f t="shared" si="39"/>
        <v>240000</v>
      </c>
      <c r="T157">
        <f t="shared" si="40"/>
      </c>
      <c r="U157">
        <f t="shared" si="48"/>
      </c>
      <c r="V157">
        <f t="shared" si="48"/>
        <v>240000</v>
      </c>
      <c r="W157">
        <f t="shared" si="48"/>
      </c>
      <c r="X157">
        <f t="shared" si="48"/>
      </c>
      <c r="Y157">
        <f t="shared" si="48"/>
      </c>
      <c r="Z157">
        <f t="shared" si="48"/>
      </c>
      <c r="AA157">
        <f t="shared" si="48"/>
      </c>
      <c r="AB157">
        <f t="shared" si="48"/>
      </c>
      <c r="AC157">
        <f t="shared" si="48"/>
      </c>
      <c r="AD157">
        <f t="shared" si="48"/>
      </c>
      <c r="AE157">
        <f t="shared" si="34"/>
      </c>
      <c r="AF157" s="9">
        <f t="shared" si="35"/>
        <v>240000</v>
      </c>
      <c r="AG157">
        <f t="shared" si="44"/>
        <v>0</v>
      </c>
      <c r="AH157">
        <f t="shared" si="43"/>
        <v>0</v>
      </c>
      <c r="AI157">
        <f t="shared" si="43"/>
        <v>0</v>
      </c>
      <c r="AJ157">
        <f t="shared" si="43"/>
        <v>0</v>
      </c>
      <c r="AK157">
        <f t="shared" si="43"/>
        <v>1</v>
      </c>
      <c r="AL157">
        <f t="shared" si="43"/>
        <v>0</v>
      </c>
      <c r="AM157">
        <f t="shared" si="43"/>
        <v>0</v>
      </c>
      <c r="AN157">
        <f t="shared" si="43"/>
        <v>0</v>
      </c>
      <c r="AO157">
        <f t="shared" si="43"/>
        <v>0</v>
      </c>
      <c r="AP157">
        <f t="shared" si="41"/>
        <v>2</v>
      </c>
      <c r="BL157" s="9">
        <f t="shared" si="36"/>
        <v>232305.3750128959</v>
      </c>
      <c r="BM157" s="9">
        <f t="shared" si="37"/>
      </c>
      <c r="BN157" s="9">
        <f t="shared" si="38"/>
        <v>232305.3750128959</v>
      </c>
      <c r="BU157" s="9"/>
      <c r="BV157" s="9"/>
      <c r="BW157" s="9"/>
      <c r="BX157" s="9"/>
    </row>
    <row r="158" spans="1:76" ht="12.75">
      <c r="A158" s="59">
        <f t="shared" si="42"/>
        <v>103</v>
      </c>
      <c r="B158" s="53" t="s">
        <v>90</v>
      </c>
      <c r="C158" s="53">
        <v>2005</v>
      </c>
      <c r="D158" s="80">
        <v>350000</v>
      </c>
      <c r="E158" s="81"/>
      <c r="F158" s="81"/>
      <c r="G158" s="66"/>
      <c r="H158">
        <f t="shared" si="47"/>
      </c>
      <c r="I158">
        <f t="shared" si="47"/>
      </c>
      <c r="J158">
        <f t="shared" si="47"/>
      </c>
      <c r="K158">
        <f t="shared" si="47"/>
      </c>
      <c r="L158">
        <f t="shared" si="47"/>
      </c>
      <c r="M158">
        <f t="shared" si="47"/>
        <v>350000</v>
      </c>
      <c r="N158">
        <f t="shared" si="47"/>
      </c>
      <c r="O158">
        <f t="shared" si="47"/>
      </c>
      <c r="P158">
        <f t="shared" si="47"/>
      </c>
      <c r="Q158">
        <f t="shared" si="47"/>
      </c>
      <c r="R158" s="9">
        <f t="shared" si="39"/>
        <v>350000</v>
      </c>
      <c r="T158">
        <f t="shared" si="40"/>
      </c>
      <c r="U158">
        <f t="shared" si="48"/>
      </c>
      <c r="V158">
        <f t="shared" si="48"/>
        <v>350000</v>
      </c>
      <c r="W158">
        <f t="shared" si="48"/>
      </c>
      <c r="X158">
        <f t="shared" si="48"/>
      </c>
      <c r="Y158">
        <f t="shared" si="48"/>
      </c>
      <c r="Z158">
        <f t="shared" si="48"/>
      </c>
      <c r="AA158">
        <f t="shared" si="48"/>
      </c>
      <c r="AB158">
        <f t="shared" si="48"/>
      </c>
      <c r="AC158">
        <f t="shared" si="48"/>
      </c>
      <c r="AD158">
        <f t="shared" si="48"/>
      </c>
      <c r="AE158">
        <f t="shared" si="34"/>
      </c>
      <c r="AF158" s="9">
        <f t="shared" si="35"/>
        <v>350000</v>
      </c>
      <c r="AG158">
        <f t="shared" si="44"/>
        <v>0</v>
      </c>
      <c r="AH158">
        <f t="shared" si="43"/>
        <v>0</v>
      </c>
      <c r="AI158">
        <f t="shared" si="43"/>
        <v>0</v>
      </c>
      <c r="AJ158">
        <f t="shared" si="43"/>
        <v>0</v>
      </c>
      <c r="AK158">
        <f t="shared" si="43"/>
        <v>1</v>
      </c>
      <c r="AL158">
        <f t="shared" si="43"/>
        <v>0</v>
      </c>
      <c r="AM158">
        <f t="shared" si="43"/>
        <v>0</v>
      </c>
      <c r="AN158">
        <f t="shared" si="43"/>
        <v>0</v>
      </c>
      <c r="AO158">
        <f t="shared" si="43"/>
        <v>0</v>
      </c>
      <c r="AP158">
        <f t="shared" si="41"/>
        <v>2</v>
      </c>
      <c r="BL158" s="9">
        <f t="shared" si="36"/>
        <v>342305.3750128959</v>
      </c>
      <c r="BM158" s="9">
        <f t="shared" si="37"/>
      </c>
      <c r="BN158" s="9">
        <f t="shared" si="38"/>
        <v>342305.3750128959</v>
      </c>
      <c r="BU158" s="9"/>
      <c r="BV158" s="9"/>
      <c r="BW158" s="9"/>
      <c r="BX158" s="9"/>
    </row>
    <row r="159" spans="1:76" ht="12.75">
      <c r="A159" s="59">
        <f t="shared" si="42"/>
        <v>104</v>
      </c>
      <c r="B159" s="53" t="s">
        <v>90</v>
      </c>
      <c r="C159" s="53">
        <v>2006</v>
      </c>
      <c r="D159" s="80">
        <v>350000</v>
      </c>
      <c r="E159" s="81"/>
      <c r="F159" s="81"/>
      <c r="G159" s="66"/>
      <c r="H159">
        <f t="shared" si="47"/>
      </c>
      <c r="I159">
        <f t="shared" si="47"/>
      </c>
      <c r="J159">
        <f t="shared" si="47"/>
      </c>
      <c r="K159">
        <f t="shared" si="47"/>
      </c>
      <c r="L159">
        <f t="shared" si="47"/>
      </c>
      <c r="M159">
        <f t="shared" si="47"/>
        <v>350000</v>
      </c>
      <c r="N159">
        <f t="shared" si="47"/>
      </c>
      <c r="O159">
        <f t="shared" si="47"/>
      </c>
      <c r="P159">
        <f t="shared" si="47"/>
      </c>
      <c r="Q159">
        <f t="shared" si="47"/>
      </c>
      <c r="R159" s="9">
        <f t="shared" si="39"/>
        <v>350000</v>
      </c>
      <c r="T159">
        <f t="shared" si="40"/>
      </c>
      <c r="U159">
        <f t="shared" si="48"/>
        <v>350000</v>
      </c>
      <c r="V159">
        <f t="shared" si="48"/>
      </c>
      <c r="W159">
        <f t="shared" si="48"/>
      </c>
      <c r="X159">
        <f t="shared" si="48"/>
      </c>
      <c r="Y159">
        <f t="shared" si="48"/>
      </c>
      <c r="Z159">
        <f t="shared" si="48"/>
      </c>
      <c r="AA159">
        <f t="shared" si="48"/>
      </c>
      <c r="AB159">
        <f t="shared" si="48"/>
      </c>
      <c r="AC159">
        <f t="shared" si="48"/>
      </c>
      <c r="AD159">
        <f t="shared" si="48"/>
      </c>
      <c r="AE159">
        <f t="shared" si="34"/>
      </c>
      <c r="AF159" s="9">
        <f t="shared" si="35"/>
        <v>350000</v>
      </c>
      <c r="AG159">
        <f t="shared" si="44"/>
        <v>0</v>
      </c>
      <c r="AH159">
        <f t="shared" si="43"/>
        <v>0</v>
      </c>
      <c r="AI159">
        <f t="shared" si="43"/>
        <v>0</v>
      </c>
      <c r="AJ159">
        <f t="shared" si="43"/>
        <v>0</v>
      </c>
      <c r="AK159">
        <f t="shared" si="43"/>
        <v>1</v>
      </c>
      <c r="AL159">
        <f t="shared" si="43"/>
        <v>0</v>
      </c>
      <c r="AM159">
        <f t="shared" si="43"/>
        <v>0</v>
      </c>
      <c r="AN159">
        <f t="shared" si="43"/>
        <v>0</v>
      </c>
      <c r="AO159">
        <f t="shared" si="43"/>
        <v>0</v>
      </c>
      <c r="AP159">
        <f t="shared" si="41"/>
        <v>1</v>
      </c>
      <c r="BL159" s="9">
        <f t="shared" si="36"/>
        <v>346152.68750644795</v>
      </c>
      <c r="BM159" s="9">
        <f t="shared" si="37"/>
      </c>
      <c r="BN159" s="9">
        <f t="shared" si="38"/>
        <v>346152.68750644795</v>
      </c>
      <c r="BU159" s="9"/>
      <c r="BV159" s="9"/>
      <c r="BW159" s="9"/>
      <c r="BX159" s="9"/>
    </row>
    <row r="160" spans="1:76" ht="12.75">
      <c r="A160" s="59">
        <f t="shared" si="42"/>
        <v>105</v>
      </c>
      <c r="B160" s="53" t="s">
        <v>90</v>
      </c>
      <c r="C160" s="53">
        <v>2006</v>
      </c>
      <c r="D160" s="80">
        <v>180000</v>
      </c>
      <c r="E160" s="81"/>
      <c r="F160" s="81"/>
      <c r="G160" s="66"/>
      <c r="H160">
        <f t="shared" si="47"/>
      </c>
      <c r="I160">
        <f t="shared" si="47"/>
      </c>
      <c r="J160">
        <f t="shared" si="47"/>
      </c>
      <c r="K160">
        <f t="shared" si="47"/>
      </c>
      <c r="L160">
        <f t="shared" si="47"/>
      </c>
      <c r="M160">
        <f t="shared" si="47"/>
        <v>180000</v>
      </c>
      <c r="N160">
        <f t="shared" si="47"/>
      </c>
      <c r="O160">
        <f t="shared" si="47"/>
      </c>
      <c r="P160">
        <f t="shared" si="47"/>
      </c>
      <c r="Q160">
        <f t="shared" si="47"/>
      </c>
      <c r="R160" s="9">
        <f t="shared" si="39"/>
        <v>180000</v>
      </c>
      <c r="T160">
        <f t="shared" si="40"/>
      </c>
      <c r="U160">
        <f t="shared" si="48"/>
        <v>180000</v>
      </c>
      <c r="V160">
        <f t="shared" si="48"/>
      </c>
      <c r="W160">
        <f t="shared" si="48"/>
      </c>
      <c r="X160">
        <f t="shared" si="48"/>
      </c>
      <c r="Y160">
        <f t="shared" si="48"/>
      </c>
      <c r="Z160">
        <f t="shared" si="48"/>
      </c>
      <c r="AA160">
        <f t="shared" si="48"/>
      </c>
      <c r="AB160">
        <f t="shared" si="48"/>
      </c>
      <c r="AC160">
        <f t="shared" si="48"/>
      </c>
      <c r="AD160">
        <f t="shared" si="48"/>
      </c>
      <c r="AE160">
        <f t="shared" si="34"/>
      </c>
      <c r="AF160" s="9">
        <f t="shared" si="35"/>
        <v>180000</v>
      </c>
      <c r="AG160">
        <f t="shared" si="44"/>
        <v>0</v>
      </c>
      <c r="AH160">
        <f t="shared" si="43"/>
        <v>0</v>
      </c>
      <c r="AI160">
        <f t="shared" si="43"/>
        <v>0</v>
      </c>
      <c r="AJ160">
        <f t="shared" si="43"/>
        <v>0</v>
      </c>
      <c r="AK160">
        <f t="shared" si="43"/>
        <v>1</v>
      </c>
      <c r="AL160">
        <f t="shared" si="43"/>
        <v>0</v>
      </c>
      <c r="AM160">
        <f t="shared" si="43"/>
        <v>0</v>
      </c>
      <c r="AN160">
        <f t="shared" si="43"/>
        <v>0</v>
      </c>
      <c r="AO160">
        <f t="shared" si="43"/>
        <v>0</v>
      </c>
      <c r="AP160">
        <f t="shared" si="41"/>
        <v>1</v>
      </c>
      <c r="BL160" s="9">
        <f t="shared" si="36"/>
        <v>176152.68750644795</v>
      </c>
      <c r="BM160" s="9">
        <f t="shared" si="37"/>
      </c>
      <c r="BN160" s="9">
        <f t="shared" si="38"/>
        <v>176152.68750644795</v>
      </c>
      <c r="BU160" s="9"/>
      <c r="BV160" s="9"/>
      <c r="BW160" s="9"/>
      <c r="BX160" s="9"/>
    </row>
    <row r="161" spans="1:76" ht="12.75">
      <c r="A161" s="59">
        <f t="shared" si="42"/>
        <v>106</v>
      </c>
      <c r="B161" s="53" t="s">
        <v>90</v>
      </c>
      <c r="C161" s="53">
        <v>2005</v>
      </c>
      <c r="D161" s="80">
        <v>100000</v>
      </c>
      <c r="E161" s="81"/>
      <c r="F161" s="81"/>
      <c r="G161" s="66"/>
      <c r="H161">
        <f t="shared" si="47"/>
      </c>
      <c r="I161">
        <f t="shared" si="47"/>
      </c>
      <c r="J161">
        <f t="shared" si="47"/>
      </c>
      <c r="K161">
        <f t="shared" si="47"/>
      </c>
      <c r="L161">
        <f t="shared" si="47"/>
      </c>
      <c r="M161">
        <f t="shared" si="47"/>
        <v>100000</v>
      </c>
      <c r="N161">
        <f t="shared" si="47"/>
      </c>
      <c r="O161">
        <f t="shared" si="47"/>
      </c>
      <c r="P161">
        <f t="shared" si="47"/>
      </c>
      <c r="Q161">
        <f t="shared" si="47"/>
      </c>
      <c r="R161" s="9">
        <f t="shared" si="39"/>
        <v>100000</v>
      </c>
      <c r="T161">
        <f t="shared" si="40"/>
      </c>
      <c r="U161">
        <f t="shared" si="48"/>
      </c>
      <c r="V161">
        <f t="shared" si="48"/>
        <v>100000</v>
      </c>
      <c r="W161">
        <f t="shared" si="48"/>
      </c>
      <c r="X161">
        <f t="shared" si="48"/>
      </c>
      <c r="Y161">
        <f t="shared" si="48"/>
      </c>
      <c r="Z161">
        <f t="shared" si="48"/>
      </c>
      <c r="AA161">
        <f t="shared" si="48"/>
      </c>
      <c r="AB161">
        <f t="shared" si="48"/>
      </c>
      <c r="AC161">
        <f t="shared" si="48"/>
      </c>
      <c r="AD161">
        <f t="shared" si="48"/>
      </c>
      <c r="AE161">
        <f t="shared" si="34"/>
      </c>
      <c r="AF161" s="9">
        <f t="shared" si="35"/>
        <v>100000</v>
      </c>
      <c r="AG161">
        <f t="shared" si="44"/>
        <v>0</v>
      </c>
      <c r="AH161">
        <f t="shared" si="44"/>
        <v>0</v>
      </c>
      <c r="AI161">
        <f t="shared" si="44"/>
        <v>0</v>
      </c>
      <c r="AJ161">
        <f t="shared" si="44"/>
        <v>0</v>
      </c>
      <c r="AK161">
        <f t="shared" si="44"/>
        <v>1</v>
      </c>
      <c r="AL161">
        <f t="shared" si="44"/>
        <v>0</v>
      </c>
      <c r="AM161">
        <f t="shared" si="44"/>
        <v>0</v>
      </c>
      <c r="AN161">
        <f t="shared" si="44"/>
        <v>0</v>
      </c>
      <c r="AO161">
        <f t="shared" si="44"/>
        <v>0</v>
      </c>
      <c r="AP161">
        <f t="shared" si="41"/>
        <v>2</v>
      </c>
      <c r="BL161" s="9">
        <f t="shared" si="36"/>
        <v>92305.37501289589</v>
      </c>
      <c r="BM161" s="9">
        <f t="shared" si="37"/>
        <v>92305.37501289589</v>
      </c>
      <c r="BN161" s="9">
        <f t="shared" si="38"/>
      </c>
      <c r="BU161" s="9"/>
      <c r="BV161" s="9"/>
      <c r="BW161" s="9"/>
      <c r="BX161" s="9"/>
    </row>
    <row r="162" spans="1:76" ht="12.75">
      <c r="A162" s="59">
        <f t="shared" si="42"/>
        <v>107</v>
      </c>
      <c r="B162" s="53" t="s">
        <v>90</v>
      </c>
      <c r="C162" s="53">
        <v>2006</v>
      </c>
      <c r="D162" s="80">
        <v>150000</v>
      </c>
      <c r="E162" s="81"/>
      <c r="F162" s="81"/>
      <c r="G162" s="66"/>
      <c r="H162">
        <f t="shared" si="47"/>
      </c>
      <c r="I162">
        <f t="shared" si="47"/>
      </c>
      <c r="J162">
        <f t="shared" si="47"/>
      </c>
      <c r="K162">
        <f t="shared" si="47"/>
      </c>
      <c r="L162">
        <f t="shared" si="47"/>
      </c>
      <c r="M162">
        <f t="shared" si="47"/>
        <v>150000</v>
      </c>
      <c r="N162">
        <f t="shared" si="47"/>
      </c>
      <c r="O162">
        <f t="shared" si="47"/>
      </c>
      <c r="P162">
        <f t="shared" si="47"/>
      </c>
      <c r="Q162">
        <f t="shared" si="47"/>
      </c>
      <c r="R162" s="9">
        <f t="shared" si="39"/>
        <v>150000</v>
      </c>
      <c r="T162">
        <f t="shared" si="40"/>
      </c>
      <c r="U162">
        <f t="shared" si="48"/>
        <v>150000</v>
      </c>
      <c r="V162">
        <f t="shared" si="48"/>
      </c>
      <c r="W162">
        <f t="shared" si="48"/>
      </c>
      <c r="X162">
        <f t="shared" si="48"/>
      </c>
      <c r="Y162">
        <f t="shared" si="48"/>
      </c>
      <c r="Z162">
        <f t="shared" si="48"/>
      </c>
      <c r="AA162">
        <f t="shared" si="48"/>
      </c>
      <c r="AB162">
        <f t="shared" si="48"/>
      </c>
      <c r="AC162">
        <f t="shared" si="48"/>
      </c>
      <c r="AD162">
        <f t="shared" si="48"/>
      </c>
      <c r="AE162">
        <f t="shared" si="34"/>
      </c>
      <c r="AF162" s="9">
        <f t="shared" si="35"/>
        <v>150000</v>
      </c>
      <c r="AG162">
        <f t="shared" si="44"/>
        <v>0</v>
      </c>
      <c r="AH162">
        <f t="shared" si="44"/>
        <v>0</v>
      </c>
      <c r="AI162">
        <f t="shared" si="44"/>
        <v>0</v>
      </c>
      <c r="AJ162">
        <f t="shared" si="44"/>
        <v>0</v>
      </c>
      <c r="AK162">
        <f t="shared" si="44"/>
        <v>1</v>
      </c>
      <c r="AL162">
        <f t="shared" si="44"/>
        <v>0</v>
      </c>
      <c r="AM162">
        <f t="shared" si="44"/>
        <v>0</v>
      </c>
      <c r="AN162">
        <f t="shared" si="44"/>
        <v>0</v>
      </c>
      <c r="AO162">
        <f t="shared" si="44"/>
        <v>0</v>
      </c>
      <c r="AP162">
        <f t="shared" si="41"/>
        <v>1</v>
      </c>
      <c r="BL162" s="9">
        <f t="shared" si="36"/>
        <v>146152.68750644795</v>
      </c>
      <c r="BM162" s="9">
        <f t="shared" si="37"/>
      </c>
      <c r="BN162" s="9">
        <f t="shared" si="38"/>
        <v>146152.68750644795</v>
      </c>
      <c r="BU162" s="9"/>
      <c r="BV162" s="9"/>
      <c r="BW162" s="9"/>
      <c r="BX162" s="9"/>
    </row>
    <row r="163" spans="1:76" ht="12.75">
      <c r="A163" s="59">
        <f t="shared" si="42"/>
        <v>108</v>
      </c>
      <c r="B163" s="53" t="s">
        <v>90</v>
      </c>
      <c r="C163" s="53">
        <v>2006</v>
      </c>
      <c r="D163" s="80">
        <v>200000</v>
      </c>
      <c r="E163" s="81"/>
      <c r="F163" s="81"/>
      <c r="G163" s="66"/>
      <c r="H163">
        <f t="shared" si="47"/>
      </c>
      <c r="I163">
        <f t="shared" si="47"/>
      </c>
      <c r="J163">
        <f t="shared" si="47"/>
      </c>
      <c r="K163">
        <f t="shared" si="47"/>
      </c>
      <c r="L163">
        <f t="shared" si="47"/>
      </c>
      <c r="M163">
        <f t="shared" si="47"/>
        <v>200000</v>
      </c>
      <c r="N163">
        <f t="shared" si="47"/>
      </c>
      <c r="O163">
        <f t="shared" si="47"/>
      </c>
      <c r="P163">
        <f t="shared" si="47"/>
      </c>
      <c r="Q163">
        <f t="shared" si="47"/>
      </c>
      <c r="R163" s="9">
        <f t="shared" si="39"/>
        <v>200000</v>
      </c>
      <c r="T163">
        <f t="shared" si="40"/>
      </c>
      <c r="U163">
        <f t="shared" si="48"/>
        <v>200000</v>
      </c>
      <c r="V163">
        <f t="shared" si="48"/>
      </c>
      <c r="W163">
        <f t="shared" si="48"/>
      </c>
      <c r="X163">
        <f t="shared" si="48"/>
      </c>
      <c r="Y163">
        <f t="shared" si="48"/>
      </c>
      <c r="Z163">
        <f t="shared" si="48"/>
      </c>
      <c r="AA163">
        <f t="shared" si="48"/>
      </c>
      <c r="AB163">
        <f t="shared" si="48"/>
      </c>
      <c r="AC163">
        <f t="shared" si="48"/>
      </c>
      <c r="AD163">
        <f t="shared" si="48"/>
      </c>
      <c r="AE163">
        <f t="shared" si="34"/>
      </c>
      <c r="AF163" s="9">
        <f t="shared" si="35"/>
        <v>200000</v>
      </c>
      <c r="AG163">
        <f t="shared" si="44"/>
        <v>0</v>
      </c>
      <c r="AH163">
        <f t="shared" si="44"/>
        <v>0</v>
      </c>
      <c r="AI163">
        <f t="shared" si="44"/>
        <v>0</v>
      </c>
      <c r="AJ163">
        <f t="shared" si="44"/>
        <v>0</v>
      </c>
      <c r="AK163">
        <f t="shared" si="44"/>
        <v>1</v>
      </c>
      <c r="AL163">
        <f t="shared" si="44"/>
        <v>0</v>
      </c>
      <c r="AM163">
        <f t="shared" si="44"/>
        <v>0</v>
      </c>
      <c r="AN163">
        <f t="shared" si="44"/>
        <v>0</v>
      </c>
      <c r="AO163">
        <f t="shared" si="44"/>
        <v>0</v>
      </c>
      <c r="AP163">
        <f t="shared" si="41"/>
        <v>1</v>
      </c>
      <c r="BL163" s="9">
        <f t="shared" si="36"/>
        <v>196152.68750644795</v>
      </c>
      <c r="BM163" s="9">
        <f t="shared" si="37"/>
      </c>
      <c r="BN163" s="9">
        <f t="shared" si="38"/>
        <v>196152.68750644795</v>
      </c>
      <c r="BU163" s="9"/>
      <c r="BV163" s="9"/>
      <c r="BW163" s="9"/>
      <c r="BX163" s="9"/>
    </row>
    <row r="164" spans="1:76" ht="12.75">
      <c r="A164" s="59">
        <f t="shared" si="42"/>
        <v>109</v>
      </c>
      <c r="B164" s="53" t="s">
        <v>90</v>
      </c>
      <c r="C164" s="53">
        <v>2006</v>
      </c>
      <c r="D164" s="80">
        <v>80000</v>
      </c>
      <c r="E164" s="81"/>
      <c r="F164" s="81"/>
      <c r="G164" s="66"/>
      <c r="H164">
        <f t="shared" si="47"/>
      </c>
      <c r="I164">
        <f t="shared" si="47"/>
      </c>
      <c r="J164">
        <f t="shared" si="47"/>
      </c>
      <c r="K164">
        <f t="shared" si="47"/>
      </c>
      <c r="L164">
        <f t="shared" si="47"/>
      </c>
      <c r="M164">
        <f t="shared" si="47"/>
        <v>80000</v>
      </c>
      <c r="N164">
        <f t="shared" si="47"/>
      </c>
      <c r="O164">
        <f t="shared" si="47"/>
      </c>
      <c r="P164">
        <f t="shared" si="47"/>
      </c>
      <c r="Q164">
        <f t="shared" si="47"/>
      </c>
      <c r="R164" s="9">
        <f t="shared" si="39"/>
        <v>80000</v>
      </c>
      <c r="T164">
        <f t="shared" si="40"/>
      </c>
      <c r="U164">
        <f t="shared" si="48"/>
        <v>80000</v>
      </c>
      <c r="V164">
        <f t="shared" si="48"/>
      </c>
      <c r="W164">
        <f t="shared" si="48"/>
      </c>
      <c r="X164">
        <f t="shared" si="48"/>
      </c>
      <c r="Y164">
        <f t="shared" si="48"/>
      </c>
      <c r="Z164">
        <f t="shared" si="48"/>
      </c>
      <c r="AA164">
        <f t="shared" si="48"/>
      </c>
      <c r="AB164">
        <f t="shared" si="48"/>
      </c>
      <c r="AC164">
        <f t="shared" si="48"/>
      </c>
      <c r="AD164">
        <f t="shared" si="48"/>
      </c>
      <c r="AE164">
        <f t="shared" si="34"/>
      </c>
      <c r="AF164" s="9">
        <f t="shared" si="35"/>
        <v>80000</v>
      </c>
      <c r="AG164">
        <f t="shared" si="44"/>
        <v>0</v>
      </c>
      <c r="AH164">
        <f t="shared" si="44"/>
        <v>0</v>
      </c>
      <c r="AI164">
        <f t="shared" si="44"/>
        <v>0</v>
      </c>
      <c r="AJ164">
        <f t="shared" si="44"/>
        <v>0</v>
      </c>
      <c r="AK164">
        <f t="shared" si="44"/>
        <v>1</v>
      </c>
      <c r="AL164">
        <f t="shared" si="44"/>
        <v>0</v>
      </c>
      <c r="AM164">
        <f t="shared" si="44"/>
        <v>0</v>
      </c>
      <c r="AN164">
        <f t="shared" si="44"/>
        <v>0</v>
      </c>
      <c r="AO164">
        <f t="shared" si="44"/>
        <v>0</v>
      </c>
      <c r="AP164">
        <f t="shared" si="41"/>
        <v>1</v>
      </c>
      <c r="BL164" s="9">
        <f t="shared" si="36"/>
        <v>76152.68750644795</v>
      </c>
      <c r="BM164" s="9">
        <f t="shared" si="37"/>
        <v>76152.68750644795</v>
      </c>
      <c r="BN164" s="9">
        <f t="shared" si="38"/>
      </c>
      <c r="BU164" s="9"/>
      <c r="BV164" s="9"/>
      <c r="BW164" s="9"/>
      <c r="BX164" s="9"/>
    </row>
    <row r="165" spans="1:76" ht="12.75">
      <c r="A165" s="59">
        <f t="shared" si="42"/>
        <v>110</v>
      </c>
      <c r="B165" s="53" t="s">
        <v>90</v>
      </c>
      <c r="C165" s="53">
        <v>2006</v>
      </c>
      <c r="D165" s="80">
        <v>80000</v>
      </c>
      <c r="E165" s="81"/>
      <c r="F165" s="81"/>
      <c r="G165" s="66"/>
      <c r="H165">
        <f t="shared" si="47"/>
      </c>
      <c r="I165">
        <f t="shared" si="47"/>
      </c>
      <c r="J165">
        <f t="shared" si="47"/>
      </c>
      <c r="K165">
        <f t="shared" si="47"/>
      </c>
      <c r="L165">
        <f t="shared" si="47"/>
      </c>
      <c r="M165">
        <f t="shared" si="47"/>
        <v>80000</v>
      </c>
      <c r="N165">
        <f t="shared" si="47"/>
      </c>
      <c r="O165">
        <f t="shared" si="47"/>
      </c>
      <c r="P165">
        <f t="shared" si="47"/>
      </c>
      <c r="Q165">
        <f t="shared" si="47"/>
      </c>
      <c r="R165" s="9">
        <f t="shared" si="39"/>
        <v>80000</v>
      </c>
      <c r="T165">
        <f t="shared" si="40"/>
      </c>
      <c r="U165">
        <f t="shared" si="48"/>
        <v>80000</v>
      </c>
      <c r="V165">
        <f t="shared" si="48"/>
      </c>
      <c r="W165">
        <f t="shared" si="48"/>
      </c>
      <c r="X165">
        <f t="shared" si="48"/>
      </c>
      <c r="Y165">
        <f t="shared" si="48"/>
      </c>
      <c r="Z165">
        <f t="shared" si="48"/>
      </c>
      <c r="AA165">
        <f t="shared" si="48"/>
      </c>
      <c r="AB165">
        <f t="shared" si="48"/>
      </c>
      <c r="AC165">
        <f t="shared" si="48"/>
      </c>
      <c r="AD165">
        <f t="shared" si="48"/>
      </c>
      <c r="AE165">
        <f t="shared" si="34"/>
      </c>
      <c r="AF165" s="9">
        <f t="shared" si="35"/>
        <v>80000</v>
      </c>
      <c r="AG165">
        <f t="shared" si="44"/>
        <v>0</v>
      </c>
      <c r="AH165">
        <f t="shared" si="44"/>
        <v>0</v>
      </c>
      <c r="AI165">
        <f t="shared" si="44"/>
        <v>0</v>
      </c>
      <c r="AJ165">
        <f t="shared" si="44"/>
        <v>0</v>
      </c>
      <c r="AK165">
        <f t="shared" si="44"/>
        <v>1</v>
      </c>
      <c r="AL165">
        <f t="shared" si="44"/>
        <v>0</v>
      </c>
      <c r="AM165">
        <f t="shared" si="44"/>
        <v>0</v>
      </c>
      <c r="AN165">
        <f t="shared" si="44"/>
        <v>0</v>
      </c>
      <c r="AO165">
        <f t="shared" si="44"/>
        <v>0</v>
      </c>
      <c r="AP165">
        <f t="shared" si="41"/>
        <v>1</v>
      </c>
      <c r="BL165" s="9">
        <f t="shared" si="36"/>
        <v>76152.68750644795</v>
      </c>
      <c r="BM165" s="9">
        <f t="shared" si="37"/>
        <v>76152.68750644795</v>
      </c>
      <c r="BN165" s="9">
        <f t="shared" si="38"/>
      </c>
      <c r="BU165" s="9"/>
      <c r="BV165" s="9"/>
      <c r="BW165" s="9"/>
      <c r="BX165" s="9"/>
    </row>
    <row r="166" spans="1:76" ht="12.75">
      <c r="A166" s="59">
        <f t="shared" si="42"/>
        <v>111</v>
      </c>
      <c r="B166" s="53" t="s">
        <v>90</v>
      </c>
      <c r="C166" s="53">
        <v>2006</v>
      </c>
      <c r="D166" s="80">
        <v>150000</v>
      </c>
      <c r="E166" s="81"/>
      <c r="F166" s="81"/>
      <c r="G166" s="66"/>
      <c r="H166">
        <f t="shared" si="47"/>
      </c>
      <c r="I166">
        <f t="shared" si="47"/>
      </c>
      <c r="J166">
        <f t="shared" si="47"/>
      </c>
      <c r="K166">
        <f t="shared" si="47"/>
      </c>
      <c r="L166">
        <f t="shared" si="47"/>
      </c>
      <c r="M166">
        <f t="shared" si="47"/>
        <v>150000</v>
      </c>
      <c r="N166">
        <f t="shared" si="47"/>
      </c>
      <c r="O166">
        <f t="shared" si="47"/>
      </c>
      <c r="P166">
        <f t="shared" si="47"/>
      </c>
      <c r="Q166">
        <f t="shared" si="47"/>
      </c>
      <c r="R166" s="9">
        <f t="shared" si="39"/>
        <v>150000</v>
      </c>
      <c r="T166">
        <f t="shared" si="40"/>
      </c>
      <c r="U166">
        <f t="shared" si="48"/>
        <v>150000</v>
      </c>
      <c r="V166">
        <f t="shared" si="48"/>
      </c>
      <c r="W166">
        <f t="shared" si="48"/>
      </c>
      <c r="X166">
        <f t="shared" si="48"/>
      </c>
      <c r="Y166">
        <f t="shared" si="48"/>
      </c>
      <c r="Z166">
        <f t="shared" si="48"/>
      </c>
      <c r="AA166">
        <f t="shared" si="48"/>
      </c>
      <c r="AB166">
        <f t="shared" si="48"/>
      </c>
      <c r="AC166">
        <f t="shared" si="48"/>
      </c>
      <c r="AD166">
        <f t="shared" si="48"/>
      </c>
      <c r="AE166">
        <f t="shared" si="34"/>
      </c>
      <c r="AF166" s="9">
        <f t="shared" si="35"/>
        <v>150000</v>
      </c>
      <c r="AG166">
        <f t="shared" si="44"/>
        <v>0</v>
      </c>
      <c r="AH166">
        <f t="shared" si="44"/>
        <v>0</v>
      </c>
      <c r="AI166">
        <f t="shared" si="44"/>
        <v>0</v>
      </c>
      <c r="AJ166">
        <f t="shared" si="44"/>
        <v>0</v>
      </c>
      <c r="AK166">
        <f t="shared" si="44"/>
        <v>1</v>
      </c>
      <c r="AL166">
        <f t="shared" si="44"/>
        <v>0</v>
      </c>
      <c r="AM166">
        <f t="shared" si="44"/>
        <v>0</v>
      </c>
      <c r="AN166">
        <f t="shared" si="44"/>
        <v>0</v>
      </c>
      <c r="AO166">
        <f t="shared" si="44"/>
        <v>0</v>
      </c>
      <c r="AP166">
        <f t="shared" si="41"/>
        <v>1</v>
      </c>
      <c r="BL166" s="9">
        <f t="shared" si="36"/>
        <v>146152.68750644795</v>
      </c>
      <c r="BM166" s="9">
        <f t="shared" si="37"/>
      </c>
      <c r="BN166" s="9">
        <f t="shared" si="38"/>
        <v>146152.68750644795</v>
      </c>
      <c r="BU166" s="9"/>
      <c r="BV166" s="9"/>
      <c r="BW166" s="9"/>
      <c r="BX166" s="9"/>
    </row>
    <row r="167" spans="1:76" ht="12.75">
      <c r="A167" s="59">
        <f t="shared" si="42"/>
        <v>112</v>
      </c>
      <c r="B167" s="53" t="s">
        <v>90</v>
      </c>
      <c r="C167" s="53">
        <v>2005</v>
      </c>
      <c r="D167" s="80">
        <v>320000</v>
      </c>
      <c r="E167" s="81"/>
      <c r="F167" s="81"/>
      <c r="G167" s="66"/>
      <c r="H167">
        <f t="shared" si="47"/>
      </c>
      <c r="I167">
        <f t="shared" si="47"/>
      </c>
      <c r="J167">
        <f t="shared" si="47"/>
      </c>
      <c r="K167">
        <f t="shared" si="47"/>
      </c>
      <c r="L167">
        <f t="shared" si="47"/>
      </c>
      <c r="M167">
        <f t="shared" si="47"/>
        <v>320000</v>
      </c>
      <c r="N167">
        <f t="shared" si="47"/>
      </c>
      <c r="O167">
        <f t="shared" si="47"/>
      </c>
      <c r="P167">
        <f t="shared" si="47"/>
      </c>
      <c r="Q167">
        <f t="shared" si="47"/>
      </c>
      <c r="R167" s="9">
        <f t="shared" si="39"/>
        <v>320000</v>
      </c>
      <c r="T167">
        <f t="shared" si="40"/>
      </c>
      <c r="U167">
        <f t="shared" si="48"/>
      </c>
      <c r="V167">
        <f t="shared" si="48"/>
        <v>320000</v>
      </c>
      <c r="W167">
        <f t="shared" si="48"/>
      </c>
      <c r="X167">
        <f t="shared" si="48"/>
      </c>
      <c r="Y167">
        <f t="shared" si="48"/>
      </c>
      <c r="Z167">
        <f t="shared" si="48"/>
      </c>
      <c r="AA167">
        <f t="shared" si="48"/>
      </c>
      <c r="AB167">
        <f t="shared" si="48"/>
      </c>
      <c r="AC167">
        <f t="shared" si="48"/>
      </c>
      <c r="AD167">
        <f t="shared" si="48"/>
      </c>
      <c r="AE167">
        <f t="shared" si="34"/>
      </c>
      <c r="AF167" s="9">
        <f t="shared" si="35"/>
        <v>320000</v>
      </c>
      <c r="AG167">
        <f t="shared" si="44"/>
        <v>0</v>
      </c>
      <c r="AH167">
        <f t="shared" si="44"/>
        <v>0</v>
      </c>
      <c r="AI167">
        <f t="shared" si="44"/>
        <v>0</v>
      </c>
      <c r="AJ167">
        <f t="shared" si="44"/>
        <v>0</v>
      </c>
      <c r="AK167">
        <f t="shared" si="44"/>
        <v>1</v>
      </c>
      <c r="AL167">
        <f t="shared" si="44"/>
        <v>0</v>
      </c>
      <c r="AM167">
        <f t="shared" si="44"/>
        <v>0</v>
      </c>
      <c r="AN167">
        <f t="shared" si="44"/>
        <v>0</v>
      </c>
      <c r="AO167">
        <f t="shared" si="44"/>
        <v>0</v>
      </c>
      <c r="AP167">
        <f t="shared" si="41"/>
        <v>2</v>
      </c>
      <c r="BL167" s="9">
        <f t="shared" si="36"/>
        <v>312305.3750128959</v>
      </c>
      <c r="BM167" s="9">
        <f t="shared" si="37"/>
      </c>
      <c r="BN167" s="9">
        <f t="shared" si="38"/>
        <v>312305.3750128959</v>
      </c>
      <c r="BU167" s="9"/>
      <c r="BV167" s="9"/>
      <c r="BW167" s="9"/>
      <c r="BX167" s="9"/>
    </row>
    <row r="168" spans="1:76" ht="12.75">
      <c r="A168" s="59">
        <f t="shared" si="42"/>
        <v>113</v>
      </c>
      <c r="B168" s="53" t="s">
        <v>90</v>
      </c>
      <c r="C168" s="53">
        <v>2004</v>
      </c>
      <c r="D168" s="80">
        <v>480000</v>
      </c>
      <c r="E168" s="81"/>
      <c r="F168" s="81"/>
      <c r="G168" s="66"/>
      <c r="H168">
        <f aca="true" t="shared" si="49" ref="H168:Q183">IF($B168=H$55,$D168,"")</f>
      </c>
      <c r="I168">
        <f t="shared" si="49"/>
      </c>
      <c r="J168">
        <f t="shared" si="49"/>
      </c>
      <c r="K168">
        <f t="shared" si="49"/>
      </c>
      <c r="L168">
        <f t="shared" si="49"/>
      </c>
      <c r="M168">
        <f t="shared" si="49"/>
        <v>480000</v>
      </c>
      <c r="N168">
        <f t="shared" si="49"/>
      </c>
      <c r="O168">
        <f t="shared" si="49"/>
      </c>
      <c r="P168">
        <f t="shared" si="49"/>
      </c>
      <c r="Q168">
        <f t="shared" si="49"/>
      </c>
      <c r="R168" s="9">
        <f t="shared" si="39"/>
        <v>480000</v>
      </c>
      <c r="T168">
        <f t="shared" si="40"/>
      </c>
      <c r="U168">
        <f aca="true" t="shared" si="50" ref="U168:AD183">IF($C168=U$55,$D168,"")</f>
      </c>
      <c r="V168">
        <f t="shared" si="50"/>
      </c>
      <c r="W168">
        <f t="shared" si="50"/>
        <v>480000</v>
      </c>
      <c r="X168">
        <f t="shared" si="50"/>
      </c>
      <c r="Y168">
        <f t="shared" si="50"/>
      </c>
      <c r="Z168">
        <f t="shared" si="50"/>
      </c>
      <c r="AA168">
        <f t="shared" si="50"/>
      </c>
      <c r="AB168">
        <f t="shared" si="50"/>
      </c>
      <c r="AC168">
        <f t="shared" si="50"/>
      </c>
      <c r="AD168">
        <f t="shared" si="50"/>
      </c>
      <c r="AE168">
        <f t="shared" si="34"/>
      </c>
      <c r="AF168" s="9">
        <f t="shared" si="35"/>
        <v>480000</v>
      </c>
      <c r="AG168">
        <f t="shared" si="44"/>
        <v>0</v>
      </c>
      <c r="AH168">
        <f t="shared" si="44"/>
        <v>0</v>
      </c>
      <c r="AI168">
        <f t="shared" si="44"/>
        <v>0</v>
      </c>
      <c r="AJ168">
        <f t="shared" si="44"/>
        <v>0</v>
      </c>
      <c r="AK168">
        <f t="shared" si="44"/>
        <v>1</v>
      </c>
      <c r="AL168">
        <f t="shared" si="44"/>
        <v>0</v>
      </c>
      <c r="AM168">
        <f t="shared" si="44"/>
        <v>0</v>
      </c>
      <c r="AN168">
        <f t="shared" si="44"/>
        <v>0</v>
      </c>
      <c r="AO168">
        <f t="shared" si="44"/>
        <v>0</v>
      </c>
      <c r="AP168">
        <f t="shared" si="41"/>
        <v>3</v>
      </c>
      <c r="BL168" s="9">
        <f t="shared" si="36"/>
        <v>468458.06251934386</v>
      </c>
      <c r="BM168" s="9">
        <f t="shared" si="37"/>
      </c>
      <c r="BN168" s="9">
        <f t="shared" si="38"/>
        <v>468458.06251934386</v>
      </c>
      <c r="BU168" s="9"/>
      <c r="BV168" s="9"/>
      <c r="BW168" s="9"/>
      <c r="BX168" s="9"/>
    </row>
    <row r="169" spans="1:76" ht="12.75">
      <c r="A169" s="59">
        <f t="shared" si="42"/>
        <v>114</v>
      </c>
      <c r="B169" s="53" t="s">
        <v>90</v>
      </c>
      <c r="C169" s="53">
        <v>2002</v>
      </c>
      <c r="D169" s="80">
        <v>250000</v>
      </c>
      <c r="E169" s="81"/>
      <c r="F169" s="81"/>
      <c r="G169" s="66"/>
      <c r="H169">
        <f t="shared" si="49"/>
      </c>
      <c r="I169">
        <f t="shared" si="49"/>
      </c>
      <c r="J169">
        <f t="shared" si="49"/>
      </c>
      <c r="K169">
        <f t="shared" si="49"/>
      </c>
      <c r="L169">
        <f t="shared" si="49"/>
      </c>
      <c r="M169">
        <f t="shared" si="49"/>
        <v>250000</v>
      </c>
      <c r="N169">
        <f t="shared" si="49"/>
      </c>
      <c r="O169">
        <f t="shared" si="49"/>
      </c>
      <c r="P169">
        <f t="shared" si="49"/>
      </c>
      <c r="Q169">
        <f t="shared" si="49"/>
      </c>
      <c r="R169" s="9">
        <f t="shared" si="39"/>
        <v>250000</v>
      </c>
      <c r="T169">
        <f t="shared" si="40"/>
      </c>
      <c r="U169">
        <f t="shared" si="50"/>
      </c>
      <c r="V169">
        <f t="shared" si="50"/>
      </c>
      <c r="W169">
        <f t="shared" si="50"/>
      </c>
      <c r="X169">
        <f t="shared" si="50"/>
      </c>
      <c r="Y169">
        <f t="shared" si="50"/>
        <v>250000</v>
      </c>
      <c r="Z169">
        <f t="shared" si="50"/>
      </c>
      <c r="AA169">
        <f t="shared" si="50"/>
      </c>
      <c r="AB169">
        <f t="shared" si="50"/>
      </c>
      <c r="AC169">
        <f t="shared" si="50"/>
      </c>
      <c r="AD169">
        <f t="shared" si="50"/>
      </c>
      <c r="AE169">
        <f t="shared" si="34"/>
      </c>
      <c r="AF169" s="9">
        <f t="shared" si="35"/>
        <v>250000</v>
      </c>
      <c r="AG169">
        <f t="shared" si="44"/>
        <v>0</v>
      </c>
      <c r="AH169">
        <f t="shared" si="44"/>
        <v>0</v>
      </c>
      <c r="AI169">
        <f t="shared" si="44"/>
        <v>0</v>
      </c>
      <c r="AJ169">
        <f t="shared" si="44"/>
        <v>0</v>
      </c>
      <c r="AK169">
        <f t="shared" si="44"/>
        <v>1</v>
      </c>
      <c r="AL169">
        <f t="shared" si="44"/>
        <v>0</v>
      </c>
      <c r="AM169">
        <f t="shared" si="44"/>
        <v>0</v>
      </c>
      <c r="AN169">
        <f t="shared" si="44"/>
        <v>0</v>
      </c>
      <c r="AO169">
        <f t="shared" si="44"/>
        <v>0</v>
      </c>
      <c r="AP169">
        <f t="shared" si="41"/>
        <v>5</v>
      </c>
      <c r="BL169" s="9">
        <f t="shared" si="36"/>
        <v>230763.43753223974</v>
      </c>
      <c r="BM169" s="9">
        <f t="shared" si="37"/>
      </c>
      <c r="BN169" s="9">
        <f t="shared" si="38"/>
        <v>230763.43753223974</v>
      </c>
      <c r="BU169" s="9"/>
      <c r="BV169" s="9"/>
      <c r="BW169" s="9"/>
      <c r="BX169" s="9"/>
    </row>
    <row r="170" spans="1:76" ht="12.75">
      <c r="A170" s="59">
        <f t="shared" si="42"/>
        <v>115</v>
      </c>
      <c r="B170" s="53" t="s">
        <v>90</v>
      </c>
      <c r="C170" s="53">
        <v>2004</v>
      </c>
      <c r="D170" s="80">
        <v>350000</v>
      </c>
      <c r="E170" s="81"/>
      <c r="F170" s="81"/>
      <c r="G170" s="66"/>
      <c r="H170">
        <f t="shared" si="49"/>
      </c>
      <c r="I170">
        <f t="shared" si="49"/>
      </c>
      <c r="J170">
        <f t="shared" si="49"/>
      </c>
      <c r="K170">
        <f t="shared" si="49"/>
      </c>
      <c r="L170">
        <f t="shared" si="49"/>
      </c>
      <c r="M170">
        <f t="shared" si="49"/>
        <v>350000</v>
      </c>
      <c r="N170">
        <f t="shared" si="49"/>
      </c>
      <c r="O170">
        <f t="shared" si="49"/>
      </c>
      <c r="P170">
        <f t="shared" si="49"/>
      </c>
      <c r="Q170">
        <f t="shared" si="49"/>
      </c>
      <c r="R170" s="9">
        <f t="shared" si="39"/>
        <v>350000</v>
      </c>
      <c r="T170">
        <f t="shared" si="40"/>
      </c>
      <c r="U170">
        <f t="shared" si="50"/>
      </c>
      <c r="V170">
        <f t="shared" si="50"/>
      </c>
      <c r="W170">
        <f t="shared" si="50"/>
        <v>350000</v>
      </c>
      <c r="X170">
        <f t="shared" si="50"/>
      </c>
      <c r="Y170">
        <f t="shared" si="50"/>
      </c>
      <c r="Z170">
        <f t="shared" si="50"/>
      </c>
      <c r="AA170">
        <f t="shared" si="50"/>
      </c>
      <c r="AB170">
        <f t="shared" si="50"/>
      </c>
      <c r="AC170">
        <f t="shared" si="50"/>
      </c>
      <c r="AD170">
        <f t="shared" si="50"/>
      </c>
      <c r="AE170">
        <f t="shared" si="34"/>
      </c>
      <c r="AF170" s="9">
        <f t="shared" si="35"/>
        <v>350000</v>
      </c>
      <c r="AG170">
        <f t="shared" si="44"/>
        <v>0</v>
      </c>
      <c r="AH170">
        <f t="shared" si="44"/>
        <v>0</v>
      </c>
      <c r="AI170">
        <f t="shared" si="44"/>
        <v>0</v>
      </c>
      <c r="AJ170">
        <f t="shared" si="44"/>
        <v>0</v>
      </c>
      <c r="AK170">
        <f t="shared" si="44"/>
        <v>1</v>
      </c>
      <c r="AL170">
        <f t="shared" si="44"/>
        <v>0</v>
      </c>
      <c r="AM170">
        <f t="shared" si="44"/>
        <v>0</v>
      </c>
      <c r="AN170">
        <f t="shared" si="44"/>
        <v>0</v>
      </c>
      <c r="AO170">
        <f t="shared" si="44"/>
        <v>0</v>
      </c>
      <c r="AP170">
        <f t="shared" si="41"/>
        <v>3</v>
      </c>
      <c r="BL170" s="9">
        <f t="shared" si="36"/>
        <v>338458.06251934386</v>
      </c>
      <c r="BM170" s="9">
        <f t="shared" si="37"/>
      </c>
      <c r="BN170" s="9">
        <f t="shared" si="38"/>
        <v>338458.06251934386</v>
      </c>
      <c r="BU170" s="9"/>
      <c r="BV170" s="9"/>
      <c r="BW170" s="9"/>
      <c r="BX170" s="9"/>
    </row>
    <row r="171" spans="1:76" ht="12.75">
      <c r="A171" s="59">
        <f t="shared" si="42"/>
        <v>116</v>
      </c>
      <c r="B171" s="53" t="s">
        <v>90</v>
      </c>
      <c r="C171" s="53">
        <v>2005</v>
      </c>
      <c r="D171" s="80">
        <v>250000</v>
      </c>
      <c r="E171" s="81"/>
      <c r="F171" s="81"/>
      <c r="G171" s="66"/>
      <c r="H171">
        <f t="shared" si="49"/>
      </c>
      <c r="I171">
        <f t="shared" si="49"/>
      </c>
      <c r="J171">
        <f t="shared" si="49"/>
      </c>
      <c r="K171">
        <f t="shared" si="49"/>
      </c>
      <c r="L171">
        <f t="shared" si="49"/>
      </c>
      <c r="M171">
        <f t="shared" si="49"/>
        <v>250000</v>
      </c>
      <c r="N171">
        <f t="shared" si="49"/>
      </c>
      <c r="O171">
        <f t="shared" si="49"/>
      </c>
      <c r="P171">
        <f t="shared" si="49"/>
      </c>
      <c r="Q171">
        <f t="shared" si="49"/>
      </c>
      <c r="R171" s="9">
        <f t="shared" si="39"/>
        <v>250000</v>
      </c>
      <c r="T171">
        <f t="shared" si="40"/>
      </c>
      <c r="U171">
        <f t="shared" si="50"/>
      </c>
      <c r="V171">
        <f t="shared" si="50"/>
        <v>250000</v>
      </c>
      <c r="W171">
        <f t="shared" si="50"/>
      </c>
      <c r="X171">
        <f t="shared" si="50"/>
      </c>
      <c r="Y171">
        <f t="shared" si="50"/>
      </c>
      <c r="Z171">
        <f t="shared" si="50"/>
      </c>
      <c r="AA171">
        <f t="shared" si="50"/>
      </c>
      <c r="AB171">
        <f t="shared" si="50"/>
      </c>
      <c r="AC171">
        <f t="shared" si="50"/>
      </c>
      <c r="AD171">
        <f t="shared" si="50"/>
      </c>
      <c r="AE171">
        <f t="shared" si="34"/>
      </c>
      <c r="AF171" s="9">
        <f t="shared" si="35"/>
        <v>250000</v>
      </c>
      <c r="AG171">
        <f t="shared" si="44"/>
        <v>0</v>
      </c>
      <c r="AH171">
        <f t="shared" si="44"/>
        <v>0</v>
      </c>
      <c r="AI171">
        <f t="shared" si="44"/>
        <v>0</v>
      </c>
      <c r="AJ171">
        <f t="shared" si="44"/>
        <v>0</v>
      </c>
      <c r="AK171">
        <f t="shared" si="44"/>
        <v>1</v>
      </c>
      <c r="AL171">
        <f t="shared" si="44"/>
        <v>0</v>
      </c>
      <c r="AM171">
        <f t="shared" si="44"/>
        <v>0</v>
      </c>
      <c r="AN171">
        <f t="shared" si="44"/>
        <v>0</v>
      </c>
      <c r="AO171">
        <f t="shared" si="44"/>
        <v>0</v>
      </c>
      <c r="AP171">
        <f t="shared" si="41"/>
        <v>2</v>
      </c>
      <c r="BL171" s="9">
        <f t="shared" si="36"/>
        <v>242305.3750128959</v>
      </c>
      <c r="BM171" s="9">
        <f t="shared" si="37"/>
      </c>
      <c r="BN171" s="9">
        <f t="shared" si="38"/>
        <v>242305.3750128959</v>
      </c>
      <c r="BU171" s="9"/>
      <c r="BV171" s="9"/>
      <c r="BW171" s="9"/>
      <c r="BX171" s="9"/>
    </row>
    <row r="172" spans="1:76" ht="12.75">
      <c r="A172" s="59">
        <f t="shared" si="42"/>
        <v>117</v>
      </c>
      <c r="B172" s="53" t="s">
        <v>90</v>
      </c>
      <c r="C172" s="53">
        <v>2005</v>
      </c>
      <c r="D172" s="80">
        <v>200000</v>
      </c>
      <c r="E172" s="81"/>
      <c r="F172" s="81"/>
      <c r="G172" s="66"/>
      <c r="H172">
        <f t="shared" si="49"/>
      </c>
      <c r="I172">
        <f t="shared" si="49"/>
      </c>
      <c r="J172">
        <f t="shared" si="49"/>
      </c>
      <c r="K172">
        <f t="shared" si="49"/>
      </c>
      <c r="L172">
        <f t="shared" si="49"/>
      </c>
      <c r="M172">
        <f t="shared" si="49"/>
        <v>200000</v>
      </c>
      <c r="N172">
        <f t="shared" si="49"/>
      </c>
      <c r="O172">
        <f t="shared" si="49"/>
      </c>
      <c r="P172">
        <f t="shared" si="49"/>
      </c>
      <c r="Q172">
        <f t="shared" si="49"/>
      </c>
      <c r="R172" s="9">
        <f t="shared" si="39"/>
        <v>200000</v>
      </c>
      <c r="T172">
        <f t="shared" si="40"/>
      </c>
      <c r="U172">
        <f t="shared" si="50"/>
      </c>
      <c r="V172">
        <f t="shared" si="50"/>
        <v>200000</v>
      </c>
      <c r="W172">
        <f t="shared" si="50"/>
      </c>
      <c r="X172">
        <f t="shared" si="50"/>
      </c>
      <c r="Y172">
        <f t="shared" si="50"/>
      </c>
      <c r="Z172">
        <f t="shared" si="50"/>
      </c>
      <c r="AA172">
        <f t="shared" si="50"/>
      </c>
      <c r="AB172">
        <f t="shared" si="50"/>
      </c>
      <c r="AC172">
        <f t="shared" si="50"/>
      </c>
      <c r="AD172">
        <f t="shared" si="50"/>
      </c>
      <c r="AE172">
        <f t="shared" si="34"/>
      </c>
      <c r="AF172" s="9">
        <f t="shared" si="35"/>
        <v>200000</v>
      </c>
      <c r="AG172">
        <f t="shared" si="44"/>
        <v>0</v>
      </c>
      <c r="AH172">
        <f t="shared" si="44"/>
        <v>0</v>
      </c>
      <c r="AI172">
        <f t="shared" si="44"/>
        <v>0</v>
      </c>
      <c r="AJ172">
        <f t="shared" si="44"/>
        <v>0</v>
      </c>
      <c r="AK172">
        <f t="shared" si="44"/>
        <v>1</v>
      </c>
      <c r="AL172">
        <f t="shared" si="44"/>
        <v>0</v>
      </c>
      <c r="AM172">
        <f t="shared" si="44"/>
        <v>0</v>
      </c>
      <c r="AN172">
        <f t="shared" si="44"/>
        <v>0</v>
      </c>
      <c r="AO172">
        <f t="shared" si="44"/>
        <v>0</v>
      </c>
      <c r="AP172">
        <f t="shared" si="41"/>
        <v>2</v>
      </c>
      <c r="BL172" s="9">
        <f t="shared" si="36"/>
        <v>192305.3750128959</v>
      </c>
      <c r="BM172" s="9">
        <f t="shared" si="37"/>
      </c>
      <c r="BN172" s="9">
        <f t="shared" si="38"/>
        <v>192305.3750128959</v>
      </c>
      <c r="BU172" s="9"/>
      <c r="BV172" s="9"/>
      <c r="BW172" s="9"/>
      <c r="BX172" s="9"/>
    </row>
    <row r="173" spans="1:76" ht="12.75">
      <c r="A173" s="59">
        <f t="shared" si="42"/>
        <v>118</v>
      </c>
      <c r="B173" s="53" t="s">
        <v>90</v>
      </c>
      <c r="C173" s="53">
        <v>2004</v>
      </c>
      <c r="D173" s="80">
        <v>220000</v>
      </c>
      <c r="E173" s="83"/>
      <c r="F173" s="83"/>
      <c r="G173" s="66"/>
      <c r="H173">
        <f t="shared" si="49"/>
      </c>
      <c r="I173">
        <f t="shared" si="49"/>
      </c>
      <c r="J173">
        <f t="shared" si="49"/>
      </c>
      <c r="K173">
        <f t="shared" si="49"/>
      </c>
      <c r="L173">
        <f t="shared" si="49"/>
      </c>
      <c r="M173">
        <f t="shared" si="49"/>
        <v>220000</v>
      </c>
      <c r="N173">
        <f t="shared" si="49"/>
      </c>
      <c r="O173">
        <f t="shared" si="49"/>
      </c>
      <c r="P173">
        <f t="shared" si="49"/>
      </c>
      <c r="Q173">
        <f t="shared" si="49"/>
      </c>
      <c r="R173" s="9">
        <f t="shared" si="39"/>
        <v>220000</v>
      </c>
      <c r="T173">
        <f t="shared" si="40"/>
      </c>
      <c r="U173">
        <f t="shared" si="50"/>
      </c>
      <c r="V173">
        <f t="shared" si="50"/>
      </c>
      <c r="W173">
        <f t="shared" si="50"/>
        <v>220000</v>
      </c>
      <c r="X173">
        <f t="shared" si="50"/>
      </c>
      <c r="Y173">
        <f t="shared" si="50"/>
      </c>
      <c r="Z173">
        <f t="shared" si="50"/>
      </c>
      <c r="AA173">
        <f t="shared" si="50"/>
      </c>
      <c r="AB173">
        <f t="shared" si="50"/>
      </c>
      <c r="AC173">
        <f t="shared" si="50"/>
      </c>
      <c r="AD173">
        <f t="shared" si="50"/>
      </c>
      <c r="AE173">
        <f t="shared" si="34"/>
      </c>
      <c r="AF173" s="9">
        <f t="shared" si="35"/>
        <v>220000</v>
      </c>
      <c r="AG173">
        <f t="shared" si="44"/>
        <v>0</v>
      </c>
      <c r="AH173">
        <f t="shared" si="44"/>
        <v>0</v>
      </c>
      <c r="AI173">
        <f t="shared" si="44"/>
        <v>0</v>
      </c>
      <c r="AJ173">
        <f t="shared" si="44"/>
        <v>0</v>
      </c>
      <c r="AK173">
        <f t="shared" si="44"/>
        <v>1</v>
      </c>
      <c r="AL173">
        <f t="shared" si="44"/>
        <v>0</v>
      </c>
      <c r="AM173">
        <f t="shared" si="44"/>
        <v>0</v>
      </c>
      <c r="AN173">
        <f t="shared" si="44"/>
        <v>0</v>
      </c>
      <c r="AO173">
        <f t="shared" si="44"/>
        <v>0</v>
      </c>
      <c r="AP173">
        <f t="shared" si="41"/>
        <v>3</v>
      </c>
      <c r="BL173" s="9">
        <f t="shared" si="36"/>
        <v>208458.06251934383</v>
      </c>
      <c r="BM173" s="9">
        <f t="shared" si="37"/>
      </c>
      <c r="BN173" s="9">
        <f t="shared" si="38"/>
        <v>208458.06251934383</v>
      </c>
      <c r="BU173" s="9"/>
      <c r="BV173" s="9"/>
      <c r="BW173" s="9"/>
      <c r="BX173" s="9"/>
    </row>
    <row r="174" spans="1:76" ht="12.75">
      <c r="A174" s="59">
        <f t="shared" si="42"/>
        <v>119</v>
      </c>
      <c r="B174" s="54" t="s">
        <v>100</v>
      </c>
      <c r="C174" s="54">
        <v>2002</v>
      </c>
      <c r="D174" s="84">
        <v>260000</v>
      </c>
      <c r="E174" s="85" t="s">
        <v>106</v>
      </c>
      <c r="F174" s="86">
        <v>1</v>
      </c>
      <c r="G174" s="75"/>
      <c r="H174">
        <f t="shared" si="49"/>
      </c>
      <c r="I174">
        <f t="shared" si="49"/>
      </c>
      <c r="J174">
        <f t="shared" si="49"/>
      </c>
      <c r="K174">
        <f t="shared" si="49"/>
      </c>
      <c r="L174">
        <f t="shared" si="49"/>
      </c>
      <c r="M174">
        <f t="shared" si="49"/>
      </c>
      <c r="N174">
        <f t="shared" si="49"/>
        <v>260000</v>
      </c>
      <c r="O174">
        <f t="shared" si="49"/>
      </c>
      <c r="P174">
        <f t="shared" si="49"/>
      </c>
      <c r="Q174">
        <f t="shared" si="49"/>
      </c>
      <c r="R174" s="9">
        <f t="shared" si="39"/>
        <v>260000</v>
      </c>
      <c r="T174">
        <f t="shared" si="40"/>
      </c>
      <c r="U174">
        <f t="shared" si="50"/>
      </c>
      <c r="V174">
        <f t="shared" si="50"/>
      </c>
      <c r="W174">
        <f t="shared" si="50"/>
      </c>
      <c r="X174">
        <f t="shared" si="50"/>
      </c>
      <c r="Y174">
        <f t="shared" si="50"/>
        <v>260000</v>
      </c>
      <c r="Z174">
        <f t="shared" si="50"/>
      </c>
      <c r="AA174">
        <f t="shared" si="50"/>
      </c>
      <c r="AB174">
        <f t="shared" si="50"/>
      </c>
      <c r="AC174">
        <f t="shared" si="50"/>
      </c>
      <c r="AD174">
        <f t="shared" si="50"/>
      </c>
      <c r="AE174">
        <f t="shared" si="34"/>
      </c>
      <c r="AF174" s="9">
        <f t="shared" si="35"/>
        <v>260000</v>
      </c>
      <c r="AG174">
        <f t="shared" si="44"/>
        <v>0</v>
      </c>
      <c r="AH174">
        <f t="shared" si="44"/>
        <v>0</v>
      </c>
      <c r="AI174">
        <f t="shared" si="44"/>
        <v>0</v>
      </c>
      <c r="AJ174">
        <f t="shared" si="44"/>
        <v>0</v>
      </c>
      <c r="AK174">
        <f t="shared" si="44"/>
        <v>0</v>
      </c>
      <c r="AL174">
        <f t="shared" si="44"/>
        <v>1</v>
      </c>
      <c r="AM174">
        <f t="shared" si="44"/>
        <v>0</v>
      </c>
      <c r="AN174">
        <f t="shared" si="44"/>
        <v>0</v>
      </c>
      <c r="AO174">
        <f t="shared" si="44"/>
        <v>0</v>
      </c>
      <c r="AP174">
        <f t="shared" si="41"/>
        <v>5</v>
      </c>
      <c r="BL174" s="9">
        <f t="shared" si="36"/>
        <v>240763.43753223974</v>
      </c>
      <c r="BM174" s="9">
        <f t="shared" si="37"/>
      </c>
      <c r="BN174" s="9">
        <f t="shared" si="38"/>
        <v>240763.43753223974</v>
      </c>
      <c r="BU174" s="9"/>
      <c r="BV174" s="9"/>
      <c r="BW174" s="9"/>
      <c r="BX174" s="9"/>
    </row>
    <row r="175" spans="1:76" ht="12.75">
      <c r="A175" s="59">
        <f t="shared" si="42"/>
        <v>120</v>
      </c>
      <c r="B175" s="54" t="s">
        <v>100</v>
      </c>
      <c r="C175" s="54">
        <v>1998</v>
      </c>
      <c r="D175" s="84">
        <v>200000</v>
      </c>
      <c r="E175" s="85"/>
      <c r="F175" s="85"/>
      <c r="G175" s="66"/>
      <c r="H175">
        <f t="shared" si="49"/>
      </c>
      <c r="I175">
        <f t="shared" si="49"/>
      </c>
      <c r="J175">
        <f t="shared" si="49"/>
      </c>
      <c r="K175">
        <f t="shared" si="49"/>
      </c>
      <c r="L175">
        <f t="shared" si="49"/>
      </c>
      <c r="M175">
        <f t="shared" si="49"/>
      </c>
      <c r="N175">
        <f t="shared" si="49"/>
        <v>200000</v>
      </c>
      <c r="O175">
        <f t="shared" si="49"/>
      </c>
      <c r="P175">
        <f t="shared" si="49"/>
      </c>
      <c r="Q175">
        <f t="shared" si="49"/>
      </c>
      <c r="R175" s="9">
        <f t="shared" si="39"/>
        <v>200000</v>
      </c>
      <c r="T175">
        <f t="shared" si="40"/>
      </c>
      <c r="U175">
        <f t="shared" si="50"/>
      </c>
      <c r="V175">
        <f t="shared" si="50"/>
      </c>
      <c r="W175">
        <f t="shared" si="50"/>
      </c>
      <c r="X175">
        <f t="shared" si="50"/>
      </c>
      <c r="Y175">
        <f t="shared" si="50"/>
      </c>
      <c r="Z175">
        <f t="shared" si="50"/>
      </c>
      <c r="AA175">
        <f t="shared" si="50"/>
      </c>
      <c r="AB175">
        <f t="shared" si="50"/>
      </c>
      <c r="AC175">
        <f t="shared" si="50"/>
        <v>200000</v>
      </c>
      <c r="AD175">
        <f t="shared" si="50"/>
      </c>
      <c r="AE175">
        <f t="shared" si="34"/>
      </c>
      <c r="AF175" s="9">
        <f t="shared" si="35"/>
        <v>200000</v>
      </c>
      <c r="AG175">
        <f t="shared" si="44"/>
        <v>0</v>
      </c>
      <c r="AH175">
        <f t="shared" si="44"/>
        <v>0</v>
      </c>
      <c r="AI175">
        <f t="shared" si="44"/>
        <v>0</v>
      </c>
      <c r="AJ175">
        <f t="shared" si="44"/>
        <v>0</v>
      </c>
      <c r="AK175">
        <f t="shared" si="44"/>
        <v>0</v>
      </c>
      <c r="AL175">
        <f t="shared" si="44"/>
        <v>1</v>
      </c>
      <c r="AM175">
        <f t="shared" si="44"/>
        <v>0</v>
      </c>
      <c r="AN175">
        <f t="shared" si="44"/>
        <v>0</v>
      </c>
      <c r="AO175">
        <f t="shared" si="44"/>
        <v>0</v>
      </c>
      <c r="AP175">
        <f t="shared" si="41"/>
        <v>9</v>
      </c>
      <c r="BL175" s="9">
        <f t="shared" si="36"/>
        <v>165374.18755803152</v>
      </c>
      <c r="BM175" s="9">
        <f t="shared" si="37"/>
      </c>
      <c r="BN175" s="9">
        <f t="shared" si="38"/>
        <v>165374.18755803152</v>
      </c>
      <c r="BU175" s="9"/>
      <c r="BV175" s="9"/>
      <c r="BW175" s="9"/>
      <c r="BX175" s="9"/>
    </row>
    <row r="176" spans="1:76" ht="12.75">
      <c r="A176" s="59">
        <f t="shared" si="42"/>
        <v>121</v>
      </c>
      <c r="B176" s="54" t="s">
        <v>100</v>
      </c>
      <c r="C176" s="54">
        <v>2004</v>
      </c>
      <c r="D176" s="84">
        <v>120000</v>
      </c>
      <c r="E176" s="85"/>
      <c r="F176" s="85"/>
      <c r="G176" s="66"/>
      <c r="H176">
        <f t="shared" si="49"/>
      </c>
      <c r="I176">
        <f t="shared" si="49"/>
      </c>
      <c r="J176">
        <f t="shared" si="49"/>
      </c>
      <c r="K176">
        <f t="shared" si="49"/>
      </c>
      <c r="L176">
        <f t="shared" si="49"/>
      </c>
      <c r="M176">
        <f t="shared" si="49"/>
      </c>
      <c r="N176">
        <f t="shared" si="49"/>
        <v>120000</v>
      </c>
      <c r="O176">
        <f t="shared" si="49"/>
      </c>
      <c r="P176">
        <f t="shared" si="49"/>
      </c>
      <c r="Q176">
        <f t="shared" si="49"/>
      </c>
      <c r="R176" s="9">
        <f t="shared" si="39"/>
        <v>120000</v>
      </c>
      <c r="T176">
        <f t="shared" si="40"/>
      </c>
      <c r="U176">
        <f t="shared" si="50"/>
      </c>
      <c r="V176">
        <f t="shared" si="50"/>
      </c>
      <c r="W176">
        <f t="shared" si="50"/>
        <v>120000</v>
      </c>
      <c r="X176">
        <f t="shared" si="50"/>
      </c>
      <c r="Y176">
        <f t="shared" si="50"/>
      </c>
      <c r="Z176">
        <f t="shared" si="50"/>
      </c>
      <c r="AA176">
        <f t="shared" si="50"/>
      </c>
      <c r="AB176">
        <f t="shared" si="50"/>
      </c>
      <c r="AC176">
        <f t="shared" si="50"/>
      </c>
      <c r="AD176">
        <f t="shared" si="50"/>
      </c>
      <c r="AE176">
        <f t="shared" si="34"/>
      </c>
      <c r="AF176" s="9">
        <f t="shared" si="35"/>
        <v>120000</v>
      </c>
      <c r="AG176">
        <f t="shared" si="44"/>
        <v>0</v>
      </c>
      <c r="AH176">
        <f t="shared" si="44"/>
        <v>0</v>
      </c>
      <c r="AI176">
        <f t="shared" si="44"/>
        <v>0</v>
      </c>
      <c r="AJ176">
        <f t="shared" si="44"/>
        <v>0</v>
      </c>
      <c r="AK176">
        <f t="shared" si="44"/>
        <v>0</v>
      </c>
      <c r="AL176">
        <f t="shared" si="44"/>
        <v>1</v>
      </c>
      <c r="AM176">
        <f t="shared" si="44"/>
        <v>0</v>
      </c>
      <c r="AN176">
        <f t="shared" si="44"/>
        <v>0</v>
      </c>
      <c r="AO176">
        <f t="shared" si="44"/>
        <v>0</v>
      </c>
      <c r="AP176">
        <f t="shared" si="41"/>
        <v>3</v>
      </c>
      <c r="BL176" s="9">
        <f t="shared" si="36"/>
        <v>108458.06251934385</v>
      </c>
      <c r="BM176" s="9">
        <f t="shared" si="37"/>
      </c>
      <c r="BN176" s="9">
        <f t="shared" si="38"/>
        <v>108458.06251934385</v>
      </c>
      <c r="BU176" s="9"/>
      <c r="BV176" s="9"/>
      <c r="BW176" s="9"/>
      <c r="BX176" s="9"/>
    </row>
    <row r="177" spans="1:76" ht="12.75">
      <c r="A177" s="59">
        <f t="shared" si="42"/>
        <v>122</v>
      </c>
      <c r="B177" s="54" t="s">
        <v>100</v>
      </c>
      <c r="C177" s="54">
        <v>2004</v>
      </c>
      <c r="D177" s="84">
        <v>220000</v>
      </c>
      <c r="E177" s="85"/>
      <c r="F177" s="85"/>
      <c r="G177" s="66"/>
      <c r="H177">
        <f t="shared" si="49"/>
      </c>
      <c r="I177">
        <f t="shared" si="49"/>
      </c>
      <c r="J177">
        <f t="shared" si="49"/>
      </c>
      <c r="K177">
        <f t="shared" si="49"/>
      </c>
      <c r="L177">
        <f t="shared" si="49"/>
      </c>
      <c r="M177">
        <f t="shared" si="49"/>
      </c>
      <c r="N177">
        <f t="shared" si="49"/>
        <v>220000</v>
      </c>
      <c r="O177">
        <f t="shared" si="49"/>
      </c>
      <c r="P177">
        <f t="shared" si="49"/>
      </c>
      <c r="Q177">
        <f t="shared" si="49"/>
      </c>
      <c r="R177" s="9">
        <f t="shared" si="39"/>
        <v>220000</v>
      </c>
      <c r="T177">
        <f t="shared" si="40"/>
      </c>
      <c r="U177">
        <f t="shared" si="50"/>
      </c>
      <c r="V177">
        <f t="shared" si="50"/>
      </c>
      <c r="W177">
        <f t="shared" si="50"/>
        <v>220000</v>
      </c>
      <c r="X177">
        <f t="shared" si="50"/>
      </c>
      <c r="Y177">
        <f t="shared" si="50"/>
      </c>
      <c r="Z177">
        <f t="shared" si="50"/>
      </c>
      <c r="AA177">
        <f t="shared" si="50"/>
      </c>
      <c r="AB177">
        <f t="shared" si="50"/>
      </c>
      <c r="AC177">
        <f t="shared" si="50"/>
      </c>
      <c r="AD177">
        <f t="shared" si="50"/>
      </c>
      <c r="AE177">
        <f t="shared" si="34"/>
      </c>
      <c r="AF177" s="9">
        <f t="shared" si="35"/>
        <v>220000</v>
      </c>
      <c r="AG177">
        <f t="shared" si="44"/>
        <v>0</v>
      </c>
      <c r="AH177">
        <f t="shared" si="44"/>
        <v>0</v>
      </c>
      <c r="AI177">
        <f t="shared" si="44"/>
        <v>0</v>
      </c>
      <c r="AJ177">
        <f t="shared" si="44"/>
        <v>0</v>
      </c>
      <c r="AK177">
        <f t="shared" si="44"/>
        <v>0</v>
      </c>
      <c r="AL177">
        <f t="shared" si="44"/>
        <v>1</v>
      </c>
      <c r="AM177">
        <f t="shared" si="44"/>
        <v>0</v>
      </c>
      <c r="AN177">
        <f t="shared" si="44"/>
        <v>0</v>
      </c>
      <c r="AO177">
        <f t="shared" si="44"/>
        <v>0</v>
      </c>
      <c r="AP177">
        <f t="shared" si="41"/>
        <v>3</v>
      </c>
      <c r="BL177" s="9">
        <f t="shared" si="36"/>
        <v>208458.06251934383</v>
      </c>
      <c r="BM177" s="9">
        <f t="shared" si="37"/>
      </c>
      <c r="BN177" s="9">
        <f t="shared" si="38"/>
        <v>208458.06251934383</v>
      </c>
      <c r="BU177" s="9"/>
      <c r="BV177" s="9"/>
      <c r="BW177" s="9"/>
      <c r="BX177" s="9"/>
    </row>
    <row r="178" spans="1:76" ht="12.75">
      <c r="A178" s="59">
        <f t="shared" si="42"/>
        <v>123</v>
      </c>
      <c r="B178" s="54" t="s">
        <v>100</v>
      </c>
      <c r="C178" s="54">
        <v>2006</v>
      </c>
      <c r="D178" s="84">
        <v>150000</v>
      </c>
      <c r="E178" s="85"/>
      <c r="F178" s="85"/>
      <c r="G178" s="66"/>
      <c r="H178">
        <f t="shared" si="49"/>
      </c>
      <c r="I178">
        <f t="shared" si="49"/>
      </c>
      <c r="J178">
        <f t="shared" si="49"/>
      </c>
      <c r="K178">
        <f t="shared" si="49"/>
      </c>
      <c r="L178">
        <f t="shared" si="49"/>
      </c>
      <c r="M178">
        <f t="shared" si="49"/>
      </c>
      <c r="N178">
        <f t="shared" si="49"/>
        <v>150000</v>
      </c>
      <c r="O178">
        <f t="shared" si="49"/>
      </c>
      <c r="P178">
        <f t="shared" si="49"/>
      </c>
      <c r="Q178">
        <f t="shared" si="49"/>
      </c>
      <c r="R178" s="9">
        <f t="shared" si="39"/>
        <v>150000</v>
      </c>
      <c r="T178">
        <f t="shared" si="40"/>
      </c>
      <c r="U178">
        <f t="shared" si="50"/>
        <v>150000</v>
      </c>
      <c r="V178">
        <f t="shared" si="50"/>
      </c>
      <c r="W178">
        <f t="shared" si="50"/>
      </c>
      <c r="X178">
        <f t="shared" si="50"/>
      </c>
      <c r="Y178">
        <f t="shared" si="50"/>
      </c>
      <c r="Z178">
        <f t="shared" si="50"/>
      </c>
      <c r="AA178">
        <f t="shared" si="50"/>
      </c>
      <c r="AB178">
        <f t="shared" si="50"/>
      </c>
      <c r="AC178">
        <f t="shared" si="50"/>
      </c>
      <c r="AD178">
        <f t="shared" si="50"/>
      </c>
      <c r="AE178">
        <f t="shared" si="34"/>
      </c>
      <c r="AF178" s="9">
        <f t="shared" si="35"/>
        <v>150000</v>
      </c>
      <c r="AG178">
        <f t="shared" si="44"/>
        <v>0</v>
      </c>
      <c r="AH178">
        <f t="shared" si="44"/>
        <v>0</v>
      </c>
      <c r="AI178">
        <f t="shared" si="44"/>
        <v>0</v>
      </c>
      <c r="AJ178">
        <f t="shared" si="44"/>
        <v>0</v>
      </c>
      <c r="AK178">
        <f t="shared" si="44"/>
        <v>0</v>
      </c>
      <c r="AL178">
        <f t="shared" si="44"/>
        <v>1</v>
      </c>
      <c r="AM178">
        <f t="shared" si="44"/>
        <v>0</v>
      </c>
      <c r="AN178">
        <f t="shared" si="44"/>
        <v>0</v>
      </c>
      <c r="AO178">
        <f t="shared" si="44"/>
        <v>0</v>
      </c>
      <c r="AP178">
        <f t="shared" si="41"/>
        <v>1</v>
      </c>
      <c r="BL178" s="9">
        <f t="shared" si="36"/>
        <v>146152.68750644795</v>
      </c>
      <c r="BM178" s="9">
        <f t="shared" si="37"/>
      </c>
      <c r="BN178" s="9">
        <f t="shared" si="38"/>
        <v>146152.68750644795</v>
      </c>
      <c r="BU178" s="9"/>
      <c r="BV178" s="9"/>
      <c r="BW178" s="9"/>
      <c r="BX178" s="9"/>
    </row>
    <row r="179" spans="1:76" ht="12.75">
      <c r="A179" s="59">
        <f t="shared" si="42"/>
        <v>124</v>
      </c>
      <c r="B179" s="54" t="s">
        <v>100</v>
      </c>
      <c r="C179" s="54">
        <v>1973</v>
      </c>
      <c r="D179" s="84">
        <v>130000</v>
      </c>
      <c r="E179" s="85"/>
      <c r="F179" s="85"/>
      <c r="G179" s="66"/>
      <c r="H179">
        <f t="shared" si="49"/>
      </c>
      <c r="I179">
        <f t="shared" si="49"/>
      </c>
      <c r="J179">
        <f t="shared" si="49"/>
      </c>
      <c r="K179">
        <f t="shared" si="49"/>
      </c>
      <c r="L179">
        <f t="shared" si="49"/>
      </c>
      <c r="M179">
        <f t="shared" si="49"/>
      </c>
      <c r="N179">
        <f t="shared" si="49"/>
        <v>130000</v>
      </c>
      <c r="O179">
        <f t="shared" si="49"/>
      </c>
      <c r="P179">
        <f t="shared" si="49"/>
      </c>
      <c r="Q179">
        <f t="shared" si="49"/>
      </c>
      <c r="R179" s="9">
        <f t="shared" si="39"/>
        <v>130000</v>
      </c>
      <c r="T179">
        <f t="shared" si="40"/>
      </c>
      <c r="U179">
        <f t="shared" si="50"/>
      </c>
      <c r="V179">
        <f t="shared" si="50"/>
      </c>
      <c r="W179">
        <f t="shared" si="50"/>
      </c>
      <c r="X179">
        <f t="shared" si="50"/>
      </c>
      <c r="Y179">
        <f t="shared" si="50"/>
      </c>
      <c r="Z179">
        <f t="shared" si="50"/>
      </c>
      <c r="AA179">
        <f t="shared" si="50"/>
      </c>
      <c r="AB179">
        <f t="shared" si="50"/>
      </c>
      <c r="AC179">
        <f t="shared" si="50"/>
      </c>
      <c r="AD179">
        <f t="shared" si="50"/>
      </c>
      <c r="AE179">
        <f t="shared" si="34"/>
        <v>130000</v>
      </c>
      <c r="AF179" s="9">
        <f t="shared" si="35"/>
        <v>130000</v>
      </c>
      <c r="AG179">
        <f t="shared" si="44"/>
        <v>0</v>
      </c>
      <c r="AH179">
        <f t="shared" si="44"/>
        <v>0</v>
      </c>
      <c r="AI179">
        <f t="shared" si="44"/>
        <v>0</v>
      </c>
      <c r="AJ179">
        <f t="shared" si="44"/>
        <v>0</v>
      </c>
      <c r="AK179">
        <f t="shared" si="44"/>
        <v>0</v>
      </c>
      <c r="AL179">
        <f t="shared" si="44"/>
        <v>1</v>
      </c>
      <c r="AM179">
        <f t="shared" si="44"/>
        <v>0</v>
      </c>
      <c r="AN179">
        <f t="shared" si="44"/>
        <v>0</v>
      </c>
      <c r="AO179">
        <f t="shared" si="44"/>
        <v>0</v>
      </c>
      <c r="AP179">
        <f t="shared" si="41"/>
        <v>34</v>
      </c>
      <c r="BL179" s="9">
        <f t="shared" si="36"/>
        <v>-808.6247807697655</v>
      </c>
      <c r="BM179" s="9">
        <f t="shared" si="37"/>
        <v>-808.6247807697655</v>
      </c>
      <c r="BN179" s="9">
        <f t="shared" si="38"/>
      </c>
      <c r="BU179" s="9"/>
      <c r="BV179" s="9"/>
      <c r="BW179" s="9"/>
      <c r="BX179" s="9"/>
    </row>
    <row r="180" spans="1:76" ht="12.75">
      <c r="A180" s="59">
        <f t="shared" si="42"/>
        <v>125</v>
      </c>
      <c r="B180" s="54" t="s">
        <v>100</v>
      </c>
      <c r="C180" s="54">
        <v>1982</v>
      </c>
      <c r="D180" s="84">
        <v>200000</v>
      </c>
      <c r="E180" s="85"/>
      <c r="F180" s="85"/>
      <c r="G180" s="66"/>
      <c r="H180">
        <f t="shared" si="49"/>
      </c>
      <c r="I180">
        <f t="shared" si="49"/>
      </c>
      <c r="J180">
        <f t="shared" si="49"/>
      </c>
      <c r="K180">
        <f t="shared" si="49"/>
      </c>
      <c r="L180">
        <f t="shared" si="49"/>
      </c>
      <c r="M180">
        <f t="shared" si="49"/>
      </c>
      <c r="N180">
        <f t="shared" si="49"/>
        <v>200000</v>
      </c>
      <c r="O180">
        <f t="shared" si="49"/>
      </c>
      <c r="P180">
        <f t="shared" si="49"/>
      </c>
      <c r="Q180">
        <f t="shared" si="49"/>
      </c>
      <c r="R180" s="9">
        <f t="shared" si="39"/>
        <v>200000</v>
      </c>
      <c r="T180">
        <f t="shared" si="40"/>
      </c>
      <c r="U180">
        <f t="shared" si="50"/>
      </c>
      <c r="V180">
        <f t="shared" si="50"/>
      </c>
      <c r="W180">
        <f t="shared" si="50"/>
      </c>
      <c r="X180">
        <f t="shared" si="50"/>
      </c>
      <c r="Y180">
        <f t="shared" si="50"/>
      </c>
      <c r="Z180">
        <f t="shared" si="50"/>
      </c>
      <c r="AA180">
        <f t="shared" si="50"/>
      </c>
      <c r="AB180">
        <f t="shared" si="50"/>
      </c>
      <c r="AC180">
        <f t="shared" si="50"/>
      </c>
      <c r="AD180">
        <f t="shared" si="50"/>
      </c>
      <c r="AE180">
        <f t="shared" si="34"/>
        <v>200000</v>
      </c>
      <c r="AF180" s="9">
        <f t="shared" si="35"/>
        <v>200000</v>
      </c>
      <c r="AG180">
        <f t="shared" si="44"/>
        <v>0</v>
      </c>
      <c r="AH180">
        <f t="shared" si="44"/>
        <v>0</v>
      </c>
      <c r="AI180">
        <f t="shared" si="44"/>
        <v>0</v>
      </c>
      <c r="AJ180">
        <f t="shared" si="44"/>
        <v>0</v>
      </c>
      <c r="AK180">
        <f t="shared" si="44"/>
        <v>0</v>
      </c>
      <c r="AL180">
        <f t="shared" si="44"/>
        <v>1</v>
      </c>
      <c r="AM180">
        <f t="shared" si="44"/>
        <v>0</v>
      </c>
      <c r="AN180">
        <f t="shared" si="44"/>
        <v>0</v>
      </c>
      <c r="AO180">
        <f t="shared" si="44"/>
        <v>0</v>
      </c>
      <c r="AP180">
        <f t="shared" si="41"/>
        <v>25</v>
      </c>
      <c r="BL180" s="9">
        <f t="shared" si="36"/>
        <v>103817.18766119871</v>
      </c>
      <c r="BM180" s="9">
        <f t="shared" si="37"/>
      </c>
      <c r="BN180" s="9">
        <f t="shared" si="38"/>
        <v>103817.18766119871</v>
      </c>
      <c r="BU180" s="9"/>
      <c r="BV180" s="9"/>
      <c r="BW180" s="9"/>
      <c r="BX180" s="9"/>
    </row>
    <row r="181" spans="1:76" ht="12.75">
      <c r="A181" s="59">
        <f t="shared" si="42"/>
        <v>126</v>
      </c>
      <c r="B181" s="54" t="s">
        <v>100</v>
      </c>
      <c r="C181" s="54">
        <v>2006</v>
      </c>
      <c r="D181" s="84">
        <v>130000</v>
      </c>
      <c r="E181" s="85"/>
      <c r="F181" s="85"/>
      <c r="G181" s="66"/>
      <c r="H181">
        <f t="shared" si="49"/>
      </c>
      <c r="I181">
        <f t="shared" si="49"/>
      </c>
      <c r="J181">
        <f t="shared" si="49"/>
      </c>
      <c r="K181">
        <f t="shared" si="49"/>
      </c>
      <c r="L181">
        <f t="shared" si="49"/>
      </c>
      <c r="M181">
        <f t="shared" si="49"/>
      </c>
      <c r="N181">
        <f t="shared" si="49"/>
        <v>130000</v>
      </c>
      <c r="O181">
        <f t="shared" si="49"/>
      </c>
      <c r="P181">
        <f t="shared" si="49"/>
      </c>
      <c r="Q181">
        <f t="shared" si="49"/>
      </c>
      <c r="R181" s="9">
        <f t="shared" si="39"/>
        <v>130000</v>
      </c>
      <c r="T181">
        <f t="shared" si="40"/>
      </c>
      <c r="U181">
        <f t="shared" si="50"/>
        <v>130000</v>
      </c>
      <c r="V181">
        <f t="shared" si="50"/>
      </c>
      <c r="W181">
        <f t="shared" si="50"/>
      </c>
      <c r="X181">
        <f t="shared" si="50"/>
      </c>
      <c r="Y181">
        <f t="shared" si="50"/>
      </c>
      <c r="Z181">
        <f t="shared" si="50"/>
      </c>
      <c r="AA181">
        <f t="shared" si="50"/>
      </c>
      <c r="AB181">
        <f t="shared" si="50"/>
      </c>
      <c r="AC181">
        <f t="shared" si="50"/>
      </c>
      <c r="AD181">
        <f t="shared" si="50"/>
      </c>
      <c r="AE181">
        <f t="shared" si="34"/>
      </c>
      <c r="AF181" s="9">
        <f t="shared" si="35"/>
        <v>130000</v>
      </c>
      <c r="AG181">
        <f t="shared" si="44"/>
        <v>0</v>
      </c>
      <c r="AH181">
        <f t="shared" si="44"/>
        <v>0</v>
      </c>
      <c r="AI181">
        <f t="shared" si="44"/>
        <v>0</v>
      </c>
      <c r="AJ181">
        <f t="shared" si="44"/>
        <v>0</v>
      </c>
      <c r="AK181">
        <f t="shared" si="44"/>
        <v>0</v>
      </c>
      <c r="AL181">
        <f t="shared" si="44"/>
        <v>1</v>
      </c>
      <c r="AM181">
        <f t="shared" si="44"/>
        <v>0</v>
      </c>
      <c r="AN181">
        <f t="shared" si="44"/>
        <v>0</v>
      </c>
      <c r="AO181">
        <f t="shared" si="44"/>
        <v>0</v>
      </c>
      <c r="AP181">
        <f t="shared" si="41"/>
        <v>1</v>
      </c>
      <c r="BL181" s="9">
        <f t="shared" si="36"/>
        <v>126152.68750644795</v>
      </c>
      <c r="BM181" s="9">
        <f t="shared" si="37"/>
      </c>
      <c r="BN181" s="9">
        <f t="shared" si="38"/>
        <v>126152.68750644795</v>
      </c>
      <c r="BU181" s="9"/>
      <c r="BV181" s="9"/>
      <c r="BW181" s="9"/>
      <c r="BX181" s="9"/>
    </row>
    <row r="182" spans="1:76" ht="12.75">
      <c r="A182" s="59">
        <f t="shared" si="42"/>
        <v>127</v>
      </c>
      <c r="B182" s="54" t="s">
        <v>100</v>
      </c>
      <c r="C182" s="54">
        <v>1995</v>
      </c>
      <c r="D182" s="84">
        <v>130000</v>
      </c>
      <c r="E182" s="85"/>
      <c r="F182" s="85"/>
      <c r="G182" s="66"/>
      <c r="H182">
        <f t="shared" si="49"/>
      </c>
      <c r="I182">
        <f t="shared" si="49"/>
      </c>
      <c r="J182">
        <f t="shared" si="49"/>
      </c>
      <c r="K182">
        <f t="shared" si="49"/>
      </c>
      <c r="L182">
        <f t="shared" si="49"/>
      </c>
      <c r="M182">
        <f t="shared" si="49"/>
      </c>
      <c r="N182">
        <f t="shared" si="49"/>
        <v>130000</v>
      </c>
      <c r="O182">
        <f t="shared" si="49"/>
      </c>
      <c r="P182">
        <f t="shared" si="49"/>
      </c>
      <c r="Q182">
        <f t="shared" si="49"/>
      </c>
      <c r="R182" s="9">
        <f t="shared" si="39"/>
        <v>130000</v>
      </c>
      <c r="T182">
        <f t="shared" si="40"/>
      </c>
      <c r="U182">
        <f t="shared" si="50"/>
      </c>
      <c r="V182">
        <f t="shared" si="50"/>
      </c>
      <c r="W182">
        <f t="shared" si="50"/>
      </c>
      <c r="X182">
        <f t="shared" si="50"/>
      </c>
      <c r="Y182">
        <f t="shared" si="50"/>
      </c>
      <c r="Z182">
        <f t="shared" si="50"/>
      </c>
      <c r="AA182">
        <f t="shared" si="50"/>
      </c>
      <c r="AB182">
        <f t="shared" si="50"/>
      </c>
      <c r="AC182">
        <f t="shared" si="50"/>
      </c>
      <c r="AD182">
        <f t="shared" si="50"/>
      </c>
      <c r="AE182">
        <f t="shared" si="34"/>
        <v>130000</v>
      </c>
      <c r="AF182" s="9">
        <f t="shared" si="35"/>
        <v>130000</v>
      </c>
      <c r="AG182">
        <f t="shared" si="44"/>
        <v>0</v>
      </c>
      <c r="AH182">
        <f t="shared" si="44"/>
        <v>0</v>
      </c>
      <c r="AI182">
        <f t="shared" si="44"/>
        <v>0</v>
      </c>
      <c r="AJ182">
        <f t="shared" si="44"/>
        <v>0</v>
      </c>
      <c r="AK182">
        <f t="shared" si="44"/>
        <v>0</v>
      </c>
      <c r="AL182">
        <f t="shared" si="44"/>
        <v>1</v>
      </c>
      <c r="AM182">
        <f t="shared" si="44"/>
        <v>0</v>
      </c>
      <c r="AN182">
        <f t="shared" si="44"/>
        <v>0</v>
      </c>
      <c r="AO182">
        <f t="shared" si="44"/>
        <v>0</v>
      </c>
      <c r="AP182">
        <f t="shared" si="41"/>
        <v>12</v>
      </c>
      <c r="BL182" s="9">
        <f t="shared" si="36"/>
        <v>83832.25007737539</v>
      </c>
      <c r="BM182" s="9">
        <f t="shared" si="37"/>
        <v>83832.25007737539</v>
      </c>
      <c r="BN182" s="9">
        <f t="shared" si="38"/>
      </c>
      <c r="BU182" s="9"/>
      <c r="BV182" s="9"/>
      <c r="BW182" s="9"/>
      <c r="BX182" s="9"/>
    </row>
    <row r="183" spans="1:76" ht="12.75">
      <c r="A183" s="59">
        <f t="shared" si="42"/>
        <v>128</v>
      </c>
      <c r="B183" s="54" t="s">
        <v>100</v>
      </c>
      <c r="C183" s="54">
        <v>2005</v>
      </c>
      <c r="D183" s="84">
        <v>130000</v>
      </c>
      <c r="E183" s="85"/>
      <c r="F183" s="85"/>
      <c r="G183" s="66"/>
      <c r="H183">
        <f t="shared" si="49"/>
      </c>
      <c r="I183">
        <f t="shared" si="49"/>
      </c>
      <c r="J183">
        <f t="shared" si="49"/>
      </c>
      <c r="K183">
        <f t="shared" si="49"/>
      </c>
      <c r="L183">
        <f t="shared" si="49"/>
      </c>
      <c r="M183">
        <f t="shared" si="49"/>
      </c>
      <c r="N183">
        <f t="shared" si="49"/>
        <v>130000</v>
      </c>
      <c r="O183">
        <f t="shared" si="49"/>
      </c>
      <c r="P183">
        <f t="shared" si="49"/>
      </c>
      <c r="Q183">
        <f t="shared" si="49"/>
      </c>
      <c r="R183" s="9">
        <f t="shared" si="39"/>
        <v>130000</v>
      </c>
      <c r="T183">
        <f t="shared" si="40"/>
      </c>
      <c r="U183">
        <f t="shared" si="50"/>
      </c>
      <c r="V183">
        <f t="shared" si="50"/>
        <v>130000</v>
      </c>
      <c r="W183">
        <f t="shared" si="50"/>
      </c>
      <c r="X183">
        <f t="shared" si="50"/>
      </c>
      <c r="Y183">
        <f t="shared" si="50"/>
      </c>
      <c r="Z183">
        <f t="shared" si="50"/>
      </c>
      <c r="AA183">
        <f t="shared" si="50"/>
      </c>
      <c r="AB183">
        <f t="shared" si="50"/>
      </c>
      <c r="AC183">
        <f t="shared" si="50"/>
      </c>
      <c r="AD183">
        <f t="shared" si="50"/>
      </c>
      <c r="AE183">
        <f t="shared" si="34"/>
      </c>
      <c r="AF183" s="9">
        <f t="shared" si="35"/>
        <v>130000</v>
      </c>
      <c r="AG183">
        <f t="shared" si="44"/>
        <v>0</v>
      </c>
      <c r="AH183">
        <f t="shared" si="44"/>
        <v>0</v>
      </c>
      <c r="AI183">
        <f t="shared" si="44"/>
        <v>0</v>
      </c>
      <c r="AJ183">
        <f t="shared" si="44"/>
        <v>0</v>
      </c>
      <c r="AK183">
        <f t="shared" si="44"/>
        <v>0</v>
      </c>
      <c r="AL183">
        <f t="shared" si="44"/>
        <v>1</v>
      </c>
      <c r="AM183">
        <f t="shared" si="44"/>
        <v>0</v>
      </c>
      <c r="AN183">
        <f t="shared" si="44"/>
        <v>0</v>
      </c>
      <c r="AO183">
        <f t="shared" si="44"/>
        <v>0</v>
      </c>
      <c r="AP183">
        <f t="shared" si="41"/>
        <v>2</v>
      </c>
      <c r="BL183" s="9">
        <f t="shared" si="36"/>
        <v>122305.37501289589</v>
      </c>
      <c r="BM183" s="9">
        <f t="shared" si="37"/>
      </c>
      <c r="BN183" s="9">
        <f t="shared" si="38"/>
        <v>122305.37501289589</v>
      </c>
      <c r="BU183" s="9"/>
      <c r="BV183" s="9"/>
      <c r="BW183" s="9"/>
      <c r="BX183" s="9"/>
    </row>
    <row r="184" spans="1:76" ht="12.75">
      <c r="A184" s="59">
        <f t="shared" si="42"/>
        <v>129</v>
      </c>
      <c r="B184" s="54" t="s">
        <v>100</v>
      </c>
      <c r="C184" s="54">
        <v>2005</v>
      </c>
      <c r="D184" s="84">
        <v>120000</v>
      </c>
      <c r="E184" s="85"/>
      <c r="F184" s="85"/>
      <c r="G184" s="66"/>
      <c r="H184">
        <f aca="true" t="shared" si="51" ref="H184:Q199">IF($B184=H$55,$D184,"")</f>
      </c>
      <c r="I184">
        <f t="shared" si="51"/>
      </c>
      <c r="J184">
        <f t="shared" si="51"/>
      </c>
      <c r="K184">
        <f t="shared" si="51"/>
      </c>
      <c r="L184">
        <f t="shared" si="51"/>
      </c>
      <c r="M184">
        <f t="shared" si="51"/>
      </c>
      <c r="N184">
        <f t="shared" si="51"/>
        <v>120000</v>
      </c>
      <c r="O184">
        <f t="shared" si="51"/>
      </c>
      <c r="P184">
        <f t="shared" si="51"/>
      </c>
      <c r="Q184">
        <f t="shared" si="51"/>
      </c>
      <c r="R184" s="9">
        <f t="shared" si="39"/>
        <v>120000</v>
      </c>
      <c r="T184">
        <f t="shared" si="40"/>
      </c>
      <c r="U184">
        <f aca="true" t="shared" si="52" ref="U184:AD199">IF($C184=U$55,$D184,"")</f>
      </c>
      <c r="V184">
        <f t="shared" si="52"/>
        <v>120000</v>
      </c>
      <c r="W184">
        <f t="shared" si="52"/>
      </c>
      <c r="X184">
        <f t="shared" si="52"/>
      </c>
      <c r="Y184">
        <f t="shared" si="52"/>
      </c>
      <c r="Z184">
        <f t="shared" si="52"/>
      </c>
      <c r="AA184">
        <f t="shared" si="52"/>
      </c>
      <c r="AB184">
        <f t="shared" si="52"/>
      </c>
      <c r="AC184">
        <f t="shared" si="52"/>
      </c>
      <c r="AD184">
        <f t="shared" si="52"/>
      </c>
      <c r="AE184">
        <f aca="true" t="shared" si="53" ref="AE184:AE247">IF($C184&lt;1997,$D184,"")</f>
      </c>
      <c r="AF184" s="9">
        <f aca="true" t="shared" si="54" ref="AF184:AF247">IF(C184=".","",D184)</f>
        <v>120000</v>
      </c>
      <c r="AG184">
        <f t="shared" si="44"/>
        <v>0</v>
      </c>
      <c r="AH184">
        <f t="shared" si="44"/>
        <v>0</v>
      </c>
      <c r="AI184">
        <f t="shared" si="44"/>
        <v>0</v>
      </c>
      <c r="AJ184">
        <f t="shared" si="44"/>
        <v>0</v>
      </c>
      <c r="AK184">
        <f t="shared" si="44"/>
        <v>0</v>
      </c>
      <c r="AL184">
        <f t="shared" si="44"/>
        <v>1</v>
      </c>
      <c r="AM184">
        <f t="shared" si="44"/>
        <v>0</v>
      </c>
      <c r="AN184">
        <f t="shared" si="44"/>
        <v>0</v>
      </c>
      <c r="AO184">
        <f t="shared" si="44"/>
        <v>0</v>
      </c>
      <c r="AP184">
        <f t="shared" si="41"/>
        <v>2</v>
      </c>
      <c r="BL184" s="9">
        <f aca="true" t="shared" si="55" ref="BL184:BL247">D184-AP184*$AV$52</f>
        <v>112305.37501289589</v>
      </c>
      <c r="BM184" s="9">
        <f aca="true" t="shared" si="56" ref="BM184:BM247">IF(BL184&lt;$BO$52,BL184,"")</f>
      </c>
      <c r="BN184" s="9">
        <f aca="true" t="shared" si="57" ref="BN184:BN247">IF(BL184&gt;$BO$52,BL184,"")</f>
        <v>112305.37501289589</v>
      </c>
      <c r="BU184" s="9"/>
      <c r="BV184" s="9"/>
      <c r="BW184" s="9"/>
      <c r="BX184" s="9"/>
    </row>
    <row r="185" spans="1:76" ht="12.75">
      <c r="A185" s="59">
        <f t="shared" si="42"/>
        <v>130</v>
      </c>
      <c r="B185" s="54" t="s">
        <v>100</v>
      </c>
      <c r="C185" s="54">
        <v>2007</v>
      </c>
      <c r="D185" s="84">
        <v>120000</v>
      </c>
      <c r="E185" s="85"/>
      <c r="F185" s="85"/>
      <c r="G185" s="66"/>
      <c r="H185">
        <f t="shared" si="51"/>
      </c>
      <c r="I185">
        <f t="shared" si="51"/>
      </c>
      <c r="J185">
        <f t="shared" si="51"/>
      </c>
      <c r="K185">
        <f t="shared" si="51"/>
      </c>
      <c r="L185">
        <f t="shared" si="51"/>
      </c>
      <c r="M185">
        <f t="shared" si="51"/>
      </c>
      <c r="N185">
        <f t="shared" si="51"/>
        <v>120000</v>
      </c>
      <c r="O185">
        <f t="shared" si="51"/>
      </c>
      <c r="P185">
        <f t="shared" si="51"/>
      </c>
      <c r="Q185">
        <f t="shared" si="51"/>
      </c>
      <c r="R185" s="9">
        <f aca="true" t="shared" si="58" ref="R185:R248">D185</f>
        <v>120000</v>
      </c>
      <c r="T185">
        <f aca="true" t="shared" si="59" ref="T185:T248">IF($C185=T$55,$D185,"")</f>
        <v>120000</v>
      </c>
      <c r="U185">
        <f t="shared" si="52"/>
      </c>
      <c r="V185">
        <f t="shared" si="52"/>
      </c>
      <c r="W185">
        <f t="shared" si="52"/>
      </c>
      <c r="X185">
        <f t="shared" si="52"/>
      </c>
      <c r="Y185">
        <f t="shared" si="52"/>
      </c>
      <c r="Z185">
        <f t="shared" si="52"/>
      </c>
      <c r="AA185">
        <f t="shared" si="52"/>
      </c>
      <c r="AB185">
        <f t="shared" si="52"/>
      </c>
      <c r="AC185">
        <f t="shared" si="52"/>
      </c>
      <c r="AD185">
        <f t="shared" si="52"/>
      </c>
      <c r="AE185">
        <f t="shared" si="53"/>
      </c>
      <c r="AF185" s="9">
        <f t="shared" si="54"/>
        <v>120000</v>
      </c>
      <c r="AG185">
        <f t="shared" si="44"/>
        <v>0</v>
      </c>
      <c r="AH185">
        <f t="shared" si="44"/>
        <v>0</v>
      </c>
      <c r="AI185">
        <f t="shared" si="44"/>
        <v>0</v>
      </c>
      <c r="AJ185">
        <f t="shared" si="44"/>
        <v>0</v>
      </c>
      <c r="AK185">
        <f t="shared" si="44"/>
        <v>0</v>
      </c>
      <c r="AL185">
        <f t="shared" si="44"/>
        <v>1</v>
      </c>
      <c r="AM185">
        <f t="shared" si="44"/>
        <v>0</v>
      </c>
      <c r="AN185">
        <f t="shared" si="44"/>
        <v>0</v>
      </c>
      <c r="AO185">
        <f t="shared" si="44"/>
        <v>0</v>
      </c>
      <c r="AP185">
        <f aca="true" t="shared" si="60" ref="AP185:AP248">2007-C185</f>
        <v>0</v>
      </c>
      <c r="BL185" s="9">
        <f t="shared" si="55"/>
        <v>120000</v>
      </c>
      <c r="BM185" s="9">
        <f t="shared" si="56"/>
      </c>
      <c r="BN185" s="9">
        <f t="shared" si="57"/>
        <v>120000</v>
      </c>
      <c r="BU185" s="9"/>
      <c r="BV185" s="9"/>
      <c r="BW185" s="9"/>
      <c r="BX185" s="9"/>
    </row>
    <row r="186" spans="1:76" ht="12.75">
      <c r="A186" s="59">
        <f aca="true" t="shared" si="61" ref="A186:A249">A185+1</f>
        <v>131</v>
      </c>
      <c r="B186" s="54" t="s">
        <v>100</v>
      </c>
      <c r="C186" s="54">
        <v>2007</v>
      </c>
      <c r="D186" s="84">
        <v>120000</v>
      </c>
      <c r="E186" s="85"/>
      <c r="F186" s="85"/>
      <c r="G186" s="66"/>
      <c r="H186">
        <f t="shared" si="51"/>
      </c>
      <c r="I186">
        <f t="shared" si="51"/>
      </c>
      <c r="J186">
        <f t="shared" si="51"/>
      </c>
      <c r="K186">
        <f t="shared" si="51"/>
      </c>
      <c r="L186">
        <f t="shared" si="51"/>
      </c>
      <c r="M186">
        <f t="shared" si="51"/>
      </c>
      <c r="N186">
        <f t="shared" si="51"/>
        <v>120000</v>
      </c>
      <c r="O186">
        <f t="shared" si="51"/>
      </c>
      <c r="P186">
        <f t="shared" si="51"/>
      </c>
      <c r="Q186">
        <f t="shared" si="51"/>
      </c>
      <c r="R186" s="9">
        <f t="shared" si="58"/>
        <v>120000</v>
      </c>
      <c r="T186">
        <f t="shared" si="59"/>
        <v>120000</v>
      </c>
      <c r="U186">
        <f t="shared" si="52"/>
      </c>
      <c r="V186">
        <f t="shared" si="52"/>
      </c>
      <c r="W186">
        <f t="shared" si="52"/>
      </c>
      <c r="X186">
        <f t="shared" si="52"/>
      </c>
      <c r="Y186">
        <f t="shared" si="52"/>
      </c>
      <c r="Z186">
        <f t="shared" si="52"/>
      </c>
      <c r="AA186">
        <f t="shared" si="52"/>
      </c>
      <c r="AB186">
        <f t="shared" si="52"/>
      </c>
      <c r="AC186">
        <f t="shared" si="52"/>
      </c>
      <c r="AD186">
        <f t="shared" si="52"/>
      </c>
      <c r="AE186">
        <f t="shared" si="53"/>
      </c>
      <c r="AF186" s="9">
        <f t="shared" si="54"/>
        <v>120000</v>
      </c>
      <c r="AG186">
        <f t="shared" si="44"/>
        <v>0</v>
      </c>
      <c r="AH186">
        <f t="shared" si="44"/>
        <v>0</v>
      </c>
      <c r="AI186">
        <f aca="true" t="shared" si="62" ref="AH186:AO214">IF($B186=AI$55,1,0)</f>
        <v>0</v>
      </c>
      <c r="AJ186">
        <f t="shared" si="62"/>
        <v>0</v>
      </c>
      <c r="AK186">
        <f t="shared" si="62"/>
        <v>0</v>
      </c>
      <c r="AL186">
        <f t="shared" si="62"/>
        <v>1</v>
      </c>
      <c r="AM186">
        <f t="shared" si="62"/>
        <v>0</v>
      </c>
      <c r="AN186">
        <f t="shared" si="62"/>
        <v>0</v>
      </c>
      <c r="AO186">
        <f t="shared" si="62"/>
        <v>0</v>
      </c>
      <c r="AP186">
        <f t="shared" si="60"/>
        <v>0</v>
      </c>
      <c r="BL186" s="9">
        <f t="shared" si="55"/>
        <v>120000</v>
      </c>
      <c r="BM186" s="9">
        <f t="shared" si="56"/>
      </c>
      <c r="BN186" s="9">
        <f t="shared" si="57"/>
        <v>120000</v>
      </c>
      <c r="BU186" s="9"/>
      <c r="BV186" s="9"/>
      <c r="BW186" s="9"/>
      <c r="BX186" s="9"/>
    </row>
    <row r="187" spans="1:76" ht="12.75">
      <c r="A187" s="59">
        <f t="shared" si="61"/>
        <v>132</v>
      </c>
      <c r="B187" s="54" t="s">
        <v>100</v>
      </c>
      <c r="C187" s="54">
        <v>2000</v>
      </c>
      <c r="D187" s="84">
        <v>150000</v>
      </c>
      <c r="E187" s="85"/>
      <c r="F187" s="85"/>
      <c r="G187" s="66"/>
      <c r="H187">
        <f t="shared" si="51"/>
      </c>
      <c r="I187">
        <f t="shared" si="51"/>
      </c>
      <c r="J187">
        <f t="shared" si="51"/>
      </c>
      <c r="K187">
        <f t="shared" si="51"/>
      </c>
      <c r="L187">
        <f t="shared" si="51"/>
      </c>
      <c r="M187">
        <f t="shared" si="51"/>
      </c>
      <c r="N187">
        <f t="shared" si="51"/>
        <v>150000</v>
      </c>
      <c r="O187">
        <f t="shared" si="51"/>
      </c>
      <c r="P187">
        <f t="shared" si="51"/>
      </c>
      <c r="Q187">
        <f t="shared" si="51"/>
      </c>
      <c r="R187" s="9">
        <f t="shared" si="58"/>
        <v>150000</v>
      </c>
      <c r="T187">
        <f t="shared" si="59"/>
      </c>
      <c r="U187">
        <f t="shared" si="52"/>
      </c>
      <c r="V187">
        <f t="shared" si="52"/>
      </c>
      <c r="W187">
        <f t="shared" si="52"/>
      </c>
      <c r="X187">
        <f t="shared" si="52"/>
      </c>
      <c r="Y187">
        <f t="shared" si="52"/>
      </c>
      <c r="Z187">
        <f t="shared" si="52"/>
      </c>
      <c r="AA187">
        <f t="shared" si="52"/>
        <v>150000</v>
      </c>
      <c r="AB187">
        <f t="shared" si="52"/>
      </c>
      <c r="AC187">
        <f t="shared" si="52"/>
      </c>
      <c r="AD187">
        <f t="shared" si="52"/>
      </c>
      <c r="AE187">
        <f t="shared" si="53"/>
      </c>
      <c r="AF187" s="9">
        <f t="shared" si="54"/>
        <v>150000</v>
      </c>
      <c r="AG187">
        <f aca="true" t="shared" si="63" ref="AG187:AO240">IF($B187=AG$55,1,0)</f>
        <v>0</v>
      </c>
      <c r="AH187">
        <f t="shared" si="62"/>
        <v>0</v>
      </c>
      <c r="AI187">
        <f t="shared" si="62"/>
        <v>0</v>
      </c>
      <c r="AJ187">
        <f t="shared" si="62"/>
        <v>0</v>
      </c>
      <c r="AK187">
        <f t="shared" si="62"/>
        <v>0</v>
      </c>
      <c r="AL187">
        <f t="shared" si="62"/>
        <v>1</v>
      </c>
      <c r="AM187">
        <f t="shared" si="62"/>
        <v>0</v>
      </c>
      <c r="AN187">
        <f t="shared" si="62"/>
        <v>0</v>
      </c>
      <c r="AO187">
        <f t="shared" si="62"/>
        <v>0</v>
      </c>
      <c r="AP187">
        <f t="shared" si="60"/>
        <v>7</v>
      </c>
      <c r="BL187" s="9">
        <f t="shared" si="55"/>
        <v>123068.81254513565</v>
      </c>
      <c r="BM187" s="9">
        <f t="shared" si="56"/>
      </c>
      <c r="BN187" s="9">
        <f t="shared" si="57"/>
        <v>123068.81254513565</v>
      </c>
      <c r="BU187" s="9"/>
      <c r="BV187" s="9"/>
      <c r="BW187" s="9"/>
      <c r="BX187" s="9"/>
    </row>
    <row r="188" spans="1:76" ht="12.75">
      <c r="A188" s="59">
        <f t="shared" si="61"/>
        <v>133</v>
      </c>
      <c r="B188" s="54" t="s">
        <v>100</v>
      </c>
      <c r="C188" s="54">
        <v>2006</v>
      </c>
      <c r="D188" s="84">
        <v>120000</v>
      </c>
      <c r="E188" s="85"/>
      <c r="F188" s="85"/>
      <c r="G188" s="66"/>
      <c r="H188">
        <f t="shared" si="51"/>
      </c>
      <c r="I188">
        <f t="shared" si="51"/>
      </c>
      <c r="J188">
        <f t="shared" si="51"/>
      </c>
      <c r="K188">
        <f t="shared" si="51"/>
      </c>
      <c r="L188">
        <f t="shared" si="51"/>
      </c>
      <c r="M188">
        <f t="shared" si="51"/>
      </c>
      <c r="N188">
        <f t="shared" si="51"/>
        <v>120000</v>
      </c>
      <c r="O188">
        <f t="shared" si="51"/>
      </c>
      <c r="P188">
        <f t="shared" si="51"/>
      </c>
      <c r="Q188">
        <f t="shared" si="51"/>
      </c>
      <c r="R188" s="9">
        <f t="shared" si="58"/>
        <v>120000</v>
      </c>
      <c r="T188">
        <f t="shared" si="59"/>
      </c>
      <c r="U188">
        <f t="shared" si="52"/>
        <v>120000</v>
      </c>
      <c r="V188">
        <f t="shared" si="52"/>
      </c>
      <c r="W188">
        <f t="shared" si="52"/>
      </c>
      <c r="X188">
        <f t="shared" si="52"/>
      </c>
      <c r="Y188">
        <f t="shared" si="52"/>
      </c>
      <c r="Z188">
        <f t="shared" si="52"/>
      </c>
      <c r="AA188">
        <f t="shared" si="52"/>
      </c>
      <c r="AB188">
        <f t="shared" si="52"/>
      </c>
      <c r="AC188">
        <f t="shared" si="52"/>
      </c>
      <c r="AD188">
        <f t="shared" si="52"/>
      </c>
      <c r="AE188">
        <f t="shared" si="53"/>
      </c>
      <c r="AF188" s="9">
        <f t="shared" si="54"/>
        <v>120000</v>
      </c>
      <c r="AG188">
        <f t="shared" si="63"/>
        <v>0</v>
      </c>
      <c r="AH188">
        <f t="shared" si="62"/>
        <v>0</v>
      </c>
      <c r="AI188">
        <f t="shared" si="62"/>
        <v>0</v>
      </c>
      <c r="AJ188">
        <f t="shared" si="62"/>
        <v>0</v>
      </c>
      <c r="AK188">
        <f t="shared" si="62"/>
        <v>0</v>
      </c>
      <c r="AL188">
        <f t="shared" si="62"/>
        <v>1</v>
      </c>
      <c r="AM188">
        <f t="shared" si="62"/>
        <v>0</v>
      </c>
      <c r="AN188">
        <f t="shared" si="62"/>
        <v>0</v>
      </c>
      <c r="AO188">
        <f t="shared" si="62"/>
        <v>0</v>
      </c>
      <c r="AP188">
        <f t="shared" si="60"/>
        <v>1</v>
      </c>
      <c r="BL188" s="9">
        <f t="shared" si="55"/>
        <v>116152.68750644795</v>
      </c>
      <c r="BM188" s="9">
        <f t="shared" si="56"/>
      </c>
      <c r="BN188" s="9">
        <f t="shared" si="57"/>
        <v>116152.68750644795</v>
      </c>
      <c r="BU188" s="9"/>
      <c r="BV188" s="9"/>
      <c r="BW188" s="9"/>
      <c r="BX188" s="9"/>
    </row>
    <row r="189" spans="1:76" ht="12.75">
      <c r="A189" s="59">
        <f t="shared" si="61"/>
        <v>134</v>
      </c>
      <c r="B189" s="54" t="s">
        <v>100</v>
      </c>
      <c r="C189" s="54">
        <v>1998</v>
      </c>
      <c r="D189" s="84">
        <v>380000</v>
      </c>
      <c r="E189" s="85"/>
      <c r="F189" s="85"/>
      <c r="G189" s="66"/>
      <c r="H189">
        <f t="shared" si="51"/>
      </c>
      <c r="I189">
        <f t="shared" si="51"/>
      </c>
      <c r="J189">
        <f t="shared" si="51"/>
      </c>
      <c r="K189">
        <f t="shared" si="51"/>
      </c>
      <c r="L189">
        <f t="shared" si="51"/>
      </c>
      <c r="M189">
        <f t="shared" si="51"/>
      </c>
      <c r="N189">
        <f t="shared" si="51"/>
        <v>380000</v>
      </c>
      <c r="O189">
        <f t="shared" si="51"/>
      </c>
      <c r="P189">
        <f t="shared" si="51"/>
      </c>
      <c r="Q189">
        <f t="shared" si="51"/>
      </c>
      <c r="R189" s="9">
        <f t="shared" si="58"/>
        <v>380000</v>
      </c>
      <c r="T189">
        <f t="shared" si="59"/>
      </c>
      <c r="U189">
        <f t="shared" si="52"/>
      </c>
      <c r="V189">
        <f t="shared" si="52"/>
      </c>
      <c r="W189">
        <f t="shared" si="52"/>
      </c>
      <c r="X189">
        <f t="shared" si="52"/>
      </c>
      <c r="Y189">
        <f t="shared" si="52"/>
      </c>
      <c r="Z189">
        <f t="shared" si="52"/>
      </c>
      <c r="AA189">
        <f t="shared" si="52"/>
      </c>
      <c r="AB189">
        <f t="shared" si="52"/>
      </c>
      <c r="AC189">
        <f t="shared" si="52"/>
        <v>380000</v>
      </c>
      <c r="AD189">
        <f t="shared" si="52"/>
      </c>
      <c r="AE189">
        <f t="shared" si="53"/>
      </c>
      <c r="AF189" s="9">
        <f t="shared" si="54"/>
        <v>380000</v>
      </c>
      <c r="AG189">
        <f t="shared" si="63"/>
        <v>0</v>
      </c>
      <c r="AH189">
        <f t="shared" si="62"/>
        <v>0</v>
      </c>
      <c r="AI189">
        <f t="shared" si="62"/>
        <v>0</v>
      </c>
      <c r="AJ189">
        <f t="shared" si="62"/>
        <v>0</v>
      </c>
      <c r="AK189">
        <f t="shared" si="62"/>
        <v>0</v>
      </c>
      <c r="AL189">
        <f t="shared" si="62"/>
        <v>1</v>
      </c>
      <c r="AM189">
        <f t="shared" si="62"/>
        <v>0</v>
      </c>
      <c r="AN189">
        <f t="shared" si="62"/>
        <v>0</v>
      </c>
      <c r="AO189">
        <f t="shared" si="62"/>
        <v>0</v>
      </c>
      <c r="AP189">
        <f t="shared" si="60"/>
        <v>9</v>
      </c>
      <c r="BL189" s="9">
        <f t="shared" si="55"/>
        <v>345374.1875580315</v>
      </c>
      <c r="BM189" s="9">
        <f t="shared" si="56"/>
      </c>
      <c r="BN189" s="9">
        <f t="shared" si="57"/>
        <v>345374.1875580315</v>
      </c>
      <c r="BU189" s="9"/>
      <c r="BV189" s="9"/>
      <c r="BW189" s="9"/>
      <c r="BX189" s="9"/>
    </row>
    <row r="190" spans="1:76" ht="12.75">
      <c r="A190" s="59">
        <f t="shared" si="61"/>
        <v>135</v>
      </c>
      <c r="B190" s="54" t="s">
        <v>100</v>
      </c>
      <c r="C190" s="54">
        <v>2005</v>
      </c>
      <c r="D190" s="84">
        <v>100000</v>
      </c>
      <c r="E190" s="85"/>
      <c r="F190" s="85"/>
      <c r="G190" s="66"/>
      <c r="H190">
        <f t="shared" si="51"/>
      </c>
      <c r="I190">
        <f t="shared" si="51"/>
      </c>
      <c r="J190">
        <f t="shared" si="51"/>
      </c>
      <c r="K190">
        <f t="shared" si="51"/>
      </c>
      <c r="L190">
        <f t="shared" si="51"/>
      </c>
      <c r="M190">
        <f t="shared" si="51"/>
      </c>
      <c r="N190">
        <f t="shared" si="51"/>
        <v>100000</v>
      </c>
      <c r="O190">
        <f t="shared" si="51"/>
      </c>
      <c r="P190">
        <f t="shared" si="51"/>
      </c>
      <c r="Q190">
        <f t="shared" si="51"/>
      </c>
      <c r="R190" s="9">
        <f t="shared" si="58"/>
        <v>100000</v>
      </c>
      <c r="T190">
        <f t="shared" si="59"/>
      </c>
      <c r="U190">
        <f t="shared" si="52"/>
      </c>
      <c r="V190">
        <f t="shared" si="52"/>
        <v>100000</v>
      </c>
      <c r="W190">
        <f t="shared" si="52"/>
      </c>
      <c r="X190">
        <f t="shared" si="52"/>
      </c>
      <c r="Y190">
        <f t="shared" si="52"/>
      </c>
      <c r="Z190">
        <f t="shared" si="52"/>
      </c>
      <c r="AA190">
        <f t="shared" si="52"/>
      </c>
      <c r="AB190">
        <f t="shared" si="52"/>
      </c>
      <c r="AC190">
        <f t="shared" si="52"/>
      </c>
      <c r="AD190">
        <f t="shared" si="52"/>
      </c>
      <c r="AE190">
        <f t="shared" si="53"/>
      </c>
      <c r="AF190" s="9">
        <f t="shared" si="54"/>
        <v>100000</v>
      </c>
      <c r="AG190">
        <f t="shared" si="63"/>
        <v>0</v>
      </c>
      <c r="AH190">
        <f t="shared" si="62"/>
        <v>0</v>
      </c>
      <c r="AI190">
        <f t="shared" si="62"/>
        <v>0</v>
      </c>
      <c r="AJ190">
        <f t="shared" si="62"/>
        <v>0</v>
      </c>
      <c r="AK190">
        <f t="shared" si="62"/>
        <v>0</v>
      </c>
      <c r="AL190">
        <f t="shared" si="62"/>
        <v>1</v>
      </c>
      <c r="AM190">
        <f t="shared" si="62"/>
        <v>0</v>
      </c>
      <c r="AN190">
        <f t="shared" si="62"/>
        <v>0</v>
      </c>
      <c r="AO190">
        <f t="shared" si="62"/>
        <v>0</v>
      </c>
      <c r="AP190">
        <f t="shared" si="60"/>
        <v>2</v>
      </c>
      <c r="BL190" s="9">
        <f t="shared" si="55"/>
        <v>92305.37501289589</v>
      </c>
      <c r="BM190" s="9">
        <f t="shared" si="56"/>
        <v>92305.37501289589</v>
      </c>
      <c r="BN190" s="9">
        <f t="shared" si="57"/>
      </c>
      <c r="BU190" s="9"/>
      <c r="BV190" s="9"/>
      <c r="BW190" s="9"/>
      <c r="BX190" s="9"/>
    </row>
    <row r="191" spans="1:76" ht="12.75">
      <c r="A191" s="59">
        <f t="shared" si="61"/>
        <v>136</v>
      </c>
      <c r="B191" s="54" t="s">
        <v>100</v>
      </c>
      <c r="C191" s="54">
        <v>1996</v>
      </c>
      <c r="D191" s="84">
        <v>130000</v>
      </c>
      <c r="E191" s="85"/>
      <c r="F191" s="85"/>
      <c r="G191" s="66"/>
      <c r="H191">
        <f t="shared" si="51"/>
      </c>
      <c r="I191">
        <f t="shared" si="51"/>
      </c>
      <c r="J191">
        <f t="shared" si="51"/>
      </c>
      <c r="K191">
        <f t="shared" si="51"/>
      </c>
      <c r="L191">
        <f t="shared" si="51"/>
      </c>
      <c r="M191">
        <f t="shared" si="51"/>
      </c>
      <c r="N191">
        <f t="shared" si="51"/>
        <v>130000</v>
      </c>
      <c r="O191">
        <f t="shared" si="51"/>
      </c>
      <c r="P191">
        <f t="shared" si="51"/>
      </c>
      <c r="Q191">
        <f t="shared" si="51"/>
      </c>
      <c r="R191" s="9">
        <f t="shared" si="58"/>
        <v>130000</v>
      </c>
      <c r="T191">
        <f t="shared" si="59"/>
      </c>
      <c r="U191">
        <f t="shared" si="52"/>
      </c>
      <c r="V191">
        <f t="shared" si="52"/>
      </c>
      <c r="W191">
        <f t="shared" si="52"/>
      </c>
      <c r="X191">
        <f t="shared" si="52"/>
      </c>
      <c r="Y191">
        <f t="shared" si="52"/>
      </c>
      <c r="Z191">
        <f t="shared" si="52"/>
      </c>
      <c r="AA191">
        <f t="shared" si="52"/>
      </c>
      <c r="AB191">
        <f t="shared" si="52"/>
      </c>
      <c r="AC191">
        <f t="shared" si="52"/>
      </c>
      <c r="AD191">
        <f t="shared" si="52"/>
      </c>
      <c r="AE191">
        <f t="shared" si="53"/>
        <v>130000</v>
      </c>
      <c r="AF191" s="9">
        <f t="shared" si="54"/>
        <v>130000</v>
      </c>
      <c r="AG191">
        <f t="shared" si="63"/>
        <v>0</v>
      </c>
      <c r="AH191">
        <f t="shared" si="62"/>
        <v>0</v>
      </c>
      <c r="AI191">
        <f t="shared" si="62"/>
        <v>0</v>
      </c>
      <c r="AJ191">
        <f t="shared" si="62"/>
        <v>0</v>
      </c>
      <c r="AK191">
        <f t="shared" si="62"/>
        <v>0</v>
      </c>
      <c r="AL191">
        <f t="shared" si="62"/>
        <v>1</v>
      </c>
      <c r="AM191">
        <f t="shared" si="62"/>
        <v>0</v>
      </c>
      <c r="AN191">
        <f t="shared" si="62"/>
        <v>0</v>
      </c>
      <c r="AO191">
        <f t="shared" si="62"/>
        <v>0</v>
      </c>
      <c r="AP191">
        <f t="shared" si="60"/>
        <v>11</v>
      </c>
      <c r="BL191" s="9">
        <f t="shared" si="55"/>
        <v>87679.56257092743</v>
      </c>
      <c r="BM191" s="9">
        <f t="shared" si="56"/>
        <v>87679.56257092743</v>
      </c>
      <c r="BN191" s="9">
        <f t="shared" si="57"/>
      </c>
      <c r="BU191" s="9"/>
      <c r="BV191" s="9"/>
      <c r="BW191" s="9"/>
      <c r="BX191" s="9"/>
    </row>
    <row r="192" spans="1:76" ht="12.75">
      <c r="A192" s="59">
        <f t="shared" si="61"/>
        <v>137</v>
      </c>
      <c r="B192" s="54" t="s">
        <v>100</v>
      </c>
      <c r="C192" s="54">
        <v>1996</v>
      </c>
      <c r="D192" s="84">
        <v>150000</v>
      </c>
      <c r="E192" s="85"/>
      <c r="F192" s="85"/>
      <c r="G192" s="66"/>
      <c r="H192">
        <f t="shared" si="51"/>
      </c>
      <c r="I192">
        <f t="shared" si="51"/>
      </c>
      <c r="J192">
        <f t="shared" si="51"/>
      </c>
      <c r="K192">
        <f t="shared" si="51"/>
      </c>
      <c r="L192">
        <f t="shared" si="51"/>
      </c>
      <c r="M192">
        <f t="shared" si="51"/>
      </c>
      <c r="N192">
        <f t="shared" si="51"/>
        <v>150000</v>
      </c>
      <c r="O192">
        <f t="shared" si="51"/>
      </c>
      <c r="P192">
        <f t="shared" si="51"/>
      </c>
      <c r="Q192">
        <f t="shared" si="51"/>
      </c>
      <c r="R192" s="9">
        <f t="shared" si="58"/>
        <v>150000</v>
      </c>
      <c r="T192">
        <f t="shared" si="59"/>
      </c>
      <c r="U192">
        <f t="shared" si="52"/>
      </c>
      <c r="V192">
        <f t="shared" si="52"/>
      </c>
      <c r="W192">
        <f t="shared" si="52"/>
      </c>
      <c r="X192">
        <f t="shared" si="52"/>
      </c>
      <c r="Y192">
        <f t="shared" si="52"/>
      </c>
      <c r="Z192">
        <f t="shared" si="52"/>
      </c>
      <c r="AA192">
        <f t="shared" si="52"/>
      </c>
      <c r="AB192">
        <f t="shared" si="52"/>
      </c>
      <c r="AC192">
        <f t="shared" si="52"/>
      </c>
      <c r="AD192">
        <f t="shared" si="52"/>
      </c>
      <c r="AE192">
        <f t="shared" si="53"/>
        <v>150000</v>
      </c>
      <c r="AF192" s="9">
        <f t="shared" si="54"/>
        <v>150000</v>
      </c>
      <c r="AG192">
        <f t="shared" si="63"/>
        <v>0</v>
      </c>
      <c r="AH192">
        <f t="shared" si="62"/>
        <v>0</v>
      </c>
      <c r="AI192">
        <f t="shared" si="62"/>
        <v>0</v>
      </c>
      <c r="AJ192">
        <f t="shared" si="62"/>
        <v>0</v>
      </c>
      <c r="AK192">
        <f t="shared" si="62"/>
        <v>0</v>
      </c>
      <c r="AL192">
        <f t="shared" si="62"/>
        <v>1</v>
      </c>
      <c r="AM192">
        <f t="shared" si="62"/>
        <v>0</v>
      </c>
      <c r="AN192">
        <f t="shared" si="62"/>
        <v>0</v>
      </c>
      <c r="AO192">
        <f t="shared" si="62"/>
        <v>0</v>
      </c>
      <c r="AP192">
        <f t="shared" si="60"/>
        <v>11</v>
      </c>
      <c r="BL192" s="9">
        <f t="shared" si="55"/>
        <v>107679.56257092743</v>
      </c>
      <c r="BM192" s="9">
        <f t="shared" si="56"/>
      </c>
      <c r="BN192" s="9">
        <f t="shared" si="57"/>
        <v>107679.56257092743</v>
      </c>
      <c r="BU192" s="9"/>
      <c r="BV192" s="9"/>
      <c r="BW192" s="9"/>
      <c r="BX192" s="9"/>
    </row>
    <row r="193" spans="1:76" ht="12.75">
      <c r="A193" s="59">
        <f t="shared" si="61"/>
        <v>138</v>
      </c>
      <c r="B193" s="54" t="s">
        <v>100</v>
      </c>
      <c r="C193" s="54">
        <v>1998</v>
      </c>
      <c r="D193" s="84">
        <v>200000</v>
      </c>
      <c r="E193" s="85"/>
      <c r="F193" s="85"/>
      <c r="G193" s="66"/>
      <c r="H193">
        <f t="shared" si="51"/>
      </c>
      <c r="I193">
        <f t="shared" si="51"/>
      </c>
      <c r="J193">
        <f t="shared" si="51"/>
      </c>
      <c r="K193">
        <f t="shared" si="51"/>
      </c>
      <c r="L193">
        <f t="shared" si="51"/>
      </c>
      <c r="M193">
        <f t="shared" si="51"/>
      </c>
      <c r="N193">
        <f t="shared" si="51"/>
        <v>200000</v>
      </c>
      <c r="O193">
        <f t="shared" si="51"/>
      </c>
      <c r="P193">
        <f t="shared" si="51"/>
      </c>
      <c r="Q193">
        <f t="shared" si="51"/>
      </c>
      <c r="R193" s="9">
        <f t="shared" si="58"/>
        <v>200000</v>
      </c>
      <c r="T193">
        <f t="shared" si="59"/>
      </c>
      <c r="U193">
        <f t="shared" si="52"/>
      </c>
      <c r="V193">
        <f t="shared" si="52"/>
      </c>
      <c r="W193">
        <f t="shared" si="52"/>
      </c>
      <c r="X193">
        <f t="shared" si="52"/>
      </c>
      <c r="Y193">
        <f t="shared" si="52"/>
      </c>
      <c r="Z193">
        <f t="shared" si="52"/>
      </c>
      <c r="AA193">
        <f t="shared" si="52"/>
      </c>
      <c r="AB193">
        <f t="shared" si="52"/>
      </c>
      <c r="AC193">
        <f t="shared" si="52"/>
        <v>200000</v>
      </c>
      <c r="AD193">
        <f t="shared" si="52"/>
      </c>
      <c r="AE193">
        <f t="shared" si="53"/>
      </c>
      <c r="AF193" s="9">
        <f t="shared" si="54"/>
        <v>200000</v>
      </c>
      <c r="AG193">
        <f t="shared" si="63"/>
        <v>0</v>
      </c>
      <c r="AH193">
        <f t="shared" si="62"/>
        <v>0</v>
      </c>
      <c r="AI193">
        <f t="shared" si="62"/>
        <v>0</v>
      </c>
      <c r="AJ193">
        <f t="shared" si="62"/>
        <v>0</v>
      </c>
      <c r="AK193">
        <f t="shared" si="62"/>
        <v>0</v>
      </c>
      <c r="AL193">
        <f t="shared" si="62"/>
        <v>1</v>
      </c>
      <c r="AM193">
        <f t="shared" si="62"/>
        <v>0</v>
      </c>
      <c r="AN193">
        <f t="shared" si="62"/>
        <v>0</v>
      </c>
      <c r="AO193">
        <f t="shared" si="62"/>
        <v>0</v>
      </c>
      <c r="AP193">
        <f t="shared" si="60"/>
        <v>9</v>
      </c>
      <c r="BL193" s="9">
        <f t="shared" si="55"/>
        <v>165374.18755803152</v>
      </c>
      <c r="BM193" s="9">
        <f t="shared" si="56"/>
      </c>
      <c r="BN193" s="9">
        <f t="shared" si="57"/>
        <v>165374.18755803152</v>
      </c>
      <c r="BU193" s="9"/>
      <c r="BV193" s="9"/>
      <c r="BW193" s="9"/>
      <c r="BX193" s="9"/>
    </row>
    <row r="194" spans="1:76" ht="12.75">
      <c r="A194" s="59">
        <f t="shared" si="61"/>
        <v>139</v>
      </c>
      <c r="B194" s="55" t="s">
        <v>98</v>
      </c>
      <c r="C194" s="55">
        <v>2002</v>
      </c>
      <c r="D194" s="87">
        <v>120000</v>
      </c>
      <c r="E194" s="88" t="s">
        <v>107</v>
      </c>
      <c r="F194" s="89">
        <v>0.74</v>
      </c>
      <c r="G194" s="75"/>
      <c r="H194">
        <f t="shared" si="51"/>
      </c>
      <c r="I194">
        <f t="shared" si="51"/>
      </c>
      <c r="J194">
        <f t="shared" si="51"/>
      </c>
      <c r="K194">
        <f t="shared" si="51"/>
      </c>
      <c r="L194">
        <f t="shared" si="51"/>
      </c>
      <c r="M194">
        <f t="shared" si="51"/>
      </c>
      <c r="N194">
        <f t="shared" si="51"/>
      </c>
      <c r="O194">
        <f t="shared" si="51"/>
        <v>120000</v>
      </c>
      <c r="P194">
        <f t="shared" si="51"/>
      </c>
      <c r="Q194">
        <f t="shared" si="51"/>
      </c>
      <c r="R194" s="9">
        <f t="shared" si="58"/>
        <v>120000</v>
      </c>
      <c r="T194">
        <f t="shared" si="59"/>
      </c>
      <c r="U194">
        <f t="shared" si="52"/>
      </c>
      <c r="V194">
        <f t="shared" si="52"/>
      </c>
      <c r="W194">
        <f t="shared" si="52"/>
      </c>
      <c r="X194">
        <f t="shared" si="52"/>
      </c>
      <c r="Y194">
        <f t="shared" si="52"/>
        <v>120000</v>
      </c>
      <c r="Z194">
        <f t="shared" si="52"/>
      </c>
      <c r="AA194">
        <f t="shared" si="52"/>
      </c>
      <c r="AB194">
        <f t="shared" si="52"/>
      </c>
      <c r="AC194">
        <f t="shared" si="52"/>
      </c>
      <c r="AD194">
        <f t="shared" si="52"/>
      </c>
      <c r="AE194">
        <f t="shared" si="53"/>
      </c>
      <c r="AF194" s="9">
        <f t="shared" si="54"/>
        <v>120000</v>
      </c>
      <c r="AG194">
        <f t="shared" si="63"/>
        <v>0</v>
      </c>
      <c r="AH194">
        <f t="shared" si="62"/>
        <v>0</v>
      </c>
      <c r="AI194">
        <f t="shared" si="62"/>
        <v>0</v>
      </c>
      <c r="AJ194">
        <f t="shared" si="62"/>
        <v>0</v>
      </c>
      <c r="AK194">
        <f t="shared" si="62"/>
        <v>0</v>
      </c>
      <c r="AL194">
        <f t="shared" si="62"/>
        <v>0</v>
      </c>
      <c r="AM194">
        <f t="shared" si="62"/>
        <v>1</v>
      </c>
      <c r="AN194">
        <f t="shared" si="62"/>
        <v>0</v>
      </c>
      <c r="AO194">
        <f t="shared" si="62"/>
        <v>0</v>
      </c>
      <c r="AP194">
        <f t="shared" si="60"/>
        <v>5</v>
      </c>
      <c r="BL194" s="9">
        <f t="shared" si="55"/>
        <v>100763.43753223974</v>
      </c>
      <c r="BM194" s="9">
        <f t="shared" si="56"/>
        <v>100763.43753223974</v>
      </c>
      <c r="BN194" s="9">
        <f t="shared" si="57"/>
      </c>
      <c r="BU194" s="9"/>
      <c r="BV194" s="9"/>
      <c r="BW194" s="9"/>
      <c r="BX194" s="9"/>
    </row>
    <row r="195" spans="1:76" ht="12.75">
      <c r="A195" s="59">
        <f t="shared" si="61"/>
        <v>140</v>
      </c>
      <c r="B195" s="55" t="s">
        <v>98</v>
      </c>
      <c r="C195" s="55">
        <v>2002</v>
      </c>
      <c r="D195" s="87">
        <v>140000</v>
      </c>
      <c r="E195" s="88"/>
      <c r="F195" s="88"/>
      <c r="G195" s="66"/>
      <c r="H195">
        <f t="shared" si="51"/>
      </c>
      <c r="I195">
        <f t="shared" si="51"/>
      </c>
      <c r="J195">
        <f t="shared" si="51"/>
      </c>
      <c r="K195">
        <f t="shared" si="51"/>
      </c>
      <c r="L195">
        <f t="shared" si="51"/>
      </c>
      <c r="M195">
        <f t="shared" si="51"/>
      </c>
      <c r="N195">
        <f t="shared" si="51"/>
      </c>
      <c r="O195">
        <f t="shared" si="51"/>
        <v>140000</v>
      </c>
      <c r="P195">
        <f t="shared" si="51"/>
      </c>
      <c r="Q195">
        <f t="shared" si="51"/>
      </c>
      <c r="R195" s="9">
        <f t="shared" si="58"/>
        <v>140000</v>
      </c>
      <c r="T195">
        <f t="shared" si="59"/>
      </c>
      <c r="U195">
        <f t="shared" si="52"/>
      </c>
      <c r="V195">
        <f t="shared" si="52"/>
      </c>
      <c r="W195">
        <f t="shared" si="52"/>
      </c>
      <c r="X195">
        <f t="shared" si="52"/>
      </c>
      <c r="Y195">
        <f t="shared" si="52"/>
        <v>140000</v>
      </c>
      <c r="Z195">
        <f t="shared" si="52"/>
      </c>
      <c r="AA195">
        <f t="shared" si="52"/>
      </c>
      <c r="AB195">
        <f t="shared" si="52"/>
      </c>
      <c r="AC195">
        <f t="shared" si="52"/>
      </c>
      <c r="AD195">
        <f t="shared" si="52"/>
      </c>
      <c r="AE195">
        <f t="shared" si="53"/>
      </c>
      <c r="AF195" s="9">
        <f t="shared" si="54"/>
        <v>140000</v>
      </c>
      <c r="AG195">
        <f t="shared" si="63"/>
        <v>0</v>
      </c>
      <c r="AH195">
        <f t="shared" si="62"/>
        <v>0</v>
      </c>
      <c r="AI195">
        <f t="shared" si="62"/>
        <v>0</v>
      </c>
      <c r="AJ195">
        <f t="shared" si="62"/>
        <v>0</v>
      </c>
      <c r="AK195">
        <f t="shared" si="62"/>
        <v>0</v>
      </c>
      <c r="AL195">
        <f t="shared" si="62"/>
        <v>0</v>
      </c>
      <c r="AM195">
        <f t="shared" si="62"/>
        <v>1</v>
      </c>
      <c r="AN195">
        <f t="shared" si="62"/>
        <v>0</v>
      </c>
      <c r="AO195">
        <f t="shared" si="62"/>
        <v>0</v>
      </c>
      <c r="AP195">
        <f t="shared" si="60"/>
        <v>5</v>
      </c>
      <c r="BL195" s="9">
        <f t="shared" si="55"/>
        <v>120763.43753223974</v>
      </c>
      <c r="BM195" s="9">
        <f t="shared" si="56"/>
      </c>
      <c r="BN195" s="9">
        <f t="shared" si="57"/>
        <v>120763.43753223974</v>
      </c>
      <c r="BU195" s="9"/>
      <c r="BV195" s="9"/>
      <c r="BW195" s="9"/>
      <c r="BX195" s="9"/>
    </row>
    <row r="196" spans="1:76" ht="12.75">
      <c r="A196" s="59">
        <f t="shared" si="61"/>
        <v>141</v>
      </c>
      <c r="B196" s="55" t="s">
        <v>98</v>
      </c>
      <c r="C196" s="55">
        <v>2002</v>
      </c>
      <c r="D196" s="87">
        <v>160000</v>
      </c>
      <c r="E196" s="88"/>
      <c r="F196" s="88"/>
      <c r="G196" s="66"/>
      <c r="H196">
        <f t="shared" si="51"/>
      </c>
      <c r="I196">
        <f t="shared" si="51"/>
      </c>
      <c r="J196">
        <f t="shared" si="51"/>
      </c>
      <c r="K196">
        <f t="shared" si="51"/>
      </c>
      <c r="L196">
        <f t="shared" si="51"/>
      </c>
      <c r="M196">
        <f t="shared" si="51"/>
      </c>
      <c r="N196">
        <f t="shared" si="51"/>
      </c>
      <c r="O196">
        <f t="shared" si="51"/>
        <v>160000</v>
      </c>
      <c r="P196">
        <f t="shared" si="51"/>
      </c>
      <c r="Q196">
        <f t="shared" si="51"/>
      </c>
      <c r="R196" s="9">
        <f t="shared" si="58"/>
        <v>160000</v>
      </c>
      <c r="T196">
        <f t="shared" si="59"/>
      </c>
      <c r="U196">
        <f t="shared" si="52"/>
      </c>
      <c r="V196">
        <f t="shared" si="52"/>
      </c>
      <c r="W196">
        <f t="shared" si="52"/>
      </c>
      <c r="X196">
        <f t="shared" si="52"/>
      </c>
      <c r="Y196">
        <f t="shared" si="52"/>
        <v>160000</v>
      </c>
      <c r="Z196">
        <f t="shared" si="52"/>
      </c>
      <c r="AA196">
        <f t="shared" si="52"/>
      </c>
      <c r="AB196">
        <f t="shared" si="52"/>
      </c>
      <c r="AC196">
        <f t="shared" si="52"/>
      </c>
      <c r="AD196">
        <f t="shared" si="52"/>
      </c>
      <c r="AE196">
        <f t="shared" si="53"/>
      </c>
      <c r="AF196" s="9">
        <f t="shared" si="54"/>
        <v>160000</v>
      </c>
      <c r="AG196">
        <f t="shared" si="63"/>
        <v>0</v>
      </c>
      <c r="AH196">
        <f t="shared" si="62"/>
        <v>0</v>
      </c>
      <c r="AI196">
        <f t="shared" si="62"/>
        <v>0</v>
      </c>
      <c r="AJ196">
        <f t="shared" si="62"/>
        <v>0</v>
      </c>
      <c r="AK196">
        <f t="shared" si="62"/>
        <v>0</v>
      </c>
      <c r="AL196">
        <f t="shared" si="62"/>
        <v>0</v>
      </c>
      <c r="AM196">
        <f t="shared" si="62"/>
        <v>1</v>
      </c>
      <c r="AN196">
        <f t="shared" si="62"/>
        <v>0</v>
      </c>
      <c r="AO196">
        <f t="shared" si="62"/>
        <v>0</v>
      </c>
      <c r="AP196">
        <f t="shared" si="60"/>
        <v>5</v>
      </c>
      <c r="BL196" s="9">
        <f t="shared" si="55"/>
        <v>140763.43753223974</v>
      </c>
      <c r="BM196" s="9">
        <f t="shared" si="56"/>
      </c>
      <c r="BN196" s="9">
        <f t="shared" si="57"/>
        <v>140763.43753223974</v>
      </c>
      <c r="BU196" s="9"/>
      <c r="BV196" s="9"/>
      <c r="BW196" s="9"/>
      <c r="BX196" s="9"/>
    </row>
    <row r="197" spans="1:76" ht="12.75">
      <c r="A197" s="59">
        <f t="shared" si="61"/>
        <v>142</v>
      </c>
      <c r="B197" s="55" t="s">
        <v>98</v>
      </c>
      <c r="C197" s="55">
        <v>2002</v>
      </c>
      <c r="D197" s="87">
        <v>130000</v>
      </c>
      <c r="E197" s="88"/>
      <c r="F197" s="88"/>
      <c r="G197" s="66"/>
      <c r="H197">
        <f t="shared" si="51"/>
      </c>
      <c r="I197">
        <f t="shared" si="51"/>
      </c>
      <c r="J197">
        <f t="shared" si="51"/>
      </c>
      <c r="K197">
        <f t="shared" si="51"/>
      </c>
      <c r="L197">
        <f t="shared" si="51"/>
      </c>
      <c r="M197">
        <f t="shared" si="51"/>
      </c>
      <c r="N197">
        <f t="shared" si="51"/>
      </c>
      <c r="O197">
        <f t="shared" si="51"/>
        <v>130000</v>
      </c>
      <c r="P197">
        <f t="shared" si="51"/>
      </c>
      <c r="Q197">
        <f t="shared" si="51"/>
      </c>
      <c r="R197" s="9">
        <f t="shared" si="58"/>
        <v>130000</v>
      </c>
      <c r="T197">
        <f t="shared" si="59"/>
      </c>
      <c r="U197">
        <f t="shared" si="52"/>
      </c>
      <c r="V197">
        <f t="shared" si="52"/>
      </c>
      <c r="W197">
        <f t="shared" si="52"/>
      </c>
      <c r="X197">
        <f t="shared" si="52"/>
      </c>
      <c r="Y197">
        <f t="shared" si="52"/>
        <v>130000</v>
      </c>
      <c r="Z197">
        <f t="shared" si="52"/>
      </c>
      <c r="AA197">
        <f t="shared" si="52"/>
      </c>
      <c r="AB197">
        <f t="shared" si="52"/>
      </c>
      <c r="AC197">
        <f t="shared" si="52"/>
      </c>
      <c r="AD197">
        <f t="shared" si="52"/>
      </c>
      <c r="AE197">
        <f t="shared" si="53"/>
      </c>
      <c r="AF197" s="9">
        <f t="shared" si="54"/>
        <v>130000</v>
      </c>
      <c r="AG197">
        <f t="shared" si="63"/>
        <v>0</v>
      </c>
      <c r="AH197">
        <f t="shared" si="62"/>
        <v>0</v>
      </c>
      <c r="AI197">
        <f t="shared" si="62"/>
        <v>0</v>
      </c>
      <c r="AJ197">
        <f t="shared" si="62"/>
        <v>0</v>
      </c>
      <c r="AK197">
        <f t="shared" si="62"/>
        <v>0</v>
      </c>
      <c r="AL197">
        <f t="shared" si="62"/>
        <v>0</v>
      </c>
      <c r="AM197">
        <f t="shared" si="62"/>
        <v>1</v>
      </c>
      <c r="AN197">
        <f t="shared" si="62"/>
        <v>0</v>
      </c>
      <c r="AO197">
        <f t="shared" si="62"/>
        <v>0</v>
      </c>
      <c r="AP197">
        <f t="shared" si="60"/>
        <v>5</v>
      </c>
      <c r="BL197" s="9">
        <f t="shared" si="55"/>
        <v>110763.43753223974</v>
      </c>
      <c r="BM197" s="9">
        <f t="shared" si="56"/>
      </c>
      <c r="BN197" s="9">
        <f t="shared" si="57"/>
        <v>110763.43753223974</v>
      </c>
      <c r="BU197" s="9"/>
      <c r="BV197" s="9"/>
      <c r="BW197" s="9"/>
      <c r="BX197" s="9"/>
    </row>
    <row r="198" spans="1:76" ht="12.75">
      <c r="A198" s="59">
        <f t="shared" si="61"/>
        <v>143</v>
      </c>
      <c r="B198" s="55" t="s">
        <v>98</v>
      </c>
      <c r="C198" s="55">
        <v>2002</v>
      </c>
      <c r="D198" s="87">
        <v>150000</v>
      </c>
      <c r="E198" s="88"/>
      <c r="F198" s="88"/>
      <c r="G198" s="66"/>
      <c r="H198">
        <f t="shared" si="51"/>
      </c>
      <c r="I198">
        <f t="shared" si="51"/>
      </c>
      <c r="J198">
        <f t="shared" si="51"/>
      </c>
      <c r="K198">
        <f t="shared" si="51"/>
      </c>
      <c r="L198">
        <f t="shared" si="51"/>
      </c>
      <c r="M198">
        <f t="shared" si="51"/>
      </c>
      <c r="N198">
        <f t="shared" si="51"/>
      </c>
      <c r="O198">
        <f t="shared" si="51"/>
        <v>150000</v>
      </c>
      <c r="P198">
        <f t="shared" si="51"/>
      </c>
      <c r="Q198">
        <f t="shared" si="51"/>
      </c>
      <c r="R198" s="9">
        <f t="shared" si="58"/>
        <v>150000</v>
      </c>
      <c r="T198">
        <f t="shared" si="59"/>
      </c>
      <c r="U198">
        <f t="shared" si="52"/>
      </c>
      <c r="V198">
        <f t="shared" si="52"/>
      </c>
      <c r="W198">
        <f t="shared" si="52"/>
      </c>
      <c r="X198">
        <f t="shared" si="52"/>
      </c>
      <c r="Y198">
        <f t="shared" si="52"/>
        <v>150000</v>
      </c>
      <c r="Z198">
        <f t="shared" si="52"/>
      </c>
      <c r="AA198">
        <f t="shared" si="52"/>
      </c>
      <c r="AB198">
        <f t="shared" si="52"/>
      </c>
      <c r="AC198">
        <f t="shared" si="52"/>
      </c>
      <c r="AD198">
        <f t="shared" si="52"/>
      </c>
      <c r="AE198">
        <f t="shared" si="53"/>
      </c>
      <c r="AF198" s="9">
        <f t="shared" si="54"/>
        <v>150000</v>
      </c>
      <c r="AG198">
        <f t="shared" si="63"/>
        <v>0</v>
      </c>
      <c r="AH198">
        <f t="shared" si="62"/>
        <v>0</v>
      </c>
      <c r="AI198">
        <f t="shared" si="62"/>
        <v>0</v>
      </c>
      <c r="AJ198">
        <f t="shared" si="62"/>
        <v>0</v>
      </c>
      <c r="AK198">
        <f t="shared" si="62"/>
        <v>0</v>
      </c>
      <c r="AL198">
        <f t="shared" si="62"/>
        <v>0</v>
      </c>
      <c r="AM198">
        <f t="shared" si="62"/>
        <v>1</v>
      </c>
      <c r="AN198">
        <f t="shared" si="62"/>
        <v>0</v>
      </c>
      <c r="AO198">
        <f t="shared" si="62"/>
        <v>0</v>
      </c>
      <c r="AP198">
        <f t="shared" si="60"/>
        <v>5</v>
      </c>
      <c r="BL198" s="9">
        <f t="shared" si="55"/>
        <v>130763.43753223974</v>
      </c>
      <c r="BM198" s="9">
        <f t="shared" si="56"/>
      </c>
      <c r="BN198" s="9">
        <f t="shared" si="57"/>
        <v>130763.43753223974</v>
      </c>
      <c r="BU198" s="9"/>
      <c r="BV198" s="9"/>
      <c r="BW198" s="9"/>
      <c r="BX198" s="9"/>
    </row>
    <row r="199" spans="1:76" ht="12.75">
      <c r="A199" s="59">
        <f t="shared" si="61"/>
        <v>144</v>
      </c>
      <c r="B199" s="55" t="s">
        <v>98</v>
      </c>
      <c r="C199" s="55">
        <v>2005</v>
      </c>
      <c r="D199" s="87">
        <v>90000</v>
      </c>
      <c r="E199" s="88"/>
      <c r="F199" s="88"/>
      <c r="G199" s="66"/>
      <c r="H199">
        <f t="shared" si="51"/>
      </c>
      <c r="I199">
        <f t="shared" si="51"/>
      </c>
      <c r="J199">
        <f t="shared" si="51"/>
      </c>
      <c r="K199">
        <f t="shared" si="51"/>
      </c>
      <c r="L199">
        <f t="shared" si="51"/>
      </c>
      <c r="M199">
        <f t="shared" si="51"/>
      </c>
      <c r="N199">
        <f t="shared" si="51"/>
      </c>
      <c r="O199">
        <f t="shared" si="51"/>
        <v>90000</v>
      </c>
      <c r="P199">
        <f t="shared" si="51"/>
      </c>
      <c r="Q199">
        <f t="shared" si="51"/>
      </c>
      <c r="R199" s="9">
        <f t="shared" si="58"/>
        <v>90000</v>
      </c>
      <c r="T199">
        <f t="shared" si="59"/>
      </c>
      <c r="U199">
        <f t="shared" si="52"/>
      </c>
      <c r="V199">
        <f t="shared" si="52"/>
        <v>90000</v>
      </c>
      <c r="W199">
        <f t="shared" si="52"/>
      </c>
      <c r="X199">
        <f t="shared" si="52"/>
      </c>
      <c r="Y199">
        <f t="shared" si="52"/>
      </c>
      <c r="Z199">
        <f t="shared" si="52"/>
      </c>
      <c r="AA199">
        <f t="shared" si="52"/>
      </c>
      <c r="AB199">
        <f t="shared" si="52"/>
      </c>
      <c r="AC199">
        <f t="shared" si="52"/>
      </c>
      <c r="AD199">
        <f t="shared" si="52"/>
      </c>
      <c r="AE199">
        <f t="shared" si="53"/>
      </c>
      <c r="AF199" s="9">
        <f t="shared" si="54"/>
        <v>90000</v>
      </c>
      <c r="AG199">
        <f t="shared" si="63"/>
        <v>0</v>
      </c>
      <c r="AH199">
        <f t="shared" si="62"/>
        <v>0</v>
      </c>
      <c r="AI199">
        <f t="shared" si="62"/>
        <v>0</v>
      </c>
      <c r="AJ199">
        <f t="shared" si="62"/>
        <v>0</v>
      </c>
      <c r="AK199">
        <f t="shared" si="62"/>
        <v>0</v>
      </c>
      <c r="AL199">
        <f t="shared" si="62"/>
        <v>0</v>
      </c>
      <c r="AM199">
        <f t="shared" si="62"/>
        <v>1</v>
      </c>
      <c r="AN199">
        <f t="shared" si="62"/>
        <v>0</v>
      </c>
      <c r="AO199">
        <f t="shared" si="62"/>
        <v>0</v>
      </c>
      <c r="AP199">
        <f t="shared" si="60"/>
        <v>2</v>
      </c>
      <c r="BL199" s="9">
        <f t="shared" si="55"/>
        <v>82305.37501289589</v>
      </c>
      <c r="BM199" s="9">
        <f t="shared" si="56"/>
        <v>82305.37501289589</v>
      </c>
      <c r="BN199" s="9">
        <f t="shared" si="57"/>
      </c>
      <c r="BU199" s="9"/>
      <c r="BV199" s="9"/>
      <c r="BW199" s="9"/>
      <c r="BX199" s="9"/>
    </row>
    <row r="200" spans="1:76" ht="12.75">
      <c r="A200" s="59">
        <f t="shared" si="61"/>
        <v>145</v>
      </c>
      <c r="B200" s="55" t="s">
        <v>98</v>
      </c>
      <c r="C200" s="55">
        <v>2005</v>
      </c>
      <c r="D200" s="87">
        <v>120000</v>
      </c>
      <c r="E200" s="88"/>
      <c r="F200" s="88"/>
      <c r="G200" s="66"/>
      <c r="H200">
        <f aca="true" t="shared" si="64" ref="H200:Q215">IF($B200=H$55,$D200,"")</f>
      </c>
      <c r="I200">
        <f t="shared" si="64"/>
      </c>
      <c r="J200">
        <f t="shared" si="64"/>
      </c>
      <c r="K200">
        <f t="shared" si="64"/>
      </c>
      <c r="L200">
        <f t="shared" si="64"/>
      </c>
      <c r="M200">
        <f t="shared" si="64"/>
      </c>
      <c r="N200">
        <f t="shared" si="64"/>
      </c>
      <c r="O200">
        <f t="shared" si="64"/>
        <v>120000</v>
      </c>
      <c r="P200">
        <f t="shared" si="64"/>
      </c>
      <c r="Q200">
        <f t="shared" si="64"/>
      </c>
      <c r="R200" s="9">
        <f t="shared" si="58"/>
        <v>120000</v>
      </c>
      <c r="T200">
        <f t="shared" si="59"/>
      </c>
      <c r="U200">
        <f aca="true" t="shared" si="65" ref="U200:AD215">IF($C200=U$55,$D200,"")</f>
      </c>
      <c r="V200">
        <f t="shared" si="65"/>
        <v>120000</v>
      </c>
      <c r="W200">
        <f t="shared" si="65"/>
      </c>
      <c r="X200">
        <f t="shared" si="65"/>
      </c>
      <c r="Y200">
        <f t="shared" si="65"/>
      </c>
      <c r="Z200">
        <f t="shared" si="65"/>
      </c>
      <c r="AA200">
        <f t="shared" si="65"/>
      </c>
      <c r="AB200">
        <f t="shared" si="65"/>
      </c>
      <c r="AC200">
        <f t="shared" si="65"/>
      </c>
      <c r="AD200">
        <f t="shared" si="65"/>
      </c>
      <c r="AE200">
        <f t="shared" si="53"/>
      </c>
      <c r="AF200" s="9">
        <f t="shared" si="54"/>
        <v>120000</v>
      </c>
      <c r="AG200">
        <f t="shared" si="63"/>
        <v>0</v>
      </c>
      <c r="AH200">
        <f t="shared" si="62"/>
        <v>0</v>
      </c>
      <c r="AI200">
        <f t="shared" si="62"/>
        <v>0</v>
      </c>
      <c r="AJ200">
        <f t="shared" si="62"/>
        <v>0</v>
      </c>
      <c r="AK200">
        <f t="shared" si="62"/>
        <v>0</v>
      </c>
      <c r="AL200">
        <f t="shared" si="62"/>
        <v>0</v>
      </c>
      <c r="AM200">
        <f t="shared" si="62"/>
        <v>1</v>
      </c>
      <c r="AN200">
        <f t="shared" si="62"/>
        <v>0</v>
      </c>
      <c r="AO200">
        <f t="shared" si="62"/>
        <v>0</v>
      </c>
      <c r="AP200">
        <f t="shared" si="60"/>
        <v>2</v>
      </c>
      <c r="BL200" s="9">
        <f t="shared" si="55"/>
        <v>112305.37501289589</v>
      </c>
      <c r="BM200" s="9">
        <f t="shared" si="56"/>
      </c>
      <c r="BN200" s="9">
        <f t="shared" si="57"/>
        <v>112305.37501289589</v>
      </c>
      <c r="BU200" s="9"/>
      <c r="BV200" s="9"/>
      <c r="BW200" s="9"/>
      <c r="BX200" s="9"/>
    </row>
    <row r="201" spans="1:76" ht="12.75">
      <c r="A201" s="59">
        <f t="shared" si="61"/>
        <v>146</v>
      </c>
      <c r="B201" s="55" t="s">
        <v>98</v>
      </c>
      <c r="C201" s="55">
        <v>2005</v>
      </c>
      <c r="D201" s="87">
        <v>122000</v>
      </c>
      <c r="E201" s="88"/>
      <c r="F201" s="88"/>
      <c r="G201" s="66"/>
      <c r="H201">
        <f t="shared" si="64"/>
      </c>
      <c r="I201">
        <f t="shared" si="64"/>
      </c>
      <c r="J201">
        <f t="shared" si="64"/>
      </c>
      <c r="K201">
        <f t="shared" si="64"/>
      </c>
      <c r="L201">
        <f t="shared" si="64"/>
      </c>
      <c r="M201">
        <f t="shared" si="64"/>
      </c>
      <c r="N201">
        <f t="shared" si="64"/>
      </c>
      <c r="O201">
        <f t="shared" si="64"/>
        <v>122000</v>
      </c>
      <c r="P201">
        <f t="shared" si="64"/>
      </c>
      <c r="Q201">
        <f t="shared" si="64"/>
      </c>
      <c r="R201" s="9">
        <f t="shared" si="58"/>
        <v>122000</v>
      </c>
      <c r="T201">
        <f t="shared" si="59"/>
      </c>
      <c r="U201">
        <f t="shared" si="65"/>
      </c>
      <c r="V201">
        <f t="shared" si="65"/>
        <v>122000</v>
      </c>
      <c r="W201">
        <f t="shared" si="65"/>
      </c>
      <c r="X201">
        <f t="shared" si="65"/>
      </c>
      <c r="Y201">
        <f t="shared" si="65"/>
      </c>
      <c r="Z201">
        <f t="shared" si="65"/>
      </c>
      <c r="AA201">
        <f t="shared" si="65"/>
      </c>
      <c r="AB201">
        <f t="shared" si="65"/>
      </c>
      <c r="AC201">
        <f t="shared" si="65"/>
      </c>
      <c r="AD201">
        <f t="shared" si="65"/>
      </c>
      <c r="AE201">
        <f t="shared" si="53"/>
      </c>
      <c r="AF201" s="9">
        <f t="shared" si="54"/>
        <v>122000</v>
      </c>
      <c r="AG201">
        <f t="shared" si="63"/>
        <v>0</v>
      </c>
      <c r="AH201">
        <f t="shared" si="62"/>
        <v>0</v>
      </c>
      <c r="AI201">
        <f t="shared" si="62"/>
        <v>0</v>
      </c>
      <c r="AJ201">
        <f t="shared" si="62"/>
        <v>0</v>
      </c>
      <c r="AK201">
        <f t="shared" si="62"/>
        <v>0</v>
      </c>
      <c r="AL201">
        <f t="shared" si="62"/>
        <v>0</v>
      </c>
      <c r="AM201">
        <f t="shared" si="62"/>
        <v>1</v>
      </c>
      <c r="AN201">
        <f t="shared" si="62"/>
        <v>0</v>
      </c>
      <c r="AO201">
        <f t="shared" si="62"/>
        <v>0</v>
      </c>
      <c r="AP201">
        <f t="shared" si="60"/>
        <v>2</v>
      </c>
      <c r="BL201" s="9">
        <f t="shared" si="55"/>
        <v>114305.37501289589</v>
      </c>
      <c r="BM201" s="9">
        <f t="shared" si="56"/>
      </c>
      <c r="BN201" s="9">
        <f t="shared" si="57"/>
        <v>114305.37501289589</v>
      </c>
      <c r="BU201" s="9"/>
      <c r="BV201" s="9"/>
      <c r="BW201" s="9"/>
      <c r="BX201" s="9"/>
    </row>
    <row r="202" spans="1:76" ht="12.75">
      <c r="A202" s="59">
        <f t="shared" si="61"/>
        <v>147</v>
      </c>
      <c r="B202" s="55" t="s">
        <v>98</v>
      </c>
      <c r="C202" s="55">
        <v>2005</v>
      </c>
      <c r="D202" s="87">
        <v>130000</v>
      </c>
      <c r="E202" s="88"/>
      <c r="F202" s="88"/>
      <c r="G202" s="66"/>
      <c r="H202">
        <f t="shared" si="64"/>
      </c>
      <c r="I202">
        <f t="shared" si="64"/>
      </c>
      <c r="J202">
        <f t="shared" si="64"/>
      </c>
      <c r="K202">
        <f t="shared" si="64"/>
      </c>
      <c r="L202">
        <f t="shared" si="64"/>
      </c>
      <c r="M202">
        <f t="shared" si="64"/>
      </c>
      <c r="N202">
        <f t="shared" si="64"/>
      </c>
      <c r="O202">
        <f t="shared" si="64"/>
        <v>130000</v>
      </c>
      <c r="P202">
        <f t="shared" si="64"/>
      </c>
      <c r="Q202">
        <f t="shared" si="64"/>
      </c>
      <c r="R202" s="9">
        <f t="shared" si="58"/>
        <v>130000</v>
      </c>
      <c r="T202">
        <f t="shared" si="59"/>
      </c>
      <c r="U202">
        <f t="shared" si="65"/>
      </c>
      <c r="V202">
        <f t="shared" si="65"/>
        <v>130000</v>
      </c>
      <c r="W202">
        <f t="shared" si="65"/>
      </c>
      <c r="X202">
        <f t="shared" si="65"/>
      </c>
      <c r="Y202">
        <f t="shared" si="65"/>
      </c>
      <c r="Z202">
        <f t="shared" si="65"/>
      </c>
      <c r="AA202">
        <f t="shared" si="65"/>
      </c>
      <c r="AB202">
        <f t="shared" si="65"/>
      </c>
      <c r="AC202">
        <f t="shared" si="65"/>
      </c>
      <c r="AD202">
        <f t="shared" si="65"/>
      </c>
      <c r="AE202">
        <f t="shared" si="53"/>
      </c>
      <c r="AF202" s="9">
        <f t="shared" si="54"/>
        <v>130000</v>
      </c>
      <c r="AG202">
        <f t="shared" si="63"/>
        <v>0</v>
      </c>
      <c r="AH202">
        <f t="shared" si="62"/>
        <v>0</v>
      </c>
      <c r="AI202">
        <f t="shared" si="62"/>
        <v>0</v>
      </c>
      <c r="AJ202">
        <f t="shared" si="62"/>
        <v>0</v>
      </c>
      <c r="AK202">
        <f t="shared" si="62"/>
        <v>0</v>
      </c>
      <c r="AL202">
        <f t="shared" si="62"/>
        <v>0</v>
      </c>
      <c r="AM202">
        <f t="shared" si="62"/>
        <v>1</v>
      </c>
      <c r="AN202">
        <f t="shared" si="62"/>
        <v>0</v>
      </c>
      <c r="AO202">
        <f t="shared" si="62"/>
        <v>0</v>
      </c>
      <c r="AP202">
        <f t="shared" si="60"/>
        <v>2</v>
      </c>
      <c r="BL202" s="9">
        <f t="shared" si="55"/>
        <v>122305.37501289589</v>
      </c>
      <c r="BM202" s="9">
        <f t="shared" si="56"/>
      </c>
      <c r="BN202" s="9">
        <f t="shared" si="57"/>
        <v>122305.37501289589</v>
      </c>
      <c r="BU202" s="9"/>
      <c r="BV202" s="9"/>
      <c r="BW202" s="9"/>
      <c r="BX202" s="9"/>
    </row>
    <row r="203" spans="1:76" ht="12.75">
      <c r="A203" s="59">
        <f t="shared" si="61"/>
        <v>148</v>
      </c>
      <c r="B203" s="55" t="s">
        <v>98</v>
      </c>
      <c r="C203" s="55">
        <v>2005</v>
      </c>
      <c r="D203" s="87">
        <v>95000</v>
      </c>
      <c r="E203" s="88"/>
      <c r="F203" s="88"/>
      <c r="G203" s="66"/>
      <c r="H203">
        <f t="shared" si="64"/>
      </c>
      <c r="I203">
        <f t="shared" si="64"/>
      </c>
      <c r="J203">
        <f t="shared" si="64"/>
      </c>
      <c r="K203">
        <f t="shared" si="64"/>
      </c>
      <c r="L203">
        <f t="shared" si="64"/>
      </c>
      <c r="M203">
        <f t="shared" si="64"/>
      </c>
      <c r="N203">
        <f t="shared" si="64"/>
      </c>
      <c r="O203">
        <f t="shared" si="64"/>
        <v>95000</v>
      </c>
      <c r="P203">
        <f t="shared" si="64"/>
      </c>
      <c r="Q203">
        <f t="shared" si="64"/>
      </c>
      <c r="R203" s="9">
        <f t="shared" si="58"/>
        <v>95000</v>
      </c>
      <c r="T203">
        <f t="shared" si="59"/>
      </c>
      <c r="U203">
        <f t="shared" si="65"/>
      </c>
      <c r="V203">
        <f t="shared" si="65"/>
        <v>95000</v>
      </c>
      <c r="W203">
        <f t="shared" si="65"/>
      </c>
      <c r="X203">
        <f t="shared" si="65"/>
      </c>
      <c r="Y203">
        <f t="shared" si="65"/>
      </c>
      <c r="Z203">
        <f t="shared" si="65"/>
      </c>
      <c r="AA203">
        <f t="shared" si="65"/>
      </c>
      <c r="AB203">
        <f t="shared" si="65"/>
      </c>
      <c r="AC203">
        <f t="shared" si="65"/>
      </c>
      <c r="AD203">
        <f t="shared" si="65"/>
      </c>
      <c r="AE203">
        <f t="shared" si="53"/>
      </c>
      <c r="AF203" s="9">
        <f t="shared" si="54"/>
        <v>95000</v>
      </c>
      <c r="AG203">
        <f t="shared" si="63"/>
        <v>0</v>
      </c>
      <c r="AH203">
        <f t="shared" si="62"/>
        <v>0</v>
      </c>
      <c r="AI203">
        <f t="shared" si="62"/>
        <v>0</v>
      </c>
      <c r="AJ203">
        <f t="shared" si="62"/>
        <v>0</v>
      </c>
      <c r="AK203">
        <f t="shared" si="62"/>
        <v>0</v>
      </c>
      <c r="AL203">
        <f t="shared" si="62"/>
        <v>0</v>
      </c>
      <c r="AM203">
        <f t="shared" si="62"/>
        <v>1</v>
      </c>
      <c r="AN203">
        <f t="shared" si="62"/>
        <v>0</v>
      </c>
      <c r="AO203">
        <f t="shared" si="62"/>
        <v>0</v>
      </c>
      <c r="AP203">
        <f t="shared" si="60"/>
        <v>2</v>
      </c>
      <c r="BL203" s="9">
        <f t="shared" si="55"/>
        <v>87305.37501289589</v>
      </c>
      <c r="BM203" s="9">
        <f t="shared" si="56"/>
        <v>87305.37501289589</v>
      </c>
      <c r="BN203" s="9">
        <f t="shared" si="57"/>
      </c>
      <c r="BU203" s="9"/>
      <c r="BV203" s="9"/>
      <c r="BW203" s="9"/>
      <c r="BX203" s="9"/>
    </row>
    <row r="204" spans="1:76" ht="12.75">
      <c r="A204" s="59">
        <f t="shared" si="61"/>
        <v>149</v>
      </c>
      <c r="B204" s="55" t="s">
        <v>98</v>
      </c>
      <c r="C204" s="55">
        <v>2004</v>
      </c>
      <c r="D204" s="87">
        <v>190000</v>
      </c>
      <c r="E204" s="88"/>
      <c r="F204" s="88"/>
      <c r="G204" s="66"/>
      <c r="H204">
        <f t="shared" si="64"/>
      </c>
      <c r="I204">
        <f t="shared" si="64"/>
      </c>
      <c r="J204">
        <f t="shared" si="64"/>
      </c>
      <c r="K204">
        <f t="shared" si="64"/>
      </c>
      <c r="L204">
        <f t="shared" si="64"/>
      </c>
      <c r="M204">
        <f t="shared" si="64"/>
      </c>
      <c r="N204">
        <f t="shared" si="64"/>
      </c>
      <c r="O204">
        <f t="shared" si="64"/>
        <v>190000</v>
      </c>
      <c r="P204">
        <f t="shared" si="64"/>
      </c>
      <c r="Q204">
        <f t="shared" si="64"/>
      </c>
      <c r="R204" s="9">
        <f t="shared" si="58"/>
        <v>190000</v>
      </c>
      <c r="T204">
        <f t="shared" si="59"/>
      </c>
      <c r="U204">
        <f t="shared" si="65"/>
      </c>
      <c r="V204">
        <f t="shared" si="65"/>
      </c>
      <c r="W204">
        <f t="shared" si="65"/>
        <v>190000</v>
      </c>
      <c r="X204">
        <f t="shared" si="65"/>
      </c>
      <c r="Y204">
        <f t="shared" si="65"/>
      </c>
      <c r="Z204">
        <f t="shared" si="65"/>
      </c>
      <c r="AA204">
        <f t="shared" si="65"/>
      </c>
      <c r="AB204">
        <f t="shared" si="65"/>
      </c>
      <c r="AC204">
        <f t="shared" si="65"/>
      </c>
      <c r="AD204">
        <f t="shared" si="65"/>
      </c>
      <c r="AE204">
        <f t="shared" si="53"/>
      </c>
      <c r="AF204" s="9">
        <f t="shared" si="54"/>
        <v>190000</v>
      </c>
      <c r="AG204">
        <f t="shared" si="63"/>
        <v>0</v>
      </c>
      <c r="AH204">
        <f t="shared" si="62"/>
        <v>0</v>
      </c>
      <c r="AI204">
        <f t="shared" si="62"/>
        <v>0</v>
      </c>
      <c r="AJ204">
        <f t="shared" si="62"/>
        <v>0</v>
      </c>
      <c r="AK204">
        <f t="shared" si="62"/>
        <v>0</v>
      </c>
      <c r="AL204">
        <f t="shared" si="62"/>
        <v>0</v>
      </c>
      <c r="AM204">
        <f t="shared" si="62"/>
        <v>1</v>
      </c>
      <c r="AN204">
        <f t="shared" si="62"/>
        <v>0</v>
      </c>
      <c r="AO204">
        <f t="shared" si="62"/>
        <v>0</v>
      </c>
      <c r="AP204">
        <f t="shared" si="60"/>
        <v>3</v>
      </c>
      <c r="BL204" s="9">
        <f t="shared" si="55"/>
        <v>178458.06251934383</v>
      </c>
      <c r="BM204" s="9">
        <f t="shared" si="56"/>
      </c>
      <c r="BN204" s="9">
        <f t="shared" si="57"/>
        <v>178458.06251934383</v>
      </c>
      <c r="BU204" s="9"/>
      <c r="BV204" s="9"/>
      <c r="BW204" s="9"/>
      <c r="BX204" s="9"/>
    </row>
    <row r="205" spans="1:76" ht="12.75">
      <c r="A205" s="59">
        <f t="shared" si="61"/>
        <v>150</v>
      </c>
      <c r="B205" s="55" t="s">
        <v>98</v>
      </c>
      <c r="C205" s="55">
        <v>2005</v>
      </c>
      <c r="D205" s="87">
        <v>220000</v>
      </c>
      <c r="E205" s="88"/>
      <c r="F205" s="88"/>
      <c r="G205" s="66"/>
      <c r="H205">
        <f t="shared" si="64"/>
      </c>
      <c r="I205">
        <f t="shared" si="64"/>
      </c>
      <c r="J205">
        <f t="shared" si="64"/>
      </c>
      <c r="K205">
        <f t="shared" si="64"/>
      </c>
      <c r="L205">
        <f t="shared" si="64"/>
      </c>
      <c r="M205">
        <f t="shared" si="64"/>
      </c>
      <c r="N205">
        <f t="shared" si="64"/>
      </c>
      <c r="O205">
        <f t="shared" si="64"/>
        <v>220000</v>
      </c>
      <c r="P205">
        <f t="shared" si="64"/>
      </c>
      <c r="Q205">
        <f t="shared" si="64"/>
      </c>
      <c r="R205" s="9">
        <f t="shared" si="58"/>
        <v>220000</v>
      </c>
      <c r="T205">
        <f t="shared" si="59"/>
      </c>
      <c r="U205">
        <f t="shared" si="65"/>
      </c>
      <c r="V205">
        <f t="shared" si="65"/>
        <v>220000</v>
      </c>
      <c r="W205">
        <f t="shared" si="65"/>
      </c>
      <c r="X205">
        <f t="shared" si="65"/>
      </c>
      <c r="Y205">
        <f t="shared" si="65"/>
      </c>
      <c r="Z205">
        <f t="shared" si="65"/>
      </c>
      <c r="AA205">
        <f t="shared" si="65"/>
      </c>
      <c r="AB205">
        <f t="shared" si="65"/>
      </c>
      <c r="AC205">
        <f t="shared" si="65"/>
      </c>
      <c r="AD205">
        <f t="shared" si="65"/>
      </c>
      <c r="AE205">
        <f t="shared" si="53"/>
      </c>
      <c r="AF205" s="9">
        <f t="shared" si="54"/>
        <v>220000</v>
      </c>
      <c r="AG205">
        <f t="shared" si="63"/>
        <v>0</v>
      </c>
      <c r="AH205">
        <f t="shared" si="62"/>
        <v>0</v>
      </c>
      <c r="AI205">
        <f t="shared" si="62"/>
        <v>0</v>
      </c>
      <c r="AJ205">
        <f t="shared" si="62"/>
        <v>0</v>
      </c>
      <c r="AK205">
        <f t="shared" si="62"/>
        <v>0</v>
      </c>
      <c r="AL205">
        <f t="shared" si="62"/>
        <v>0</v>
      </c>
      <c r="AM205">
        <f t="shared" si="62"/>
        <v>1</v>
      </c>
      <c r="AN205">
        <f t="shared" si="62"/>
        <v>0</v>
      </c>
      <c r="AO205">
        <f t="shared" si="62"/>
        <v>0</v>
      </c>
      <c r="AP205">
        <f t="shared" si="60"/>
        <v>2</v>
      </c>
      <c r="BL205" s="9">
        <f t="shared" si="55"/>
        <v>212305.3750128959</v>
      </c>
      <c r="BM205" s="9">
        <f t="shared" si="56"/>
      </c>
      <c r="BN205" s="9">
        <f t="shared" si="57"/>
        <v>212305.3750128959</v>
      </c>
      <c r="BU205" s="9"/>
      <c r="BV205" s="9"/>
      <c r="BW205" s="9"/>
      <c r="BX205" s="9"/>
    </row>
    <row r="206" spans="1:76" ht="12.75">
      <c r="A206" s="59">
        <f t="shared" si="61"/>
        <v>151</v>
      </c>
      <c r="B206" s="55" t="s">
        <v>98</v>
      </c>
      <c r="C206" s="55">
        <v>2005</v>
      </c>
      <c r="D206" s="87">
        <v>190000</v>
      </c>
      <c r="E206" s="88"/>
      <c r="F206" s="88"/>
      <c r="G206" s="66"/>
      <c r="H206">
        <f t="shared" si="64"/>
      </c>
      <c r="I206">
        <f t="shared" si="64"/>
      </c>
      <c r="J206">
        <f t="shared" si="64"/>
      </c>
      <c r="K206">
        <f t="shared" si="64"/>
      </c>
      <c r="L206">
        <f t="shared" si="64"/>
      </c>
      <c r="M206">
        <f t="shared" si="64"/>
      </c>
      <c r="N206">
        <f t="shared" si="64"/>
      </c>
      <c r="O206">
        <f t="shared" si="64"/>
        <v>190000</v>
      </c>
      <c r="P206">
        <f t="shared" si="64"/>
      </c>
      <c r="Q206">
        <f t="shared" si="64"/>
      </c>
      <c r="R206" s="9">
        <f t="shared" si="58"/>
        <v>190000</v>
      </c>
      <c r="T206">
        <f t="shared" si="59"/>
      </c>
      <c r="U206">
        <f t="shared" si="65"/>
      </c>
      <c r="V206">
        <f t="shared" si="65"/>
        <v>190000</v>
      </c>
      <c r="W206">
        <f t="shared" si="65"/>
      </c>
      <c r="X206">
        <f t="shared" si="65"/>
      </c>
      <c r="Y206">
        <f t="shared" si="65"/>
      </c>
      <c r="Z206">
        <f t="shared" si="65"/>
      </c>
      <c r="AA206">
        <f t="shared" si="65"/>
      </c>
      <c r="AB206">
        <f t="shared" si="65"/>
      </c>
      <c r="AC206">
        <f t="shared" si="65"/>
      </c>
      <c r="AD206">
        <f t="shared" si="65"/>
      </c>
      <c r="AE206">
        <f t="shared" si="53"/>
      </c>
      <c r="AF206" s="9">
        <f t="shared" si="54"/>
        <v>190000</v>
      </c>
      <c r="AG206">
        <f t="shared" si="63"/>
        <v>0</v>
      </c>
      <c r="AH206">
        <f t="shared" si="62"/>
        <v>0</v>
      </c>
      <c r="AI206">
        <f t="shared" si="62"/>
        <v>0</v>
      </c>
      <c r="AJ206">
        <f t="shared" si="62"/>
        <v>0</v>
      </c>
      <c r="AK206">
        <f t="shared" si="62"/>
        <v>0</v>
      </c>
      <c r="AL206">
        <f t="shared" si="62"/>
        <v>0</v>
      </c>
      <c r="AM206">
        <f t="shared" si="62"/>
        <v>1</v>
      </c>
      <c r="AN206">
        <f t="shared" si="62"/>
        <v>0</v>
      </c>
      <c r="AO206">
        <f t="shared" si="62"/>
        <v>0</v>
      </c>
      <c r="AP206">
        <f t="shared" si="60"/>
        <v>2</v>
      </c>
      <c r="BL206" s="9">
        <f t="shared" si="55"/>
        <v>182305.3750128959</v>
      </c>
      <c r="BM206" s="9">
        <f t="shared" si="56"/>
      </c>
      <c r="BN206" s="9">
        <f t="shared" si="57"/>
        <v>182305.3750128959</v>
      </c>
      <c r="BU206" s="9"/>
      <c r="BV206" s="9"/>
      <c r="BW206" s="9"/>
      <c r="BX206" s="9"/>
    </row>
    <row r="207" spans="1:76" ht="12.75">
      <c r="A207" s="59">
        <f t="shared" si="61"/>
        <v>152</v>
      </c>
      <c r="B207" s="55" t="s">
        <v>98</v>
      </c>
      <c r="C207" s="55">
        <v>2005</v>
      </c>
      <c r="D207" s="87">
        <v>162000</v>
      </c>
      <c r="E207" s="88"/>
      <c r="F207" s="88"/>
      <c r="G207" s="66"/>
      <c r="H207">
        <f t="shared" si="64"/>
      </c>
      <c r="I207">
        <f t="shared" si="64"/>
      </c>
      <c r="J207">
        <f t="shared" si="64"/>
      </c>
      <c r="K207">
        <f t="shared" si="64"/>
      </c>
      <c r="L207">
        <f t="shared" si="64"/>
      </c>
      <c r="M207">
        <f t="shared" si="64"/>
      </c>
      <c r="N207">
        <f t="shared" si="64"/>
      </c>
      <c r="O207">
        <f t="shared" si="64"/>
        <v>162000</v>
      </c>
      <c r="P207">
        <f t="shared" si="64"/>
      </c>
      <c r="Q207">
        <f t="shared" si="64"/>
      </c>
      <c r="R207" s="9">
        <f t="shared" si="58"/>
        <v>162000</v>
      </c>
      <c r="T207">
        <f t="shared" si="59"/>
      </c>
      <c r="U207">
        <f t="shared" si="65"/>
      </c>
      <c r="V207">
        <f t="shared" si="65"/>
        <v>162000</v>
      </c>
      <c r="W207">
        <f t="shared" si="65"/>
      </c>
      <c r="X207">
        <f t="shared" si="65"/>
      </c>
      <c r="Y207">
        <f t="shared" si="65"/>
      </c>
      <c r="Z207">
        <f t="shared" si="65"/>
      </c>
      <c r="AA207">
        <f t="shared" si="65"/>
      </c>
      <c r="AB207">
        <f t="shared" si="65"/>
      </c>
      <c r="AC207">
        <f t="shared" si="65"/>
      </c>
      <c r="AD207">
        <f t="shared" si="65"/>
      </c>
      <c r="AE207">
        <f t="shared" si="53"/>
      </c>
      <c r="AF207" s="9">
        <f t="shared" si="54"/>
        <v>162000</v>
      </c>
      <c r="AG207">
        <f t="shared" si="63"/>
        <v>0</v>
      </c>
      <c r="AH207">
        <f t="shared" si="62"/>
        <v>0</v>
      </c>
      <c r="AI207">
        <f t="shared" si="62"/>
        <v>0</v>
      </c>
      <c r="AJ207">
        <f t="shared" si="62"/>
        <v>0</v>
      </c>
      <c r="AK207">
        <f t="shared" si="62"/>
        <v>0</v>
      </c>
      <c r="AL207">
        <f t="shared" si="62"/>
        <v>0</v>
      </c>
      <c r="AM207">
        <f t="shared" si="62"/>
        <v>1</v>
      </c>
      <c r="AN207">
        <f t="shared" si="62"/>
        <v>0</v>
      </c>
      <c r="AO207">
        <f t="shared" si="62"/>
        <v>0</v>
      </c>
      <c r="AP207">
        <f t="shared" si="60"/>
        <v>2</v>
      </c>
      <c r="BL207" s="9">
        <f t="shared" si="55"/>
        <v>154305.3750128959</v>
      </c>
      <c r="BM207" s="9">
        <f t="shared" si="56"/>
      </c>
      <c r="BN207" s="9">
        <f t="shared" si="57"/>
        <v>154305.3750128959</v>
      </c>
      <c r="BU207" s="9"/>
      <c r="BV207" s="9"/>
      <c r="BW207" s="9"/>
      <c r="BX207" s="9"/>
    </row>
    <row r="208" spans="1:76" ht="12.75">
      <c r="A208" s="59">
        <f t="shared" si="61"/>
        <v>153</v>
      </c>
      <c r="B208" s="55" t="s">
        <v>98</v>
      </c>
      <c r="C208" s="55">
        <v>2004</v>
      </c>
      <c r="D208" s="87">
        <v>121000</v>
      </c>
      <c r="E208" s="88"/>
      <c r="F208" s="88"/>
      <c r="G208" s="66"/>
      <c r="H208">
        <f t="shared" si="64"/>
      </c>
      <c r="I208">
        <f t="shared" si="64"/>
      </c>
      <c r="J208">
        <f t="shared" si="64"/>
      </c>
      <c r="K208">
        <f t="shared" si="64"/>
      </c>
      <c r="L208">
        <f t="shared" si="64"/>
      </c>
      <c r="M208">
        <f t="shared" si="64"/>
      </c>
      <c r="N208">
        <f t="shared" si="64"/>
      </c>
      <c r="O208">
        <f t="shared" si="64"/>
        <v>121000</v>
      </c>
      <c r="P208">
        <f t="shared" si="64"/>
      </c>
      <c r="Q208">
        <f t="shared" si="64"/>
      </c>
      <c r="R208" s="9">
        <f t="shared" si="58"/>
        <v>121000</v>
      </c>
      <c r="T208">
        <f t="shared" si="59"/>
      </c>
      <c r="U208">
        <f t="shared" si="65"/>
      </c>
      <c r="V208">
        <f t="shared" si="65"/>
      </c>
      <c r="W208">
        <f t="shared" si="65"/>
        <v>121000</v>
      </c>
      <c r="X208">
        <f t="shared" si="65"/>
      </c>
      <c r="Y208">
        <f t="shared" si="65"/>
      </c>
      <c r="Z208">
        <f t="shared" si="65"/>
      </c>
      <c r="AA208">
        <f t="shared" si="65"/>
      </c>
      <c r="AB208">
        <f t="shared" si="65"/>
      </c>
      <c r="AC208">
        <f t="shared" si="65"/>
      </c>
      <c r="AD208">
        <f t="shared" si="65"/>
      </c>
      <c r="AE208">
        <f t="shared" si="53"/>
      </c>
      <c r="AF208" s="9">
        <f t="shared" si="54"/>
        <v>121000</v>
      </c>
      <c r="AG208">
        <f t="shared" si="63"/>
        <v>0</v>
      </c>
      <c r="AH208">
        <f t="shared" si="62"/>
        <v>0</v>
      </c>
      <c r="AI208">
        <f t="shared" si="62"/>
        <v>0</v>
      </c>
      <c r="AJ208">
        <f t="shared" si="62"/>
        <v>0</v>
      </c>
      <c r="AK208">
        <f t="shared" si="62"/>
        <v>0</v>
      </c>
      <c r="AL208">
        <f t="shared" si="62"/>
        <v>0</v>
      </c>
      <c r="AM208">
        <f t="shared" si="62"/>
        <v>1</v>
      </c>
      <c r="AN208">
        <f t="shared" si="62"/>
        <v>0</v>
      </c>
      <c r="AO208">
        <f t="shared" si="62"/>
        <v>0</v>
      </c>
      <c r="AP208">
        <f t="shared" si="60"/>
        <v>3</v>
      </c>
      <c r="BL208" s="9">
        <f t="shared" si="55"/>
        <v>109458.06251934385</v>
      </c>
      <c r="BM208" s="9">
        <f t="shared" si="56"/>
      </c>
      <c r="BN208" s="9">
        <f t="shared" si="57"/>
        <v>109458.06251934385</v>
      </c>
      <c r="BU208" s="9"/>
      <c r="BV208" s="9"/>
      <c r="BW208" s="9"/>
      <c r="BX208" s="9"/>
    </row>
    <row r="209" spans="1:76" ht="12.75">
      <c r="A209" s="59">
        <f t="shared" si="61"/>
        <v>154</v>
      </c>
      <c r="B209" s="55" t="s">
        <v>98</v>
      </c>
      <c r="C209" s="55">
        <v>2007</v>
      </c>
      <c r="D209" s="87">
        <v>185000</v>
      </c>
      <c r="E209" s="88"/>
      <c r="F209" s="88"/>
      <c r="G209" s="66"/>
      <c r="H209">
        <f t="shared" si="64"/>
      </c>
      <c r="I209">
        <f t="shared" si="64"/>
      </c>
      <c r="J209">
        <f t="shared" si="64"/>
      </c>
      <c r="K209">
        <f t="shared" si="64"/>
      </c>
      <c r="L209">
        <f t="shared" si="64"/>
      </c>
      <c r="M209">
        <f t="shared" si="64"/>
      </c>
      <c r="N209">
        <f t="shared" si="64"/>
      </c>
      <c r="O209">
        <f t="shared" si="64"/>
        <v>185000</v>
      </c>
      <c r="P209">
        <f t="shared" si="64"/>
      </c>
      <c r="Q209">
        <f t="shared" si="64"/>
      </c>
      <c r="R209" s="9">
        <f t="shared" si="58"/>
        <v>185000</v>
      </c>
      <c r="T209">
        <f t="shared" si="59"/>
        <v>185000</v>
      </c>
      <c r="U209">
        <f t="shared" si="65"/>
      </c>
      <c r="V209">
        <f t="shared" si="65"/>
      </c>
      <c r="W209">
        <f t="shared" si="65"/>
      </c>
      <c r="X209">
        <f t="shared" si="65"/>
      </c>
      <c r="Y209">
        <f t="shared" si="65"/>
      </c>
      <c r="Z209">
        <f t="shared" si="65"/>
      </c>
      <c r="AA209">
        <f t="shared" si="65"/>
      </c>
      <c r="AB209">
        <f t="shared" si="65"/>
      </c>
      <c r="AC209">
        <f t="shared" si="65"/>
      </c>
      <c r="AD209">
        <f t="shared" si="65"/>
      </c>
      <c r="AE209">
        <f t="shared" si="53"/>
      </c>
      <c r="AF209" s="9">
        <f t="shared" si="54"/>
        <v>185000</v>
      </c>
      <c r="AG209">
        <f t="shared" si="63"/>
        <v>0</v>
      </c>
      <c r="AH209">
        <f t="shared" si="62"/>
        <v>0</v>
      </c>
      <c r="AI209">
        <f t="shared" si="62"/>
        <v>0</v>
      </c>
      <c r="AJ209">
        <f t="shared" si="62"/>
        <v>0</v>
      </c>
      <c r="AK209">
        <f t="shared" si="62"/>
        <v>0</v>
      </c>
      <c r="AL209">
        <f t="shared" si="62"/>
        <v>0</v>
      </c>
      <c r="AM209">
        <f t="shared" si="62"/>
        <v>1</v>
      </c>
      <c r="AN209">
        <f t="shared" si="62"/>
        <v>0</v>
      </c>
      <c r="AO209">
        <f t="shared" si="62"/>
        <v>0</v>
      </c>
      <c r="AP209">
        <f t="shared" si="60"/>
        <v>0</v>
      </c>
      <c r="BL209" s="9">
        <f t="shared" si="55"/>
        <v>185000</v>
      </c>
      <c r="BM209" s="9">
        <f t="shared" si="56"/>
      </c>
      <c r="BN209" s="9">
        <f t="shared" si="57"/>
        <v>185000</v>
      </c>
      <c r="BU209" s="9"/>
      <c r="BV209" s="9"/>
      <c r="BW209" s="9"/>
      <c r="BX209" s="9"/>
    </row>
    <row r="210" spans="1:76" ht="12.75">
      <c r="A210" s="59">
        <f t="shared" si="61"/>
        <v>155</v>
      </c>
      <c r="B210" s="55" t="s">
        <v>98</v>
      </c>
      <c r="C210" s="55">
        <v>2007</v>
      </c>
      <c r="D210" s="87">
        <v>160000</v>
      </c>
      <c r="E210" s="88"/>
      <c r="F210" s="88"/>
      <c r="G210" s="66"/>
      <c r="H210">
        <f t="shared" si="64"/>
      </c>
      <c r="I210">
        <f t="shared" si="64"/>
      </c>
      <c r="J210">
        <f t="shared" si="64"/>
      </c>
      <c r="K210">
        <f t="shared" si="64"/>
      </c>
      <c r="L210">
        <f t="shared" si="64"/>
      </c>
      <c r="M210">
        <f t="shared" si="64"/>
      </c>
      <c r="N210">
        <f t="shared" si="64"/>
      </c>
      <c r="O210">
        <f t="shared" si="64"/>
        <v>160000</v>
      </c>
      <c r="P210">
        <f t="shared" si="64"/>
      </c>
      <c r="Q210">
        <f t="shared" si="64"/>
      </c>
      <c r="R210" s="9">
        <f t="shared" si="58"/>
        <v>160000</v>
      </c>
      <c r="T210">
        <f t="shared" si="59"/>
        <v>160000</v>
      </c>
      <c r="U210">
        <f t="shared" si="65"/>
      </c>
      <c r="V210">
        <f t="shared" si="65"/>
      </c>
      <c r="W210">
        <f t="shared" si="65"/>
      </c>
      <c r="X210">
        <f t="shared" si="65"/>
      </c>
      <c r="Y210">
        <f t="shared" si="65"/>
      </c>
      <c r="Z210">
        <f t="shared" si="65"/>
      </c>
      <c r="AA210">
        <f t="shared" si="65"/>
      </c>
      <c r="AB210">
        <f t="shared" si="65"/>
      </c>
      <c r="AC210">
        <f t="shared" si="65"/>
      </c>
      <c r="AD210">
        <f t="shared" si="65"/>
      </c>
      <c r="AE210">
        <f t="shared" si="53"/>
      </c>
      <c r="AF210" s="9">
        <f t="shared" si="54"/>
        <v>160000</v>
      </c>
      <c r="AG210">
        <f t="shared" si="63"/>
        <v>0</v>
      </c>
      <c r="AH210">
        <f t="shared" si="62"/>
        <v>0</v>
      </c>
      <c r="AI210">
        <f t="shared" si="62"/>
        <v>0</v>
      </c>
      <c r="AJ210">
        <f t="shared" si="62"/>
        <v>0</v>
      </c>
      <c r="AK210">
        <f t="shared" si="62"/>
        <v>0</v>
      </c>
      <c r="AL210">
        <f t="shared" si="62"/>
        <v>0</v>
      </c>
      <c r="AM210">
        <f t="shared" si="62"/>
        <v>1</v>
      </c>
      <c r="AN210">
        <f t="shared" si="62"/>
        <v>0</v>
      </c>
      <c r="AO210">
        <f t="shared" si="62"/>
        <v>0</v>
      </c>
      <c r="AP210">
        <f t="shared" si="60"/>
        <v>0</v>
      </c>
      <c r="BL210" s="9">
        <f t="shared" si="55"/>
        <v>160000</v>
      </c>
      <c r="BM210" s="9">
        <f t="shared" si="56"/>
      </c>
      <c r="BN210" s="9">
        <f t="shared" si="57"/>
        <v>160000</v>
      </c>
      <c r="BU210" s="9"/>
      <c r="BV210" s="9"/>
      <c r="BW210" s="9"/>
      <c r="BX210" s="9"/>
    </row>
    <row r="211" spans="1:76" ht="12.75">
      <c r="A211" s="59">
        <f t="shared" si="61"/>
        <v>156</v>
      </c>
      <c r="B211" s="55" t="s">
        <v>98</v>
      </c>
      <c r="C211" s="55">
        <v>2007</v>
      </c>
      <c r="D211" s="87">
        <v>81000</v>
      </c>
      <c r="E211" s="88"/>
      <c r="F211" s="88"/>
      <c r="G211" s="66"/>
      <c r="H211">
        <f t="shared" si="64"/>
      </c>
      <c r="I211">
        <f t="shared" si="64"/>
      </c>
      <c r="J211">
        <f t="shared" si="64"/>
      </c>
      <c r="K211">
        <f t="shared" si="64"/>
      </c>
      <c r="L211">
        <f t="shared" si="64"/>
      </c>
      <c r="M211">
        <f t="shared" si="64"/>
      </c>
      <c r="N211">
        <f t="shared" si="64"/>
      </c>
      <c r="O211">
        <f t="shared" si="64"/>
        <v>81000</v>
      </c>
      <c r="P211">
        <f t="shared" si="64"/>
      </c>
      <c r="Q211">
        <f t="shared" si="64"/>
      </c>
      <c r="R211" s="9">
        <f t="shared" si="58"/>
        <v>81000</v>
      </c>
      <c r="T211">
        <f t="shared" si="59"/>
        <v>81000</v>
      </c>
      <c r="U211">
        <f t="shared" si="65"/>
      </c>
      <c r="V211">
        <f t="shared" si="65"/>
      </c>
      <c r="W211">
        <f t="shared" si="65"/>
      </c>
      <c r="X211">
        <f t="shared" si="65"/>
      </c>
      <c r="Y211">
        <f t="shared" si="65"/>
      </c>
      <c r="Z211">
        <f t="shared" si="65"/>
      </c>
      <c r="AA211">
        <f t="shared" si="65"/>
      </c>
      <c r="AB211">
        <f t="shared" si="65"/>
      </c>
      <c r="AC211">
        <f t="shared" si="65"/>
      </c>
      <c r="AD211">
        <f t="shared" si="65"/>
      </c>
      <c r="AE211">
        <f t="shared" si="53"/>
      </c>
      <c r="AF211" s="9">
        <f t="shared" si="54"/>
        <v>81000</v>
      </c>
      <c r="AG211">
        <f t="shared" si="63"/>
        <v>0</v>
      </c>
      <c r="AH211">
        <f t="shared" si="62"/>
        <v>0</v>
      </c>
      <c r="AI211">
        <f t="shared" si="62"/>
        <v>0</v>
      </c>
      <c r="AJ211">
        <f t="shared" si="62"/>
        <v>0</v>
      </c>
      <c r="AK211">
        <f t="shared" si="62"/>
        <v>0</v>
      </c>
      <c r="AL211">
        <f t="shared" si="62"/>
        <v>0</v>
      </c>
      <c r="AM211">
        <f t="shared" si="62"/>
        <v>1</v>
      </c>
      <c r="AN211">
        <f t="shared" si="62"/>
        <v>0</v>
      </c>
      <c r="AO211">
        <f t="shared" si="62"/>
        <v>0</v>
      </c>
      <c r="AP211">
        <f t="shared" si="60"/>
        <v>0</v>
      </c>
      <c r="BL211" s="9">
        <f t="shared" si="55"/>
        <v>81000</v>
      </c>
      <c r="BM211" s="9">
        <f t="shared" si="56"/>
        <v>81000</v>
      </c>
      <c r="BN211" s="9">
        <f t="shared" si="57"/>
      </c>
      <c r="BU211" s="9"/>
      <c r="BV211" s="9"/>
      <c r="BW211" s="9"/>
      <c r="BX211" s="9"/>
    </row>
    <row r="212" spans="1:76" ht="12.75">
      <c r="A212" s="59">
        <f t="shared" si="61"/>
        <v>157</v>
      </c>
      <c r="B212" s="55" t="s">
        <v>98</v>
      </c>
      <c r="C212" s="55">
        <v>2007</v>
      </c>
      <c r="D212" s="87">
        <v>135000</v>
      </c>
      <c r="E212" s="88"/>
      <c r="F212" s="88"/>
      <c r="G212" s="66"/>
      <c r="H212">
        <f t="shared" si="64"/>
      </c>
      <c r="I212">
        <f t="shared" si="64"/>
      </c>
      <c r="J212">
        <f t="shared" si="64"/>
      </c>
      <c r="K212">
        <f t="shared" si="64"/>
      </c>
      <c r="L212">
        <f t="shared" si="64"/>
      </c>
      <c r="M212">
        <f t="shared" si="64"/>
      </c>
      <c r="N212">
        <f t="shared" si="64"/>
      </c>
      <c r="O212">
        <f t="shared" si="64"/>
        <v>135000</v>
      </c>
      <c r="P212">
        <f t="shared" si="64"/>
      </c>
      <c r="Q212">
        <f t="shared" si="64"/>
      </c>
      <c r="R212" s="9">
        <f t="shared" si="58"/>
        <v>135000</v>
      </c>
      <c r="T212">
        <f t="shared" si="59"/>
        <v>135000</v>
      </c>
      <c r="U212">
        <f t="shared" si="65"/>
      </c>
      <c r="V212">
        <f t="shared" si="65"/>
      </c>
      <c r="W212">
        <f t="shared" si="65"/>
      </c>
      <c r="X212">
        <f t="shared" si="65"/>
      </c>
      <c r="Y212">
        <f t="shared" si="65"/>
      </c>
      <c r="Z212">
        <f t="shared" si="65"/>
      </c>
      <c r="AA212">
        <f t="shared" si="65"/>
      </c>
      <c r="AB212">
        <f t="shared" si="65"/>
      </c>
      <c r="AC212">
        <f t="shared" si="65"/>
      </c>
      <c r="AD212">
        <f t="shared" si="65"/>
      </c>
      <c r="AE212">
        <f t="shared" si="53"/>
      </c>
      <c r="AF212" s="9">
        <f t="shared" si="54"/>
        <v>135000</v>
      </c>
      <c r="AG212">
        <f t="shared" si="63"/>
        <v>0</v>
      </c>
      <c r="AH212">
        <f t="shared" si="62"/>
        <v>0</v>
      </c>
      <c r="AI212">
        <f t="shared" si="62"/>
        <v>0</v>
      </c>
      <c r="AJ212">
        <f t="shared" si="62"/>
        <v>0</v>
      </c>
      <c r="AK212">
        <f t="shared" si="62"/>
        <v>0</v>
      </c>
      <c r="AL212">
        <f t="shared" si="62"/>
        <v>0</v>
      </c>
      <c r="AM212">
        <f t="shared" si="62"/>
        <v>1</v>
      </c>
      <c r="AN212">
        <f t="shared" si="62"/>
        <v>0</v>
      </c>
      <c r="AO212">
        <f t="shared" si="62"/>
        <v>0</v>
      </c>
      <c r="AP212">
        <f t="shared" si="60"/>
        <v>0</v>
      </c>
      <c r="BL212" s="9">
        <f t="shared" si="55"/>
        <v>135000</v>
      </c>
      <c r="BM212" s="9">
        <f t="shared" si="56"/>
      </c>
      <c r="BN212" s="9">
        <f t="shared" si="57"/>
        <v>135000</v>
      </c>
      <c r="BU212" s="9"/>
      <c r="BV212" s="9"/>
      <c r="BW212" s="9"/>
      <c r="BX212" s="9"/>
    </row>
    <row r="213" spans="1:76" ht="12.75">
      <c r="A213" s="59">
        <f t="shared" si="61"/>
        <v>158</v>
      </c>
      <c r="B213" s="55" t="s">
        <v>98</v>
      </c>
      <c r="C213" s="55">
        <v>2007</v>
      </c>
      <c r="D213" s="87">
        <v>160000</v>
      </c>
      <c r="E213" s="88"/>
      <c r="F213" s="88"/>
      <c r="G213" s="66"/>
      <c r="H213">
        <f t="shared" si="64"/>
      </c>
      <c r="I213">
        <f t="shared" si="64"/>
      </c>
      <c r="J213">
        <f t="shared" si="64"/>
      </c>
      <c r="K213">
        <f t="shared" si="64"/>
      </c>
      <c r="L213">
        <f t="shared" si="64"/>
      </c>
      <c r="M213">
        <f t="shared" si="64"/>
      </c>
      <c r="N213">
        <f t="shared" si="64"/>
      </c>
      <c r="O213">
        <f t="shared" si="64"/>
        <v>160000</v>
      </c>
      <c r="P213">
        <f t="shared" si="64"/>
      </c>
      <c r="Q213">
        <f t="shared" si="64"/>
      </c>
      <c r="R213" s="9">
        <f t="shared" si="58"/>
        <v>160000</v>
      </c>
      <c r="T213">
        <f t="shared" si="59"/>
        <v>160000</v>
      </c>
      <c r="U213">
        <f t="shared" si="65"/>
      </c>
      <c r="V213">
        <f t="shared" si="65"/>
      </c>
      <c r="W213">
        <f t="shared" si="65"/>
      </c>
      <c r="X213">
        <f t="shared" si="65"/>
      </c>
      <c r="Y213">
        <f t="shared" si="65"/>
      </c>
      <c r="Z213">
        <f t="shared" si="65"/>
      </c>
      <c r="AA213">
        <f t="shared" si="65"/>
      </c>
      <c r="AB213">
        <f t="shared" si="65"/>
      </c>
      <c r="AC213">
        <f t="shared" si="65"/>
      </c>
      <c r="AD213">
        <f t="shared" si="65"/>
      </c>
      <c r="AE213">
        <f t="shared" si="53"/>
      </c>
      <c r="AF213" s="9">
        <f t="shared" si="54"/>
        <v>160000</v>
      </c>
      <c r="AG213">
        <f t="shared" si="63"/>
        <v>0</v>
      </c>
      <c r="AH213">
        <f t="shared" si="62"/>
        <v>0</v>
      </c>
      <c r="AI213">
        <f t="shared" si="62"/>
        <v>0</v>
      </c>
      <c r="AJ213">
        <f t="shared" si="62"/>
        <v>0</v>
      </c>
      <c r="AK213">
        <f t="shared" si="62"/>
        <v>0</v>
      </c>
      <c r="AL213">
        <f t="shared" si="62"/>
        <v>0</v>
      </c>
      <c r="AM213">
        <f t="shared" si="62"/>
        <v>1</v>
      </c>
      <c r="AN213">
        <f t="shared" si="62"/>
        <v>0</v>
      </c>
      <c r="AO213">
        <f t="shared" si="62"/>
        <v>0</v>
      </c>
      <c r="AP213">
        <f t="shared" si="60"/>
        <v>0</v>
      </c>
      <c r="BL213" s="9">
        <f t="shared" si="55"/>
        <v>160000</v>
      </c>
      <c r="BM213" s="9">
        <f t="shared" si="56"/>
      </c>
      <c r="BN213" s="9">
        <f t="shared" si="57"/>
        <v>160000</v>
      </c>
      <c r="BU213" s="9"/>
      <c r="BV213" s="9"/>
      <c r="BW213" s="9"/>
      <c r="BX213" s="9"/>
    </row>
    <row r="214" spans="1:76" ht="12.75">
      <c r="A214" s="59">
        <f t="shared" si="61"/>
        <v>159</v>
      </c>
      <c r="B214" s="55" t="s">
        <v>98</v>
      </c>
      <c r="C214" s="55">
        <v>2007</v>
      </c>
      <c r="D214" s="87">
        <v>140000</v>
      </c>
      <c r="E214" s="88"/>
      <c r="F214" s="88"/>
      <c r="G214" s="66"/>
      <c r="H214">
        <f t="shared" si="64"/>
      </c>
      <c r="I214">
        <f t="shared" si="64"/>
      </c>
      <c r="J214">
        <f t="shared" si="64"/>
      </c>
      <c r="K214">
        <f t="shared" si="64"/>
      </c>
      <c r="L214">
        <f t="shared" si="64"/>
      </c>
      <c r="M214">
        <f t="shared" si="64"/>
      </c>
      <c r="N214">
        <f t="shared" si="64"/>
      </c>
      <c r="O214">
        <f t="shared" si="64"/>
        <v>140000</v>
      </c>
      <c r="P214">
        <f t="shared" si="64"/>
      </c>
      <c r="Q214">
        <f t="shared" si="64"/>
      </c>
      <c r="R214" s="9">
        <f t="shared" si="58"/>
        <v>140000</v>
      </c>
      <c r="T214">
        <f t="shared" si="59"/>
        <v>140000</v>
      </c>
      <c r="U214">
        <f t="shared" si="65"/>
      </c>
      <c r="V214">
        <f t="shared" si="65"/>
      </c>
      <c r="W214">
        <f t="shared" si="65"/>
      </c>
      <c r="X214">
        <f t="shared" si="65"/>
      </c>
      <c r="Y214">
        <f t="shared" si="65"/>
      </c>
      <c r="Z214">
        <f t="shared" si="65"/>
      </c>
      <c r="AA214">
        <f t="shared" si="65"/>
      </c>
      <c r="AB214">
        <f t="shared" si="65"/>
      </c>
      <c r="AC214">
        <f t="shared" si="65"/>
      </c>
      <c r="AD214">
        <f t="shared" si="65"/>
      </c>
      <c r="AE214">
        <f t="shared" si="53"/>
      </c>
      <c r="AF214" s="9">
        <f t="shared" si="54"/>
        <v>140000</v>
      </c>
      <c r="AG214">
        <f t="shared" si="63"/>
        <v>0</v>
      </c>
      <c r="AH214">
        <f t="shared" si="62"/>
        <v>0</v>
      </c>
      <c r="AI214">
        <f t="shared" si="62"/>
        <v>0</v>
      </c>
      <c r="AJ214">
        <f t="shared" si="62"/>
        <v>0</v>
      </c>
      <c r="AK214">
        <f t="shared" si="62"/>
        <v>0</v>
      </c>
      <c r="AL214">
        <f t="shared" si="62"/>
        <v>0</v>
      </c>
      <c r="AM214">
        <f t="shared" si="62"/>
        <v>1</v>
      </c>
      <c r="AN214">
        <f t="shared" si="62"/>
        <v>0</v>
      </c>
      <c r="AO214">
        <f t="shared" si="62"/>
        <v>0</v>
      </c>
      <c r="AP214">
        <f t="shared" si="60"/>
        <v>0</v>
      </c>
      <c r="BL214" s="9">
        <f t="shared" si="55"/>
        <v>140000</v>
      </c>
      <c r="BM214" s="9">
        <f t="shared" si="56"/>
      </c>
      <c r="BN214" s="9">
        <f t="shared" si="57"/>
        <v>140000</v>
      </c>
      <c r="BU214" s="9"/>
      <c r="BV214" s="9"/>
      <c r="BW214" s="9"/>
      <c r="BX214" s="9"/>
    </row>
    <row r="215" spans="1:76" ht="12.75">
      <c r="A215" s="59">
        <f t="shared" si="61"/>
        <v>160</v>
      </c>
      <c r="B215" s="55" t="s">
        <v>98</v>
      </c>
      <c r="C215" s="55">
        <v>2000</v>
      </c>
      <c r="D215" s="87">
        <v>110000</v>
      </c>
      <c r="E215" s="88"/>
      <c r="F215" s="88"/>
      <c r="G215" s="66"/>
      <c r="H215">
        <f t="shared" si="64"/>
      </c>
      <c r="I215">
        <f t="shared" si="64"/>
      </c>
      <c r="J215">
        <f t="shared" si="64"/>
      </c>
      <c r="K215">
        <f t="shared" si="64"/>
      </c>
      <c r="L215">
        <f t="shared" si="64"/>
      </c>
      <c r="M215">
        <f t="shared" si="64"/>
      </c>
      <c r="N215">
        <f t="shared" si="64"/>
      </c>
      <c r="O215">
        <f t="shared" si="64"/>
        <v>110000</v>
      </c>
      <c r="P215">
        <f t="shared" si="64"/>
      </c>
      <c r="Q215">
        <f t="shared" si="64"/>
      </c>
      <c r="R215" s="9">
        <f t="shared" si="58"/>
        <v>110000</v>
      </c>
      <c r="T215">
        <f t="shared" si="59"/>
      </c>
      <c r="U215">
        <f t="shared" si="65"/>
      </c>
      <c r="V215">
        <f t="shared" si="65"/>
      </c>
      <c r="W215">
        <f t="shared" si="65"/>
      </c>
      <c r="X215">
        <f t="shared" si="65"/>
      </c>
      <c r="Y215">
        <f t="shared" si="65"/>
      </c>
      <c r="Z215">
        <f t="shared" si="65"/>
      </c>
      <c r="AA215">
        <f t="shared" si="65"/>
        <v>110000</v>
      </c>
      <c r="AB215">
        <f t="shared" si="65"/>
      </c>
      <c r="AC215">
        <f t="shared" si="65"/>
      </c>
      <c r="AD215">
        <f t="shared" si="65"/>
      </c>
      <c r="AE215">
        <f t="shared" si="53"/>
      </c>
      <c r="AF215" s="9">
        <f t="shared" si="54"/>
        <v>110000</v>
      </c>
      <c r="AG215">
        <f t="shared" si="63"/>
        <v>0</v>
      </c>
      <c r="AH215">
        <f t="shared" si="63"/>
        <v>0</v>
      </c>
      <c r="AI215">
        <f t="shared" si="63"/>
        <v>0</v>
      </c>
      <c r="AJ215">
        <f t="shared" si="63"/>
        <v>0</v>
      </c>
      <c r="AK215">
        <f t="shared" si="63"/>
        <v>0</v>
      </c>
      <c r="AL215">
        <f t="shared" si="63"/>
        <v>0</v>
      </c>
      <c r="AM215">
        <f t="shared" si="63"/>
        <v>1</v>
      </c>
      <c r="AN215">
        <f t="shared" si="63"/>
        <v>0</v>
      </c>
      <c r="AO215">
        <f t="shared" si="63"/>
        <v>0</v>
      </c>
      <c r="AP215">
        <f t="shared" si="60"/>
        <v>7</v>
      </c>
      <c r="BL215" s="9">
        <f t="shared" si="55"/>
        <v>83068.81254513565</v>
      </c>
      <c r="BM215" s="9">
        <f t="shared" si="56"/>
        <v>83068.81254513565</v>
      </c>
      <c r="BN215" s="9">
        <f t="shared" si="57"/>
      </c>
      <c r="BU215" s="9"/>
      <c r="BV215" s="9"/>
      <c r="BW215" s="9"/>
      <c r="BX215" s="9"/>
    </row>
    <row r="216" spans="1:76" ht="12.75">
      <c r="A216" s="59">
        <f t="shared" si="61"/>
        <v>161</v>
      </c>
      <c r="B216" s="55" t="s">
        <v>98</v>
      </c>
      <c r="C216" s="55">
        <v>2000</v>
      </c>
      <c r="D216" s="87">
        <v>92000</v>
      </c>
      <c r="E216" s="88"/>
      <c r="F216" s="88"/>
      <c r="G216" s="66"/>
      <c r="H216">
        <f aca="true" t="shared" si="66" ref="H216:Q231">IF($B216=H$55,$D216,"")</f>
      </c>
      <c r="I216">
        <f t="shared" si="66"/>
      </c>
      <c r="J216">
        <f t="shared" si="66"/>
      </c>
      <c r="K216">
        <f t="shared" si="66"/>
      </c>
      <c r="L216">
        <f t="shared" si="66"/>
      </c>
      <c r="M216">
        <f t="shared" si="66"/>
      </c>
      <c r="N216">
        <f t="shared" si="66"/>
      </c>
      <c r="O216">
        <f t="shared" si="66"/>
        <v>92000</v>
      </c>
      <c r="P216">
        <f t="shared" si="66"/>
      </c>
      <c r="Q216">
        <f t="shared" si="66"/>
      </c>
      <c r="R216" s="9">
        <f t="shared" si="58"/>
        <v>92000</v>
      </c>
      <c r="T216">
        <f t="shared" si="59"/>
      </c>
      <c r="U216">
        <f aca="true" t="shared" si="67" ref="U216:AD231">IF($C216=U$55,$D216,"")</f>
      </c>
      <c r="V216">
        <f t="shared" si="67"/>
      </c>
      <c r="W216">
        <f t="shared" si="67"/>
      </c>
      <c r="X216">
        <f t="shared" si="67"/>
      </c>
      <c r="Y216">
        <f t="shared" si="67"/>
      </c>
      <c r="Z216">
        <f t="shared" si="67"/>
      </c>
      <c r="AA216">
        <f t="shared" si="67"/>
        <v>92000</v>
      </c>
      <c r="AB216">
        <f t="shared" si="67"/>
      </c>
      <c r="AC216">
        <f t="shared" si="67"/>
      </c>
      <c r="AD216">
        <f t="shared" si="67"/>
      </c>
      <c r="AE216">
        <f t="shared" si="53"/>
      </c>
      <c r="AF216" s="9">
        <f t="shared" si="54"/>
        <v>92000</v>
      </c>
      <c r="AG216">
        <f t="shared" si="63"/>
        <v>0</v>
      </c>
      <c r="AH216">
        <f t="shared" si="63"/>
        <v>0</v>
      </c>
      <c r="AI216">
        <f t="shared" si="63"/>
        <v>0</v>
      </c>
      <c r="AJ216">
        <f t="shared" si="63"/>
        <v>0</v>
      </c>
      <c r="AK216">
        <f t="shared" si="63"/>
        <v>0</v>
      </c>
      <c r="AL216">
        <f t="shared" si="63"/>
        <v>0</v>
      </c>
      <c r="AM216">
        <f t="shared" si="63"/>
        <v>1</v>
      </c>
      <c r="AN216">
        <f t="shared" si="63"/>
        <v>0</v>
      </c>
      <c r="AO216">
        <f t="shared" si="63"/>
        <v>0</v>
      </c>
      <c r="AP216">
        <f t="shared" si="60"/>
        <v>7</v>
      </c>
      <c r="BL216" s="9">
        <f t="shared" si="55"/>
        <v>65068.81254513564</v>
      </c>
      <c r="BM216" s="9">
        <f t="shared" si="56"/>
        <v>65068.81254513564</v>
      </c>
      <c r="BN216" s="9">
        <f t="shared" si="57"/>
      </c>
      <c r="BU216" s="9"/>
      <c r="BV216" s="9"/>
      <c r="BW216" s="9"/>
      <c r="BX216" s="9"/>
    </row>
    <row r="217" spans="1:76" ht="12.75">
      <c r="A217" s="59">
        <f t="shared" si="61"/>
        <v>162</v>
      </c>
      <c r="B217" s="55" t="s">
        <v>98</v>
      </c>
      <c r="C217" s="55">
        <v>2000</v>
      </c>
      <c r="D217" s="87">
        <v>90000</v>
      </c>
      <c r="E217" s="88"/>
      <c r="F217" s="88"/>
      <c r="G217" s="66"/>
      <c r="H217">
        <f t="shared" si="66"/>
      </c>
      <c r="I217">
        <f t="shared" si="66"/>
      </c>
      <c r="J217">
        <f t="shared" si="66"/>
      </c>
      <c r="K217">
        <f t="shared" si="66"/>
      </c>
      <c r="L217">
        <f t="shared" si="66"/>
      </c>
      <c r="M217">
        <f t="shared" si="66"/>
      </c>
      <c r="N217">
        <f t="shared" si="66"/>
      </c>
      <c r="O217">
        <f t="shared" si="66"/>
        <v>90000</v>
      </c>
      <c r="P217">
        <f t="shared" si="66"/>
      </c>
      <c r="Q217">
        <f t="shared" si="66"/>
      </c>
      <c r="R217" s="9">
        <f t="shared" si="58"/>
        <v>90000</v>
      </c>
      <c r="T217">
        <f t="shared" si="59"/>
      </c>
      <c r="U217">
        <f t="shared" si="67"/>
      </c>
      <c r="V217">
        <f t="shared" si="67"/>
      </c>
      <c r="W217">
        <f t="shared" si="67"/>
      </c>
      <c r="X217">
        <f t="shared" si="67"/>
      </c>
      <c r="Y217">
        <f t="shared" si="67"/>
      </c>
      <c r="Z217">
        <f t="shared" si="67"/>
      </c>
      <c r="AA217">
        <f t="shared" si="67"/>
        <v>90000</v>
      </c>
      <c r="AB217">
        <f t="shared" si="67"/>
      </c>
      <c r="AC217">
        <f t="shared" si="67"/>
      </c>
      <c r="AD217">
        <f t="shared" si="67"/>
      </c>
      <c r="AE217">
        <f t="shared" si="53"/>
      </c>
      <c r="AF217" s="9">
        <f t="shared" si="54"/>
        <v>90000</v>
      </c>
      <c r="AG217">
        <f t="shared" si="63"/>
        <v>0</v>
      </c>
      <c r="AH217">
        <f t="shared" si="63"/>
        <v>0</v>
      </c>
      <c r="AI217">
        <f t="shared" si="63"/>
        <v>0</v>
      </c>
      <c r="AJ217">
        <f t="shared" si="63"/>
        <v>0</v>
      </c>
      <c r="AK217">
        <f t="shared" si="63"/>
        <v>0</v>
      </c>
      <c r="AL217">
        <f t="shared" si="63"/>
        <v>0</v>
      </c>
      <c r="AM217">
        <f t="shared" si="63"/>
        <v>1</v>
      </c>
      <c r="AN217">
        <f t="shared" si="63"/>
        <v>0</v>
      </c>
      <c r="AO217">
        <f t="shared" si="63"/>
        <v>0</v>
      </c>
      <c r="AP217">
        <f t="shared" si="60"/>
        <v>7</v>
      </c>
      <c r="BL217" s="9">
        <f t="shared" si="55"/>
        <v>63068.81254513564</v>
      </c>
      <c r="BM217" s="9">
        <f t="shared" si="56"/>
        <v>63068.81254513564</v>
      </c>
      <c r="BN217" s="9">
        <f t="shared" si="57"/>
      </c>
      <c r="BU217" s="9"/>
      <c r="BV217" s="9"/>
      <c r="BW217" s="9"/>
      <c r="BX217" s="9"/>
    </row>
    <row r="218" spans="1:76" ht="12.75">
      <c r="A218" s="59">
        <f t="shared" si="61"/>
        <v>163</v>
      </c>
      <c r="B218" s="55" t="s">
        <v>98</v>
      </c>
      <c r="C218" s="55">
        <v>2000</v>
      </c>
      <c r="D218" s="87">
        <v>130000</v>
      </c>
      <c r="E218" s="88"/>
      <c r="F218" s="88"/>
      <c r="G218" s="66"/>
      <c r="H218">
        <f t="shared" si="66"/>
      </c>
      <c r="I218">
        <f t="shared" si="66"/>
      </c>
      <c r="J218">
        <f t="shared" si="66"/>
      </c>
      <c r="K218">
        <f t="shared" si="66"/>
      </c>
      <c r="L218">
        <f t="shared" si="66"/>
      </c>
      <c r="M218">
        <f t="shared" si="66"/>
      </c>
      <c r="N218">
        <f t="shared" si="66"/>
      </c>
      <c r="O218">
        <f t="shared" si="66"/>
        <v>130000</v>
      </c>
      <c r="P218">
        <f t="shared" si="66"/>
      </c>
      <c r="Q218">
        <f t="shared" si="66"/>
      </c>
      <c r="R218" s="9">
        <f t="shared" si="58"/>
        <v>130000</v>
      </c>
      <c r="T218">
        <f t="shared" si="59"/>
      </c>
      <c r="U218">
        <f t="shared" si="67"/>
      </c>
      <c r="V218">
        <f t="shared" si="67"/>
      </c>
      <c r="W218">
        <f t="shared" si="67"/>
      </c>
      <c r="X218">
        <f t="shared" si="67"/>
      </c>
      <c r="Y218">
        <f t="shared" si="67"/>
      </c>
      <c r="Z218">
        <f t="shared" si="67"/>
      </c>
      <c r="AA218">
        <f t="shared" si="67"/>
        <v>130000</v>
      </c>
      <c r="AB218">
        <f t="shared" si="67"/>
      </c>
      <c r="AC218">
        <f t="shared" si="67"/>
      </c>
      <c r="AD218">
        <f t="shared" si="67"/>
      </c>
      <c r="AE218">
        <f t="shared" si="53"/>
      </c>
      <c r="AF218" s="9">
        <f t="shared" si="54"/>
        <v>130000</v>
      </c>
      <c r="AG218">
        <f t="shared" si="63"/>
        <v>0</v>
      </c>
      <c r="AH218">
        <f t="shared" si="63"/>
        <v>0</v>
      </c>
      <c r="AI218">
        <f t="shared" si="63"/>
        <v>0</v>
      </c>
      <c r="AJ218">
        <f t="shared" si="63"/>
        <v>0</v>
      </c>
      <c r="AK218">
        <f t="shared" si="63"/>
        <v>0</v>
      </c>
      <c r="AL218">
        <f t="shared" si="63"/>
        <v>0</v>
      </c>
      <c r="AM218">
        <f t="shared" si="63"/>
        <v>1</v>
      </c>
      <c r="AN218">
        <f t="shared" si="63"/>
        <v>0</v>
      </c>
      <c r="AO218">
        <f t="shared" si="63"/>
        <v>0</v>
      </c>
      <c r="AP218">
        <f t="shared" si="60"/>
        <v>7</v>
      </c>
      <c r="BL218" s="9">
        <f t="shared" si="55"/>
        <v>103068.81254513565</v>
      </c>
      <c r="BM218" s="9">
        <f t="shared" si="56"/>
      </c>
      <c r="BN218" s="9">
        <f t="shared" si="57"/>
      </c>
      <c r="BU218" s="9"/>
      <c r="BV218" s="9"/>
      <c r="BW218" s="9"/>
      <c r="BX218" s="9"/>
    </row>
    <row r="219" spans="1:76" ht="12.75">
      <c r="A219" s="59">
        <f t="shared" si="61"/>
        <v>164</v>
      </c>
      <c r="B219" s="55" t="s">
        <v>98</v>
      </c>
      <c r="C219" s="55">
        <v>2002</v>
      </c>
      <c r="D219" s="87">
        <v>100000</v>
      </c>
      <c r="E219" s="88"/>
      <c r="F219" s="88"/>
      <c r="G219" s="66"/>
      <c r="H219">
        <f t="shared" si="66"/>
      </c>
      <c r="I219">
        <f t="shared" si="66"/>
      </c>
      <c r="J219">
        <f t="shared" si="66"/>
      </c>
      <c r="K219">
        <f t="shared" si="66"/>
      </c>
      <c r="L219">
        <f t="shared" si="66"/>
      </c>
      <c r="M219">
        <f t="shared" si="66"/>
      </c>
      <c r="N219">
        <f t="shared" si="66"/>
      </c>
      <c r="O219">
        <f t="shared" si="66"/>
        <v>100000</v>
      </c>
      <c r="P219">
        <f t="shared" si="66"/>
      </c>
      <c r="Q219">
        <f t="shared" si="66"/>
      </c>
      <c r="R219" s="9">
        <f t="shared" si="58"/>
        <v>100000</v>
      </c>
      <c r="T219">
        <f t="shared" si="59"/>
      </c>
      <c r="U219">
        <f t="shared" si="67"/>
      </c>
      <c r="V219">
        <f t="shared" si="67"/>
      </c>
      <c r="W219">
        <f t="shared" si="67"/>
      </c>
      <c r="X219">
        <f t="shared" si="67"/>
      </c>
      <c r="Y219">
        <f t="shared" si="67"/>
        <v>100000</v>
      </c>
      <c r="Z219">
        <f t="shared" si="67"/>
      </c>
      <c r="AA219">
        <f t="shared" si="67"/>
      </c>
      <c r="AB219">
        <f t="shared" si="67"/>
      </c>
      <c r="AC219">
        <f t="shared" si="67"/>
      </c>
      <c r="AD219">
        <f t="shared" si="67"/>
      </c>
      <c r="AE219">
        <f t="shared" si="53"/>
      </c>
      <c r="AF219" s="9">
        <f t="shared" si="54"/>
        <v>100000</v>
      </c>
      <c r="AG219">
        <f t="shared" si="63"/>
        <v>0</v>
      </c>
      <c r="AH219">
        <f t="shared" si="63"/>
        <v>0</v>
      </c>
      <c r="AI219">
        <f t="shared" si="63"/>
        <v>0</v>
      </c>
      <c r="AJ219">
        <f t="shared" si="63"/>
        <v>0</v>
      </c>
      <c r="AK219">
        <f t="shared" si="63"/>
        <v>0</v>
      </c>
      <c r="AL219">
        <f t="shared" si="63"/>
        <v>0</v>
      </c>
      <c r="AM219">
        <f t="shared" si="63"/>
        <v>1</v>
      </c>
      <c r="AN219">
        <f t="shared" si="63"/>
        <v>0</v>
      </c>
      <c r="AO219">
        <f t="shared" si="63"/>
        <v>0</v>
      </c>
      <c r="AP219">
        <f t="shared" si="60"/>
        <v>5</v>
      </c>
      <c r="BL219" s="9">
        <f t="shared" si="55"/>
        <v>80763.43753223974</v>
      </c>
      <c r="BM219" s="9">
        <f t="shared" si="56"/>
        <v>80763.43753223974</v>
      </c>
      <c r="BN219" s="9">
        <f t="shared" si="57"/>
      </c>
      <c r="BU219" s="9"/>
      <c r="BV219" s="9"/>
      <c r="BW219" s="9"/>
      <c r="BX219" s="9"/>
    </row>
    <row r="220" spans="1:76" ht="12.75">
      <c r="A220" s="59">
        <f t="shared" si="61"/>
        <v>165</v>
      </c>
      <c r="B220" s="55" t="s">
        <v>98</v>
      </c>
      <c r="C220" s="55">
        <v>2004</v>
      </c>
      <c r="D220" s="87">
        <v>80000</v>
      </c>
      <c r="E220" s="88"/>
      <c r="F220" s="88"/>
      <c r="G220" s="66"/>
      <c r="H220">
        <f t="shared" si="66"/>
      </c>
      <c r="I220">
        <f t="shared" si="66"/>
      </c>
      <c r="J220">
        <f t="shared" si="66"/>
      </c>
      <c r="K220">
        <f t="shared" si="66"/>
      </c>
      <c r="L220">
        <f t="shared" si="66"/>
      </c>
      <c r="M220">
        <f t="shared" si="66"/>
      </c>
      <c r="N220">
        <f t="shared" si="66"/>
      </c>
      <c r="O220">
        <f t="shared" si="66"/>
        <v>80000</v>
      </c>
      <c r="P220">
        <f t="shared" si="66"/>
      </c>
      <c r="Q220">
        <f t="shared" si="66"/>
      </c>
      <c r="R220" s="9">
        <f t="shared" si="58"/>
        <v>80000</v>
      </c>
      <c r="T220">
        <f t="shared" si="59"/>
      </c>
      <c r="U220">
        <f t="shared" si="67"/>
      </c>
      <c r="V220">
        <f t="shared" si="67"/>
      </c>
      <c r="W220">
        <f t="shared" si="67"/>
        <v>80000</v>
      </c>
      <c r="X220">
        <f t="shared" si="67"/>
      </c>
      <c r="Y220">
        <f t="shared" si="67"/>
      </c>
      <c r="Z220">
        <f t="shared" si="67"/>
      </c>
      <c r="AA220">
        <f t="shared" si="67"/>
      </c>
      <c r="AB220">
        <f t="shared" si="67"/>
      </c>
      <c r="AC220">
        <f t="shared" si="67"/>
      </c>
      <c r="AD220">
        <f t="shared" si="67"/>
      </c>
      <c r="AE220">
        <f t="shared" si="53"/>
      </c>
      <c r="AF220" s="9">
        <f t="shared" si="54"/>
        <v>80000</v>
      </c>
      <c r="AG220">
        <f t="shared" si="63"/>
        <v>0</v>
      </c>
      <c r="AH220">
        <f t="shared" si="63"/>
        <v>0</v>
      </c>
      <c r="AI220">
        <f t="shared" si="63"/>
        <v>0</v>
      </c>
      <c r="AJ220">
        <f t="shared" si="63"/>
        <v>0</v>
      </c>
      <c r="AK220">
        <f t="shared" si="63"/>
        <v>0</v>
      </c>
      <c r="AL220">
        <f t="shared" si="63"/>
        <v>0</v>
      </c>
      <c r="AM220">
        <f t="shared" si="63"/>
        <v>1</v>
      </c>
      <c r="AN220">
        <f t="shared" si="63"/>
        <v>0</v>
      </c>
      <c r="AO220">
        <f t="shared" si="63"/>
        <v>0</v>
      </c>
      <c r="AP220">
        <f t="shared" si="60"/>
        <v>3</v>
      </c>
      <c r="BL220" s="9">
        <f t="shared" si="55"/>
        <v>68458.06251934385</v>
      </c>
      <c r="BM220" s="9">
        <f t="shared" si="56"/>
        <v>68458.06251934385</v>
      </c>
      <c r="BN220" s="9">
        <f t="shared" si="57"/>
      </c>
      <c r="BU220" s="9"/>
      <c r="BV220" s="9"/>
      <c r="BW220" s="9"/>
      <c r="BX220" s="9"/>
    </row>
    <row r="221" spans="1:76" ht="12.75">
      <c r="A221" s="59">
        <f t="shared" si="61"/>
        <v>166</v>
      </c>
      <c r="B221" s="55" t="s">
        <v>98</v>
      </c>
      <c r="C221" s="55">
        <v>2004</v>
      </c>
      <c r="D221" s="87">
        <v>80000</v>
      </c>
      <c r="E221" s="88"/>
      <c r="F221" s="88"/>
      <c r="G221" s="66"/>
      <c r="H221">
        <f t="shared" si="66"/>
      </c>
      <c r="I221">
        <f t="shared" si="66"/>
      </c>
      <c r="J221">
        <f t="shared" si="66"/>
      </c>
      <c r="K221">
        <f t="shared" si="66"/>
      </c>
      <c r="L221">
        <f t="shared" si="66"/>
      </c>
      <c r="M221">
        <f t="shared" si="66"/>
      </c>
      <c r="N221">
        <f t="shared" si="66"/>
      </c>
      <c r="O221">
        <f t="shared" si="66"/>
        <v>80000</v>
      </c>
      <c r="P221">
        <f t="shared" si="66"/>
      </c>
      <c r="Q221">
        <f t="shared" si="66"/>
      </c>
      <c r="R221" s="9">
        <f t="shared" si="58"/>
        <v>80000</v>
      </c>
      <c r="T221">
        <f t="shared" si="59"/>
      </c>
      <c r="U221">
        <f t="shared" si="67"/>
      </c>
      <c r="V221">
        <f t="shared" si="67"/>
      </c>
      <c r="W221">
        <f t="shared" si="67"/>
        <v>80000</v>
      </c>
      <c r="X221">
        <f t="shared" si="67"/>
      </c>
      <c r="Y221">
        <f t="shared" si="67"/>
      </c>
      <c r="Z221">
        <f t="shared" si="67"/>
      </c>
      <c r="AA221">
        <f t="shared" si="67"/>
      </c>
      <c r="AB221">
        <f t="shared" si="67"/>
      </c>
      <c r="AC221">
        <f t="shared" si="67"/>
      </c>
      <c r="AD221">
        <f t="shared" si="67"/>
      </c>
      <c r="AE221">
        <f t="shared" si="53"/>
      </c>
      <c r="AF221" s="9">
        <f t="shared" si="54"/>
        <v>80000</v>
      </c>
      <c r="AG221">
        <f t="shared" si="63"/>
        <v>0</v>
      </c>
      <c r="AH221">
        <f t="shared" si="63"/>
        <v>0</v>
      </c>
      <c r="AI221">
        <f t="shared" si="63"/>
        <v>0</v>
      </c>
      <c r="AJ221">
        <f t="shared" si="63"/>
        <v>0</v>
      </c>
      <c r="AK221">
        <f t="shared" si="63"/>
        <v>0</v>
      </c>
      <c r="AL221">
        <f t="shared" si="63"/>
        <v>0</v>
      </c>
      <c r="AM221">
        <f t="shared" si="63"/>
        <v>1</v>
      </c>
      <c r="AN221">
        <f t="shared" si="63"/>
        <v>0</v>
      </c>
      <c r="AO221">
        <f t="shared" si="63"/>
        <v>0</v>
      </c>
      <c r="AP221">
        <f t="shared" si="60"/>
        <v>3</v>
      </c>
      <c r="BL221" s="9">
        <f t="shared" si="55"/>
        <v>68458.06251934385</v>
      </c>
      <c r="BM221" s="9">
        <f t="shared" si="56"/>
        <v>68458.06251934385</v>
      </c>
      <c r="BN221" s="9">
        <f t="shared" si="57"/>
      </c>
      <c r="BU221" s="9"/>
      <c r="BV221" s="9"/>
      <c r="BW221" s="9"/>
      <c r="BX221" s="9"/>
    </row>
    <row r="222" spans="1:76" ht="12.75">
      <c r="A222" s="59">
        <f t="shared" si="61"/>
        <v>167</v>
      </c>
      <c r="B222" s="55" t="s">
        <v>98</v>
      </c>
      <c r="C222" s="55">
        <v>2005</v>
      </c>
      <c r="D222" s="87">
        <v>86000</v>
      </c>
      <c r="E222" s="88"/>
      <c r="F222" s="88"/>
      <c r="G222" s="66"/>
      <c r="H222">
        <f t="shared" si="66"/>
      </c>
      <c r="I222">
        <f t="shared" si="66"/>
      </c>
      <c r="J222">
        <f t="shared" si="66"/>
      </c>
      <c r="K222">
        <f t="shared" si="66"/>
      </c>
      <c r="L222">
        <f t="shared" si="66"/>
      </c>
      <c r="M222">
        <f t="shared" si="66"/>
      </c>
      <c r="N222">
        <f t="shared" si="66"/>
      </c>
      <c r="O222">
        <f t="shared" si="66"/>
        <v>86000</v>
      </c>
      <c r="P222">
        <f t="shared" si="66"/>
      </c>
      <c r="Q222">
        <f t="shared" si="66"/>
      </c>
      <c r="R222" s="9">
        <f t="shared" si="58"/>
        <v>86000</v>
      </c>
      <c r="T222">
        <f t="shared" si="59"/>
      </c>
      <c r="U222">
        <f t="shared" si="67"/>
      </c>
      <c r="V222">
        <f t="shared" si="67"/>
        <v>86000</v>
      </c>
      <c r="W222">
        <f t="shared" si="67"/>
      </c>
      <c r="X222">
        <f t="shared" si="67"/>
      </c>
      <c r="Y222">
        <f t="shared" si="67"/>
      </c>
      <c r="Z222">
        <f t="shared" si="67"/>
      </c>
      <c r="AA222">
        <f t="shared" si="67"/>
      </c>
      <c r="AB222">
        <f t="shared" si="67"/>
      </c>
      <c r="AC222">
        <f t="shared" si="67"/>
      </c>
      <c r="AD222">
        <f t="shared" si="67"/>
      </c>
      <c r="AE222">
        <f t="shared" si="53"/>
      </c>
      <c r="AF222" s="9">
        <f t="shared" si="54"/>
        <v>86000</v>
      </c>
      <c r="AG222">
        <f t="shared" si="63"/>
        <v>0</v>
      </c>
      <c r="AH222">
        <f t="shared" si="63"/>
        <v>0</v>
      </c>
      <c r="AI222">
        <f t="shared" si="63"/>
        <v>0</v>
      </c>
      <c r="AJ222">
        <f t="shared" si="63"/>
        <v>0</v>
      </c>
      <c r="AK222">
        <f t="shared" si="63"/>
        <v>0</v>
      </c>
      <c r="AL222">
        <f t="shared" si="63"/>
        <v>0</v>
      </c>
      <c r="AM222">
        <f t="shared" si="63"/>
        <v>1</v>
      </c>
      <c r="AN222">
        <f t="shared" si="63"/>
        <v>0</v>
      </c>
      <c r="AO222">
        <f t="shared" si="63"/>
        <v>0</v>
      </c>
      <c r="AP222">
        <f t="shared" si="60"/>
        <v>2</v>
      </c>
      <c r="BL222" s="9">
        <f t="shared" si="55"/>
        <v>78305.37501289589</v>
      </c>
      <c r="BM222" s="9">
        <f t="shared" si="56"/>
        <v>78305.37501289589</v>
      </c>
      <c r="BN222" s="9">
        <f t="shared" si="57"/>
      </c>
      <c r="BU222" s="9"/>
      <c r="BV222" s="9"/>
      <c r="BW222" s="9"/>
      <c r="BX222" s="9"/>
    </row>
    <row r="223" spans="1:76" ht="12.75">
      <c r="A223" s="59">
        <f t="shared" si="61"/>
        <v>168</v>
      </c>
      <c r="B223" s="55" t="s">
        <v>98</v>
      </c>
      <c r="C223" s="55">
        <v>2005</v>
      </c>
      <c r="D223" s="87">
        <v>75000</v>
      </c>
      <c r="E223" s="88"/>
      <c r="F223" s="88"/>
      <c r="G223" s="66"/>
      <c r="H223">
        <f t="shared" si="66"/>
      </c>
      <c r="I223">
        <f t="shared" si="66"/>
      </c>
      <c r="J223">
        <f t="shared" si="66"/>
      </c>
      <c r="K223">
        <f t="shared" si="66"/>
      </c>
      <c r="L223">
        <f t="shared" si="66"/>
      </c>
      <c r="M223">
        <f t="shared" si="66"/>
      </c>
      <c r="N223">
        <f t="shared" si="66"/>
      </c>
      <c r="O223">
        <f t="shared" si="66"/>
        <v>75000</v>
      </c>
      <c r="P223">
        <f t="shared" si="66"/>
      </c>
      <c r="Q223">
        <f t="shared" si="66"/>
      </c>
      <c r="R223" s="9">
        <f t="shared" si="58"/>
        <v>75000</v>
      </c>
      <c r="T223">
        <f t="shared" si="59"/>
      </c>
      <c r="U223">
        <f t="shared" si="67"/>
      </c>
      <c r="V223">
        <f t="shared" si="67"/>
        <v>75000</v>
      </c>
      <c r="W223">
        <f t="shared" si="67"/>
      </c>
      <c r="X223">
        <f t="shared" si="67"/>
      </c>
      <c r="Y223">
        <f t="shared" si="67"/>
      </c>
      <c r="Z223">
        <f t="shared" si="67"/>
      </c>
      <c r="AA223">
        <f t="shared" si="67"/>
      </c>
      <c r="AB223">
        <f t="shared" si="67"/>
      </c>
      <c r="AC223">
        <f t="shared" si="67"/>
      </c>
      <c r="AD223">
        <f t="shared" si="67"/>
      </c>
      <c r="AE223">
        <f t="shared" si="53"/>
      </c>
      <c r="AF223" s="9">
        <f t="shared" si="54"/>
        <v>75000</v>
      </c>
      <c r="AG223">
        <f t="shared" si="63"/>
        <v>0</v>
      </c>
      <c r="AH223">
        <f t="shared" si="63"/>
        <v>0</v>
      </c>
      <c r="AI223">
        <f t="shared" si="63"/>
        <v>0</v>
      </c>
      <c r="AJ223">
        <f t="shared" si="63"/>
        <v>0</v>
      </c>
      <c r="AK223">
        <f t="shared" si="63"/>
        <v>0</v>
      </c>
      <c r="AL223">
        <f t="shared" si="63"/>
        <v>0</v>
      </c>
      <c r="AM223">
        <f t="shared" si="63"/>
        <v>1</v>
      </c>
      <c r="AN223">
        <f t="shared" si="63"/>
        <v>0</v>
      </c>
      <c r="AO223">
        <f t="shared" si="63"/>
        <v>0</v>
      </c>
      <c r="AP223">
        <f t="shared" si="60"/>
        <v>2</v>
      </c>
      <c r="BL223" s="9">
        <f t="shared" si="55"/>
        <v>67305.37501289589</v>
      </c>
      <c r="BM223" s="9">
        <f t="shared" si="56"/>
        <v>67305.37501289589</v>
      </c>
      <c r="BN223" s="9">
        <f t="shared" si="57"/>
      </c>
      <c r="BU223" s="9"/>
      <c r="BV223" s="9"/>
      <c r="BW223" s="9"/>
      <c r="BX223" s="9"/>
    </row>
    <row r="224" spans="1:76" ht="12.75">
      <c r="A224" s="59">
        <f t="shared" si="61"/>
        <v>169</v>
      </c>
      <c r="B224" s="55" t="s">
        <v>98</v>
      </c>
      <c r="C224" s="55">
        <v>2006</v>
      </c>
      <c r="D224" s="87">
        <v>128000</v>
      </c>
      <c r="E224" s="88"/>
      <c r="F224" s="88"/>
      <c r="G224" s="66"/>
      <c r="H224">
        <f t="shared" si="66"/>
      </c>
      <c r="I224">
        <f t="shared" si="66"/>
      </c>
      <c r="J224">
        <f t="shared" si="66"/>
      </c>
      <c r="K224">
        <f t="shared" si="66"/>
      </c>
      <c r="L224">
        <f t="shared" si="66"/>
      </c>
      <c r="M224">
        <f t="shared" si="66"/>
      </c>
      <c r="N224">
        <f t="shared" si="66"/>
      </c>
      <c r="O224">
        <f t="shared" si="66"/>
        <v>128000</v>
      </c>
      <c r="P224">
        <f t="shared" si="66"/>
      </c>
      <c r="Q224">
        <f t="shared" si="66"/>
      </c>
      <c r="R224" s="9">
        <f t="shared" si="58"/>
        <v>128000</v>
      </c>
      <c r="T224">
        <f t="shared" si="59"/>
      </c>
      <c r="U224">
        <f t="shared" si="67"/>
        <v>128000</v>
      </c>
      <c r="V224">
        <f t="shared" si="67"/>
      </c>
      <c r="W224">
        <f t="shared" si="67"/>
      </c>
      <c r="X224">
        <f t="shared" si="67"/>
      </c>
      <c r="Y224">
        <f t="shared" si="67"/>
      </c>
      <c r="Z224">
        <f t="shared" si="67"/>
      </c>
      <c r="AA224">
        <f t="shared" si="67"/>
      </c>
      <c r="AB224">
        <f t="shared" si="67"/>
      </c>
      <c r="AC224">
        <f t="shared" si="67"/>
      </c>
      <c r="AD224">
        <f t="shared" si="67"/>
      </c>
      <c r="AE224">
        <f t="shared" si="53"/>
      </c>
      <c r="AF224" s="9">
        <f t="shared" si="54"/>
        <v>128000</v>
      </c>
      <c r="AG224">
        <f t="shared" si="63"/>
        <v>0</v>
      </c>
      <c r="AH224">
        <f t="shared" si="63"/>
        <v>0</v>
      </c>
      <c r="AI224">
        <f t="shared" si="63"/>
        <v>0</v>
      </c>
      <c r="AJ224">
        <f t="shared" si="63"/>
        <v>0</v>
      </c>
      <c r="AK224">
        <f t="shared" si="63"/>
        <v>0</v>
      </c>
      <c r="AL224">
        <f t="shared" si="63"/>
        <v>0</v>
      </c>
      <c r="AM224">
        <f t="shared" si="63"/>
        <v>1</v>
      </c>
      <c r="AN224">
        <f t="shared" si="63"/>
        <v>0</v>
      </c>
      <c r="AO224">
        <f t="shared" si="63"/>
        <v>0</v>
      </c>
      <c r="AP224">
        <f t="shared" si="60"/>
        <v>1</v>
      </c>
      <c r="BL224" s="9">
        <f t="shared" si="55"/>
        <v>124152.68750644795</v>
      </c>
      <c r="BM224" s="9">
        <f t="shared" si="56"/>
      </c>
      <c r="BN224" s="9">
        <f t="shared" si="57"/>
        <v>124152.68750644795</v>
      </c>
      <c r="BU224" s="9"/>
      <c r="BV224" s="9"/>
      <c r="BW224" s="9"/>
      <c r="BX224" s="9"/>
    </row>
    <row r="225" spans="1:76" ht="12.75">
      <c r="A225" s="59">
        <f t="shared" si="61"/>
        <v>170</v>
      </c>
      <c r="B225" s="55" t="s">
        <v>98</v>
      </c>
      <c r="C225" s="55">
        <v>2006</v>
      </c>
      <c r="D225" s="87">
        <v>155000</v>
      </c>
      <c r="E225" s="88"/>
      <c r="F225" s="88"/>
      <c r="G225" s="66"/>
      <c r="H225">
        <f t="shared" si="66"/>
      </c>
      <c r="I225">
        <f t="shared" si="66"/>
      </c>
      <c r="J225">
        <f t="shared" si="66"/>
      </c>
      <c r="K225">
        <f t="shared" si="66"/>
      </c>
      <c r="L225">
        <f t="shared" si="66"/>
      </c>
      <c r="M225">
        <f t="shared" si="66"/>
      </c>
      <c r="N225">
        <f t="shared" si="66"/>
      </c>
      <c r="O225">
        <f t="shared" si="66"/>
        <v>155000</v>
      </c>
      <c r="P225">
        <f t="shared" si="66"/>
      </c>
      <c r="Q225">
        <f t="shared" si="66"/>
      </c>
      <c r="R225" s="9">
        <f t="shared" si="58"/>
        <v>155000</v>
      </c>
      <c r="T225">
        <f t="shared" si="59"/>
      </c>
      <c r="U225">
        <f t="shared" si="67"/>
        <v>155000</v>
      </c>
      <c r="V225">
        <f t="shared" si="67"/>
      </c>
      <c r="W225">
        <f t="shared" si="67"/>
      </c>
      <c r="X225">
        <f t="shared" si="67"/>
      </c>
      <c r="Y225">
        <f t="shared" si="67"/>
      </c>
      <c r="Z225">
        <f t="shared" si="67"/>
      </c>
      <c r="AA225">
        <f t="shared" si="67"/>
      </c>
      <c r="AB225">
        <f t="shared" si="67"/>
      </c>
      <c r="AC225">
        <f t="shared" si="67"/>
      </c>
      <c r="AD225">
        <f t="shared" si="67"/>
      </c>
      <c r="AE225">
        <f t="shared" si="53"/>
      </c>
      <c r="AF225" s="9">
        <f t="shared" si="54"/>
        <v>155000</v>
      </c>
      <c r="AG225">
        <f t="shared" si="63"/>
        <v>0</v>
      </c>
      <c r="AH225">
        <f t="shared" si="63"/>
        <v>0</v>
      </c>
      <c r="AI225">
        <f t="shared" si="63"/>
        <v>0</v>
      </c>
      <c r="AJ225">
        <f t="shared" si="63"/>
        <v>0</v>
      </c>
      <c r="AK225">
        <f t="shared" si="63"/>
        <v>0</v>
      </c>
      <c r="AL225">
        <f t="shared" si="63"/>
        <v>0</v>
      </c>
      <c r="AM225">
        <f t="shared" si="63"/>
        <v>1</v>
      </c>
      <c r="AN225">
        <f t="shared" si="63"/>
        <v>0</v>
      </c>
      <c r="AO225">
        <f t="shared" si="63"/>
        <v>0</v>
      </c>
      <c r="AP225">
        <f t="shared" si="60"/>
        <v>1</v>
      </c>
      <c r="BL225" s="9">
        <f t="shared" si="55"/>
        <v>151152.68750644795</v>
      </c>
      <c r="BM225" s="9">
        <f t="shared" si="56"/>
      </c>
      <c r="BN225" s="9">
        <f t="shared" si="57"/>
        <v>151152.68750644795</v>
      </c>
      <c r="BU225" s="9"/>
      <c r="BV225" s="9"/>
      <c r="BW225" s="9"/>
      <c r="BX225" s="9"/>
    </row>
    <row r="226" spans="1:76" ht="12.75">
      <c r="A226" s="59">
        <f t="shared" si="61"/>
        <v>171</v>
      </c>
      <c r="B226" s="55" t="s">
        <v>98</v>
      </c>
      <c r="C226" s="55">
        <v>2006</v>
      </c>
      <c r="D226" s="87">
        <v>78000</v>
      </c>
      <c r="E226" s="88"/>
      <c r="F226" s="88"/>
      <c r="G226" s="66"/>
      <c r="H226">
        <f t="shared" si="66"/>
      </c>
      <c r="I226">
        <f t="shared" si="66"/>
      </c>
      <c r="J226">
        <f t="shared" si="66"/>
      </c>
      <c r="K226">
        <f t="shared" si="66"/>
      </c>
      <c r="L226">
        <f t="shared" si="66"/>
      </c>
      <c r="M226">
        <f t="shared" si="66"/>
      </c>
      <c r="N226">
        <f t="shared" si="66"/>
      </c>
      <c r="O226">
        <f t="shared" si="66"/>
        <v>78000</v>
      </c>
      <c r="P226">
        <f t="shared" si="66"/>
      </c>
      <c r="Q226">
        <f t="shared" si="66"/>
      </c>
      <c r="R226" s="9">
        <f t="shared" si="58"/>
        <v>78000</v>
      </c>
      <c r="T226">
        <f t="shared" si="59"/>
      </c>
      <c r="U226">
        <f t="shared" si="67"/>
        <v>78000</v>
      </c>
      <c r="V226">
        <f t="shared" si="67"/>
      </c>
      <c r="W226">
        <f t="shared" si="67"/>
      </c>
      <c r="X226">
        <f t="shared" si="67"/>
      </c>
      <c r="Y226">
        <f t="shared" si="67"/>
      </c>
      <c r="Z226">
        <f t="shared" si="67"/>
      </c>
      <c r="AA226">
        <f t="shared" si="67"/>
      </c>
      <c r="AB226">
        <f t="shared" si="67"/>
      </c>
      <c r="AC226">
        <f t="shared" si="67"/>
      </c>
      <c r="AD226">
        <f t="shared" si="67"/>
      </c>
      <c r="AE226">
        <f t="shared" si="53"/>
      </c>
      <c r="AF226" s="9">
        <f t="shared" si="54"/>
        <v>78000</v>
      </c>
      <c r="AG226">
        <f t="shared" si="63"/>
        <v>0</v>
      </c>
      <c r="AH226">
        <f t="shared" si="63"/>
        <v>0</v>
      </c>
      <c r="AI226">
        <f t="shared" si="63"/>
        <v>0</v>
      </c>
      <c r="AJ226">
        <f t="shared" si="63"/>
        <v>0</v>
      </c>
      <c r="AK226">
        <f t="shared" si="63"/>
        <v>0</v>
      </c>
      <c r="AL226">
        <f t="shared" si="63"/>
        <v>0</v>
      </c>
      <c r="AM226">
        <f t="shared" si="63"/>
        <v>1</v>
      </c>
      <c r="AN226">
        <f t="shared" si="63"/>
        <v>0</v>
      </c>
      <c r="AO226">
        <f t="shared" si="63"/>
        <v>0</v>
      </c>
      <c r="AP226">
        <f t="shared" si="60"/>
        <v>1</v>
      </c>
      <c r="BL226" s="9">
        <f t="shared" si="55"/>
        <v>74152.68750644795</v>
      </c>
      <c r="BM226" s="9">
        <f t="shared" si="56"/>
        <v>74152.68750644795</v>
      </c>
      <c r="BN226" s="9">
        <f t="shared" si="57"/>
      </c>
      <c r="BU226" s="9"/>
      <c r="BV226" s="9"/>
      <c r="BW226" s="9"/>
      <c r="BX226" s="9"/>
    </row>
    <row r="227" spans="1:76" ht="12.75">
      <c r="A227" s="59">
        <f t="shared" si="61"/>
        <v>172</v>
      </c>
      <c r="B227" s="55" t="s">
        <v>98</v>
      </c>
      <c r="C227" s="55">
        <v>2006</v>
      </c>
      <c r="D227" s="87">
        <v>90000</v>
      </c>
      <c r="E227" s="88"/>
      <c r="F227" s="88"/>
      <c r="G227" s="66"/>
      <c r="H227">
        <f t="shared" si="66"/>
      </c>
      <c r="I227">
        <f t="shared" si="66"/>
      </c>
      <c r="J227">
        <f t="shared" si="66"/>
      </c>
      <c r="K227">
        <f t="shared" si="66"/>
      </c>
      <c r="L227">
        <f t="shared" si="66"/>
      </c>
      <c r="M227">
        <f t="shared" si="66"/>
      </c>
      <c r="N227">
        <f t="shared" si="66"/>
      </c>
      <c r="O227">
        <f t="shared" si="66"/>
        <v>90000</v>
      </c>
      <c r="P227">
        <f t="shared" si="66"/>
      </c>
      <c r="Q227">
        <f t="shared" si="66"/>
      </c>
      <c r="R227" s="9">
        <f t="shared" si="58"/>
        <v>90000</v>
      </c>
      <c r="T227">
        <f t="shared" si="59"/>
      </c>
      <c r="U227">
        <f t="shared" si="67"/>
        <v>90000</v>
      </c>
      <c r="V227">
        <f t="shared" si="67"/>
      </c>
      <c r="W227">
        <f t="shared" si="67"/>
      </c>
      <c r="X227">
        <f t="shared" si="67"/>
      </c>
      <c r="Y227">
        <f t="shared" si="67"/>
      </c>
      <c r="Z227">
        <f t="shared" si="67"/>
      </c>
      <c r="AA227">
        <f t="shared" si="67"/>
      </c>
      <c r="AB227">
        <f t="shared" si="67"/>
      </c>
      <c r="AC227">
        <f t="shared" si="67"/>
      </c>
      <c r="AD227">
        <f t="shared" si="67"/>
      </c>
      <c r="AE227">
        <f t="shared" si="53"/>
      </c>
      <c r="AF227" s="9">
        <f t="shared" si="54"/>
        <v>90000</v>
      </c>
      <c r="AG227">
        <f t="shared" si="63"/>
        <v>0</v>
      </c>
      <c r="AH227">
        <f t="shared" si="63"/>
        <v>0</v>
      </c>
      <c r="AI227">
        <f t="shared" si="63"/>
        <v>0</v>
      </c>
      <c r="AJ227">
        <f t="shared" si="63"/>
        <v>0</v>
      </c>
      <c r="AK227">
        <f t="shared" si="63"/>
        <v>0</v>
      </c>
      <c r="AL227">
        <f t="shared" si="63"/>
        <v>0</v>
      </c>
      <c r="AM227">
        <f t="shared" si="63"/>
        <v>1</v>
      </c>
      <c r="AN227">
        <f t="shared" si="63"/>
        <v>0</v>
      </c>
      <c r="AO227">
        <f t="shared" si="63"/>
        <v>0</v>
      </c>
      <c r="AP227">
        <f t="shared" si="60"/>
        <v>1</v>
      </c>
      <c r="BL227" s="9">
        <f t="shared" si="55"/>
        <v>86152.68750644795</v>
      </c>
      <c r="BM227" s="9">
        <f t="shared" si="56"/>
        <v>86152.68750644795</v>
      </c>
      <c r="BN227" s="9">
        <f t="shared" si="57"/>
      </c>
      <c r="BU227" s="9"/>
      <c r="BV227" s="9"/>
      <c r="BW227" s="9"/>
      <c r="BX227" s="9"/>
    </row>
    <row r="228" spans="1:76" ht="12.75">
      <c r="A228" s="59">
        <f t="shared" si="61"/>
        <v>173</v>
      </c>
      <c r="B228" s="55" t="s">
        <v>98</v>
      </c>
      <c r="C228" s="55">
        <v>2007</v>
      </c>
      <c r="D228" s="87">
        <v>110000</v>
      </c>
      <c r="E228" s="88"/>
      <c r="F228" s="88"/>
      <c r="G228" s="66"/>
      <c r="H228">
        <f t="shared" si="66"/>
      </c>
      <c r="I228">
        <f t="shared" si="66"/>
      </c>
      <c r="J228">
        <f t="shared" si="66"/>
      </c>
      <c r="K228">
        <f t="shared" si="66"/>
      </c>
      <c r="L228">
        <f t="shared" si="66"/>
      </c>
      <c r="M228">
        <f t="shared" si="66"/>
      </c>
      <c r="N228">
        <f t="shared" si="66"/>
      </c>
      <c r="O228">
        <f t="shared" si="66"/>
        <v>110000</v>
      </c>
      <c r="P228">
        <f t="shared" si="66"/>
      </c>
      <c r="Q228">
        <f t="shared" si="66"/>
      </c>
      <c r="R228" s="9">
        <f t="shared" si="58"/>
        <v>110000</v>
      </c>
      <c r="T228">
        <f t="shared" si="59"/>
        <v>110000</v>
      </c>
      <c r="U228">
        <f t="shared" si="67"/>
      </c>
      <c r="V228">
        <f t="shared" si="67"/>
      </c>
      <c r="W228">
        <f t="shared" si="67"/>
      </c>
      <c r="X228">
        <f t="shared" si="67"/>
      </c>
      <c r="Y228">
        <f t="shared" si="67"/>
      </c>
      <c r="Z228">
        <f t="shared" si="67"/>
      </c>
      <c r="AA228">
        <f t="shared" si="67"/>
      </c>
      <c r="AB228">
        <f t="shared" si="67"/>
      </c>
      <c r="AC228">
        <f t="shared" si="67"/>
      </c>
      <c r="AD228">
        <f t="shared" si="67"/>
      </c>
      <c r="AE228">
        <f t="shared" si="53"/>
      </c>
      <c r="AF228" s="9">
        <f t="shared" si="54"/>
        <v>110000</v>
      </c>
      <c r="AG228">
        <f t="shared" si="63"/>
        <v>0</v>
      </c>
      <c r="AH228">
        <f t="shared" si="63"/>
        <v>0</v>
      </c>
      <c r="AI228">
        <f t="shared" si="63"/>
        <v>0</v>
      </c>
      <c r="AJ228">
        <f t="shared" si="63"/>
        <v>0</v>
      </c>
      <c r="AK228">
        <f t="shared" si="63"/>
        <v>0</v>
      </c>
      <c r="AL228">
        <f t="shared" si="63"/>
        <v>0</v>
      </c>
      <c r="AM228">
        <f t="shared" si="63"/>
        <v>1</v>
      </c>
      <c r="AN228">
        <f t="shared" si="63"/>
        <v>0</v>
      </c>
      <c r="AO228">
        <f t="shared" si="63"/>
        <v>0</v>
      </c>
      <c r="AP228">
        <f t="shared" si="60"/>
        <v>0</v>
      </c>
      <c r="BL228" s="9">
        <f t="shared" si="55"/>
        <v>110000</v>
      </c>
      <c r="BM228" s="9">
        <f t="shared" si="56"/>
      </c>
      <c r="BN228" s="9">
        <f t="shared" si="57"/>
        <v>110000</v>
      </c>
      <c r="BU228" s="9"/>
      <c r="BV228" s="9"/>
      <c r="BW228" s="9"/>
      <c r="BX228" s="9"/>
    </row>
    <row r="229" spans="1:76" ht="12.75">
      <c r="A229" s="59">
        <f t="shared" si="61"/>
        <v>174</v>
      </c>
      <c r="B229" s="55" t="s">
        <v>98</v>
      </c>
      <c r="C229" s="55">
        <v>2007</v>
      </c>
      <c r="D229" s="87">
        <v>160000</v>
      </c>
      <c r="E229" s="88"/>
      <c r="F229" s="88"/>
      <c r="G229" s="66"/>
      <c r="H229">
        <f t="shared" si="66"/>
      </c>
      <c r="I229">
        <f t="shared" si="66"/>
      </c>
      <c r="J229">
        <f t="shared" si="66"/>
      </c>
      <c r="K229">
        <f t="shared" si="66"/>
      </c>
      <c r="L229">
        <f t="shared" si="66"/>
      </c>
      <c r="M229">
        <f t="shared" si="66"/>
      </c>
      <c r="N229">
        <f t="shared" si="66"/>
      </c>
      <c r="O229">
        <f t="shared" si="66"/>
        <v>160000</v>
      </c>
      <c r="P229">
        <f t="shared" si="66"/>
      </c>
      <c r="Q229">
        <f t="shared" si="66"/>
      </c>
      <c r="R229" s="9">
        <f t="shared" si="58"/>
        <v>160000</v>
      </c>
      <c r="T229">
        <f t="shared" si="59"/>
        <v>160000</v>
      </c>
      <c r="U229">
        <f t="shared" si="67"/>
      </c>
      <c r="V229">
        <f t="shared" si="67"/>
      </c>
      <c r="W229">
        <f t="shared" si="67"/>
      </c>
      <c r="X229">
        <f t="shared" si="67"/>
      </c>
      <c r="Y229">
        <f t="shared" si="67"/>
      </c>
      <c r="Z229">
        <f t="shared" si="67"/>
      </c>
      <c r="AA229">
        <f t="shared" si="67"/>
      </c>
      <c r="AB229">
        <f t="shared" si="67"/>
      </c>
      <c r="AC229">
        <f t="shared" si="67"/>
      </c>
      <c r="AD229">
        <f t="shared" si="67"/>
      </c>
      <c r="AE229">
        <f t="shared" si="53"/>
      </c>
      <c r="AF229" s="9">
        <f t="shared" si="54"/>
        <v>160000</v>
      </c>
      <c r="AG229">
        <f t="shared" si="63"/>
        <v>0</v>
      </c>
      <c r="AH229">
        <f t="shared" si="63"/>
        <v>0</v>
      </c>
      <c r="AI229">
        <f t="shared" si="63"/>
        <v>0</v>
      </c>
      <c r="AJ229">
        <f t="shared" si="63"/>
        <v>0</v>
      </c>
      <c r="AK229">
        <f t="shared" si="63"/>
        <v>0</v>
      </c>
      <c r="AL229">
        <f t="shared" si="63"/>
        <v>0</v>
      </c>
      <c r="AM229">
        <f t="shared" si="63"/>
        <v>1</v>
      </c>
      <c r="AN229">
        <f t="shared" si="63"/>
        <v>0</v>
      </c>
      <c r="AO229">
        <f t="shared" si="63"/>
        <v>0</v>
      </c>
      <c r="AP229">
        <f t="shared" si="60"/>
        <v>0</v>
      </c>
      <c r="BL229" s="9">
        <f t="shared" si="55"/>
        <v>160000</v>
      </c>
      <c r="BM229" s="9">
        <f t="shared" si="56"/>
      </c>
      <c r="BN229" s="9">
        <f t="shared" si="57"/>
        <v>160000</v>
      </c>
      <c r="BU229" s="9"/>
      <c r="BV229" s="9"/>
      <c r="BW229" s="9"/>
      <c r="BX229" s="9"/>
    </row>
    <row r="230" spans="1:76" ht="12.75">
      <c r="A230" s="59">
        <f t="shared" si="61"/>
        <v>175</v>
      </c>
      <c r="B230" s="55" t="s">
        <v>98</v>
      </c>
      <c r="C230" s="55">
        <v>2007</v>
      </c>
      <c r="D230" s="87">
        <v>150000</v>
      </c>
      <c r="E230" s="88"/>
      <c r="F230" s="88"/>
      <c r="G230" s="66"/>
      <c r="H230">
        <f t="shared" si="66"/>
      </c>
      <c r="I230">
        <f t="shared" si="66"/>
      </c>
      <c r="J230">
        <f t="shared" si="66"/>
      </c>
      <c r="K230">
        <f t="shared" si="66"/>
      </c>
      <c r="L230">
        <f t="shared" si="66"/>
      </c>
      <c r="M230">
        <f t="shared" si="66"/>
      </c>
      <c r="N230">
        <f t="shared" si="66"/>
      </c>
      <c r="O230">
        <f t="shared" si="66"/>
        <v>150000</v>
      </c>
      <c r="P230">
        <f t="shared" si="66"/>
      </c>
      <c r="Q230">
        <f t="shared" si="66"/>
      </c>
      <c r="R230" s="9">
        <f t="shared" si="58"/>
        <v>150000</v>
      </c>
      <c r="T230">
        <f t="shared" si="59"/>
        <v>150000</v>
      </c>
      <c r="U230">
        <f t="shared" si="67"/>
      </c>
      <c r="V230">
        <f t="shared" si="67"/>
      </c>
      <c r="W230">
        <f t="shared" si="67"/>
      </c>
      <c r="X230">
        <f t="shared" si="67"/>
      </c>
      <c r="Y230">
        <f t="shared" si="67"/>
      </c>
      <c r="Z230">
        <f t="shared" si="67"/>
      </c>
      <c r="AA230">
        <f t="shared" si="67"/>
      </c>
      <c r="AB230">
        <f t="shared" si="67"/>
      </c>
      <c r="AC230">
        <f t="shared" si="67"/>
      </c>
      <c r="AD230">
        <f t="shared" si="67"/>
      </c>
      <c r="AE230">
        <f t="shared" si="53"/>
      </c>
      <c r="AF230" s="9">
        <f t="shared" si="54"/>
        <v>150000</v>
      </c>
      <c r="AG230">
        <f t="shared" si="63"/>
        <v>0</v>
      </c>
      <c r="AH230">
        <f t="shared" si="63"/>
        <v>0</v>
      </c>
      <c r="AI230">
        <f t="shared" si="63"/>
        <v>0</v>
      </c>
      <c r="AJ230">
        <f t="shared" si="63"/>
        <v>0</v>
      </c>
      <c r="AK230">
        <f t="shared" si="63"/>
        <v>0</v>
      </c>
      <c r="AL230">
        <f t="shared" si="63"/>
        <v>0</v>
      </c>
      <c r="AM230">
        <f t="shared" si="63"/>
        <v>1</v>
      </c>
      <c r="AN230">
        <f t="shared" si="63"/>
        <v>0</v>
      </c>
      <c r="AO230">
        <f t="shared" si="63"/>
        <v>0</v>
      </c>
      <c r="AP230">
        <f t="shared" si="60"/>
        <v>0</v>
      </c>
      <c r="BL230" s="9">
        <f t="shared" si="55"/>
        <v>150000</v>
      </c>
      <c r="BM230" s="9">
        <f t="shared" si="56"/>
      </c>
      <c r="BN230" s="9">
        <f t="shared" si="57"/>
        <v>150000</v>
      </c>
      <c r="BU230" s="9"/>
      <c r="BV230" s="9"/>
      <c r="BW230" s="9"/>
      <c r="BX230" s="9"/>
    </row>
    <row r="231" spans="1:76" ht="12.75">
      <c r="A231" s="59">
        <f t="shared" si="61"/>
        <v>176</v>
      </c>
      <c r="B231" s="55" t="s">
        <v>98</v>
      </c>
      <c r="C231" s="55">
        <v>2007</v>
      </c>
      <c r="D231" s="87">
        <v>90000</v>
      </c>
      <c r="E231" s="88"/>
      <c r="F231" s="88"/>
      <c r="G231" s="66"/>
      <c r="H231">
        <f t="shared" si="66"/>
      </c>
      <c r="I231">
        <f t="shared" si="66"/>
      </c>
      <c r="J231">
        <f t="shared" si="66"/>
      </c>
      <c r="K231">
        <f t="shared" si="66"/>
      </c>
      <c r="L231">
        <f t="shared" si="66"/>
      </c>
      <c r="M231">
        <f t="shared" si="66"/>
      </c>
      <c r="N231">
        <f t="shared" si="66"/>
      </c>
      <c r="O231">
        <f t="shared" si="66"/>
        <v>90000</v>
      </c>
      <c r="P231">
        <f t="shared" si="66"/>
      </c>
      <c r="Q231">
        <f t="shared" si="66"/>
      </c>
      <c r="R231" s="9">
        <f t="shared" si="58"/>
        <v>90000</v>
      </c>
      <c r="T231">
        <f t="shared" si="59"/>
        <v>90000</v>
      </c>
      <c r="U231">
        <f t="shared" si="67"/>
      </c>
      <c r="V231">
        <f t="shared" si="67"/>
      </c>
      <c r="W231">
        <f t="shared" si="67"/>
      </c>
      <c r="X231">
        <f t="shared" si="67"/>
      </c>
      <c r="Y231">
        <f t="shared" si="67"/>
      </c>
      <c r="Z231">
        <f t="shared" si="67"/>
      </c>
      <c r="AA231">
        <f t="shared" si="67"/>
      </c>
      <c r="AB231">
        <f t="shared" si="67"/>
      </c>
      <c r="AC231">
        <f t="shared" si="67"/>
      </c>
      <c r="AD231">
        <f t="shared" si="67"/>
      </c>
      <c r="AE231">
        <f t="shared" si="53"/>
      </c>
      <c r="AF231" s="9">
        <f t="shared" si="54"/>
        <v>90000</v>
      </c>
      <c r="AG231">
        <f t="shared" si="63"/>
        <v>0</v>
      </c>
      <c r="AH231">
        <f t="shared" si="63"/>
        <v>0</v>
      </c>
      <c r="AI231">
        <f t="shared" si="63"/>
        <v>0</v>
      </c>
      <c r="AJ231">
        <f t="shared" si="63"/>
        <v>0</v>
      </c>
      <c r="AK231">
        <f t="shared" si="63"/>
        <v>0</v>
      </c>
      <c r="AL231">
        <f t="shared" si="63"/>
        <v>0</v>
      </c>
      <c r="AM231">
        <f t="shared" si="63"/>
        <v>1</v>
      </c>
      <c r="AN231">
        <f t="shared" si="63"/>
        <v>0</v>
      </c>
      <c r="AO231">
        <f t="shared" si="63"/>
        <v>0</v>
      </c>
      <c r="AP231">
        <f t="shared" si="60"/>
        <v>0</v>
      </c>
      <c r="BL231" s="9">
        <f t="shared" si="55"/>
        <v>90000</v>
      </c>
      <c r="BM231" s="9">
        <f t="shared" si="56"/>
        <v>90000</v>
      </c>
      <c r="BN231" s="9">
        <f t="shared" si="57"/>
      </c>
      <c r="BU231" s="9"/>
      <c r="BV231" s="9"/>
      <c r="BW231" s="9"/>
      <c r="BX231" s="9"/>
    </row>
    <row r="232" spans="1:76" ht="12.75">
      <c r="A232" s="59">
        <f t="shared" si="61"/>
        <v>177</v>
      </c>
      <c r="B232" s="55" t="s">
        <v>98</v>
      </c>
      <c r="C232" s="55">
        <v>2007</v>
      </c>
      <c r="D232" s="87">
        <v>130000</v>
      </c>
      <c r="E232" s="88"/>
      <c r="F232" s="88"/>
      <c r="G232" s="66"/>
      <c r="H232">
        <f aca="true" t="shared" si="68" ref="H232:Q247">IF($B232=H$55,$D232,"")</f>
      </c>
      <c r="I232">
        <f t="shared" si="68"/>
      </c>
      <c r="J232">
        <f t="shared" si="68"/>
      </c>
      <c r="K232">
        <f t="shared" si="68"/>
      </c>
      <c r="L232">
        <f t="shared" si="68"/>
      </c>
      <c r="M232">
        <f t="shared" si="68"/>
      </c>
      <c r="N232">
        <f t="shared" si="68"/>
      </c>
      <c r="O232">
        <f t="shared" si="68"/>
        <v>130000</v>
      </c>
      <c r="P232">
        <f t="shared" si="68"/>
      </c>
      <c r="Q232">
        <f t="shared" si="68"/>
      </c>
      <c r="R232" s="9">
        <f t="shared" si="58"/>
        <v>130000</v>
      </c>
      <c r="T232">
        <f t="shared" si="59"/>
        <v>130000</v>
      </c>
      <c r="U232">
        <f aca="true" t="shared" si="69" ref="U232:AD247">IF($C232=U$55,$D232,"")</f>
      </c>
      <c r="V232">
        <f t="shared" si="69"/>
      </c>
      <c r="W232">
        <f t="shared" si="69"/>
      </c>
      <c r="X232">
        <f t="shared" si="69"/>
      </c>
      <c r="Y232">
        <f t="shared" si="69"/>
      </c>
      <c r="Z232">
        <f t="shared" si="69"/>
      </c>
      <c r="AA232">
        <f t="shared" si="69"/>
      </c>
      <c r="AB232">
        <f t="shared" si="69"/>
      </c>
      <c r="AC232">
        <f t="shared" si="69"/>
      </c>
      <c r="AD232">
        <f t="shared" si="69"/>
      </c>
      <c r="AE232">
        <f t="shared" si="53"/>
      </c>
      <c r="AF232" s="9">
        <f t="shared" si="54"/>
        <v>130000</v>
      </c>
      <c r="AG232">
        <f t="shared" si="63"/>
        <v>0</v>
      </c>
      <c r="AH232">
        <f t="shared" si="63"/>
        <v>0</v>
      </c>
      <c r="AI232">
        <f t="shared" si="63"/>
        <v>0</v>
      </c>
      <c r="AJ232">
        <f t="shared" si="63"/>
        <v>0</v>
      </c>
      <c r="AK232">
        <f t="shared" si="63"/>
        <v>0</v>
      </c>
      <c r="AL232">
        <f t="shared" si="63"/>
        <v>0</v>
      </c>
      <c r="AM232">
        <f t="shared" si="63"/>
        <v>1</v>
      </c>
      <c r="AN232">
        <f t="shared" si="63"/>
        <v>0</v>
      </c>
      <c r="AO232">
        <f t="shared" si="63"/>
        <v>0</v>
      </c>
      <c r="AP232">
        <f t="shared" si="60"/>
        <v>0</v>
      </c>
      <c r="BL232" s="9">
        <f t="shared" si="55"/>
        <v>130000</v>
      </c>
      <c r="BM232" s="9">
        <f t="shared" si="56"/>
      </c>
      <c r="BN232" s="9">
        <f t="shared" si="57"/>
        <v>130000</v>
      </c>
      <c r="BU232" s="9"/>
      <c r="BV232" s="9"/>
      <c r="BW232" s="9"/>
      <c r="BX232" s="9"/>
    </row>
    <row r="233" spans="1:76" ht="12.75">
      <c r="A233" s="59">
        <f t="shared" si="61"/>
        <v>178</v>
      </c>
      <c r="B233" s="55" t="s">
        <v>98</v>
      </c>
      <c r="C233" s="55">
        <v>2007</v>
      </c>
      <c r="D233" s="87">
        <v>110000</v>
      </c>
      <c r="E233" s="88"/>
      <c r="F233" s="88"/>
      <c r="G233" s="66"/>
      <c r="H233">
        <f t="shared" si="68"/>
      </c>
      <c r="I233">
        <f t="shared" si="68"/>
      </c>
      <c r="J233">
        <f t="shared" si="68"/>
      </c>
      <c r="K233">
        <f t="shared" si="68"/>
      </c>
      <c r="L233">
        <f t="shared" si="68"/>
      </c>
      <c r="M233">
        <f t="shared" si="68"/>
      </c>
      <c r="N233">
        <f t="shared" si="68"/>
      </c>
      <c r="O233">
        <f t="shared" si="68"/>
        <v>110000</v>
      </c>
      <c r="P233">
        <f t="shared" si="68"/>
      </c>
      <c r="Q233">
        <f t="shared" si="68"/>
      </c>
      <c r="R233" s="9">
        <f t="shared" si="58"/>
        <v>110000</v>
      </c>
      <c r="T233">
        <f t="shared" si="59"/>
        <v>110000</v>
      </c>
      <c r="U233">
        <f t="shared" si="69"/>
      </c>
      <c r="V233">
        <f t="shared" si="69"/>
      </c>
      <c r="W233">
        <f t="shared" si="69"/>
      </c>
      <c r="X233">
        <f t="shared" si="69"/>
      </c>
      <c r="Y233">
        <f t="shared" si="69"/>
      </c>
      <c r="Z233">
        <f t="shared" si="69"/>
      </c>
      <c r="AA233">
        <f t="shared" si="69"/>
      </c>
      <c r="AB233">
        <f t="shared" si="69"/>
      </c>
      <c r="AC233">
        <f t="shared" si="69"/>
      </c>
      <c r="AD233">
        <f t="shared" si="69"/>
      </c>
      <c r="AE233">
        <f t="shared" si="53"/>
      </c>
      <c r="AF233" s="9">
        <f t="shared" si="54"/>
        <v>110000</v>
      </c>
      <c r="AG233">
        <f t="shared" si="63"/>
        <v>0</v>
      </c>
      <c r="AH233">
        <f t="shared" si="63"/>
        <v>0</v>
      </c>
      <c r="AI233">
        <f t="shared" si="63"/>
        <v>0</v>
      </c>
      <c r="AJ233">
        <f t="shared" si="63"/>
        <v>0</v>
      </c>
      <c r="AK233">
        <f t="shared" si="63"/>
        <v>0</v>
      </c>
      <c r="AL233">
        <f t="shared" si="63"/>
        <v>0</v>
      </c>
      <c r="AM233">
        <f t="shared" si="63"/>
        <v>1</v>
      </c>
      <c r="AN233">
        <f t="shared" si="63"/>
        <v>0</v>
      </c>
      <c r="AO233">
        <f t="shared" si="63"/>
        <v>0</v>
      </c>
      <c r="AP233">
        <f t="shared" si="60"/>
        <v>0</v>
      </c>
      <c r="BL233" s="9">
        <f t="shared" si="55"/>
        <v>110000</v>
      </c>
      <c r="BM233" s="9">
        <f t="shared" si="56"/>
      </c>
      <c r="BN233" s="9">
        <f t="shared" si="57"/>
        <v>110000</v>
      </c>
      <c r="BU233" s="9"/>
      <c r="BV233" s="9"/>
      <c r="BW233" s="9"/>
      <c r="BX233" s="9"/>
    </row>
    <row r="234" spans="1:76" ht="12.75">
      <c r="A234" s="59">
        <f t="shared" si="61"/>
        <v>179</v>
      </c>
      <c r="B234" s="56" t="s">
        <v>97</v>
      </c>
      <c r="C234" s="56">
        <v>2006</v>
      </c>
      <c r="D234" s="90">
        <v>75000</v>
      </c>
      <c r="E234" s="91" t="s">
        <v>108</v>
      </c>
      <c r="F234" s="92">
        <v>0.69</v>
      </c>
      <c r="G234" s="63"/>
      <c r="H234">
        <f t="shared" si="68"/>
      </c>
      <c r="I234">
        <f t="shared" si="68"/>
      </c>
      <c r="J234">
        <f t="shared" si="68"/>
      </c>
      <c r="K234">
        <f t="shared" si="68"/>
      </c>
      <c r="L234">
        <f t="shared" si="68"/>
      </c>
      <c r="M234">
        <f t="shared" si="68"/>
      </c>
      <c r="N234">
        <f t="shared" si="68"/>
      </c>
      <c r="O234">
        <f t="shared" si="68"/>
      </c>
      <c r="P234">
        <f t="shared" si="68"/>
        <v>75000</v>
      </c>
      <c r="Q234">
        <f t="shared" si="68"/>
      </c>
      <c r="R234" s="9">
        <f t="shared" si="58"/>
        <v>75000</v>
      </c>
      <c r="T234">
        <f t="shared" si="59"/>
      </c>
      <c r="U234">
        <f t="shared" si="69"/>
        <v>75000</v>
      </c>
      <c r="V234">
        <f t="shared" si="69"/>
      </c>
      <c r="W234">
        <f t="shared" si="69"/>
      </c>
      <c r="X234">
        <f t="shared" si="69"/>
      </c>
      <c r="Y234">
        <f t="shared" si="69"/>
      </c>
      <c r="Z234">
        <f t="shared" si="69"/>
      </c>
      <c r="AA234">
        <f t="shared" si="69"/>
      </c>
      <c r="AB234">
        <f t="shared" si="69"/>
      </c>
      <c r="AC234">
        <f t="shared" si="69"/>
      </c>
      <c r="AD234">
        <f t="shared" si="69"/>
      </c>
      <c r="AE234">
        <f t="shared" si="53"/>
      </c>
      <c r="AF234" s="9">
        <f t="shared" si="54"/>
        <v>75000</v>
      </c>
      <c r="AG234">
        <f t="shared" si="63"/>
        <v>0</v>
      </c>
      <c r="AH234">
        <f t="shared" si="63"/>
        <v>0</v>
      </c>
      <c r="AI234">
        <f t="shared" si="63"/>
        <v>0</v>
      </c>
      <c r="AJ234">
        <f t="shared" si="63"/>
        <v>0</v>
      </c>
      <c r="AK234">
        <f t="shared" si="63"/>
        <v>0</v>
      </c>
      <c r="AL234">
        <f t="shared" si="63"/>
        <v>0</v>
      </c>
      <c r="AM234">
        <f t="shared" si="63"/>
        <v>0</v>
      </c>
      <c r="AN234">
        <f t="shared" si="63"/>
        <v>1</v>
      </c>
      <c r="AO234">
        <f t="shared" si="63"/>
        <v>0</v>
      </c>
      <c r="AP234">
        <f t="shared" si="60"/>
        <v>1</v>
      </c>
      <c r="BL234" s="9">
        <f t="shared" si="55"/>
        <v>71152.68750644795</v>
      </c>
      <c r="BM234" s="9">
        <f t="shared" si="56"/>
        <v>71152.68750644795</v>
      </c>
      <c r="BN234" s="9">
        <f t="shared" si="57"/>
      </c>
      <c r="BU234" s="9"/>
      <c r="BV234" s="9"/>
      <c r="BW234" s="9"/>
      <c r="BX234" s="9"/>
    </row>
    <row r="235" spans="1:76" ht="12.75">
      <c r="A235" s="59">
        <f t="shared" si="61"/>
        <v>180</v>
      </c>
      <c r="B235" s="56" t="s">
        <v>97</v>
      </c>
      <c r="C235" s="56">
        <v>2006</v>
      </c>
      <c r="D235" s="90">
        <v>85000</v>
      </c>
      <c r="E235" s="91"/>
      <c r="F235" s="91"/>
      <c r="G235" s="66"/>
      <c r="H235">
        <f t="shared" si="68"/>
      </c>
      <c r="I235">
        <f t="shared" si="68"/>
      </c>
      <c r="J235">
        <f t="shared" si="68"/>
      </c>
      <c r="K235">
        <f t="shared" si="68"/>
      </c>
      <c r="L235">
        <f t="shared" si="68"/>
      </c>
      <c r="M235">
        <f t="shared" si="68"/>
      </c>
      <c r="N235">
        <f t="shared" si="68"/>
      </c>
      <c r="O235">
        <f t="shared" si="68"/>
      </c>
      <c r="P235">
        <f t="shared" si="68"/>
        <v>85000</v>
      </c>
      <c r="Q235">
        <f t="shared" si="68"/>
      </c>
      <c r="R235" s="9">
        <f t="shared" si="58"/>
        <v>85000</v>
      </c>
      <c r="T235">
        <f t="shared" si="59"/>
      </c>
      <c r="U235">
        <f t="shared" si="69"/>
        <v>85000</v>
      </c>
      <c r="V235">
        <f t="shared" si="69"/>
      </c>
      <c r="W235">
        <f t="shared" si="69"/>
      </c>
      <c r="X235">
        <f t="shared" si="69"/>
      </c>
      <c r="Y235">
        <f t="shared" si="69"/>
      </c>
      <c r="Z235">
        <f t="shared" si="69"/>
      </c>
      <c r="AA235">
        <f t="shared" si="69"/>
      </c>
      <c r="AB235">
        <f t="shared" si="69"/>
      </c>
      <c r="AC235">
        <f t="shared" si="69"/>
      </c>
      <c r="AD235">
        <f t="shared" si="69"/>
      </c>
      <c r="AE235">
        <f t="shared" si="53"/>
      </c>
      <c r="AF235" s="9">
        <f t="shared" si="54"/>
        <v>85000</v>
      </c>
      <c r="AG235">
        <f t="shared" si="63"/>
        <v>0</v>
      </c>
      <c r="AH235">
        <f t="shared" si="63"/>
        <v>0</v>
      </c>
      <c r="AI235">
        <f t="shared" si="63"/>
        <v>0</v>
      </c>
      <c r="AJ235">
        <f t="shared" si="63"/>
        <v>0</v>
      </c>
      <c r="AK235">
        <f t="shared" si="63"/>
        <v>0</v>
      </c>
      <c r="AL235">
        <f t="shared" si="63"/>
        <v>0</v>
      </c>
      <c r="AM235">
        <f t="shared" si="63"/>
        <v>0</v>
      </c>
      <c r="AN235">
        <f t="shared" si="63"/>
        <v>1</v>
      </c>
      <c r="AO235">
        <f t="shared" si="63"/>
        <v>0</v>
      </c>
      <c r="AP235">
        <f t="shared" si="60"/>
        <v>1</v>
      </c>
      <c r="BL235" s="9">
        <f t="shared" si="55"/>
        <v>81152.68750644795</v>
      </c>
      <c r="BM235" s="9">
        <f t="shared" si="56"/>
        <v>81152.68750644795</v>
      </c>
      <c r="BN235" s="9">
        <f t="shared" si="57"/>
      </c>
      <c r="BU235" s="9"/>
      <c r="BV235" s="9"/>
      <c r="BW235" s="9"/>
      <c r="BX235" s="9"/>
    </row>
    <row r="236" spans="1:76" ht="12.75">
      <c r="A236" s="59">
        <f t="shared" si="61"/>
        <v>181</v>
      </c>
      <c r="B236" s="56" t="s">
        <v>97</v>
      </c>
      <c r="C236" s="56">
        <v>2006</v>
      </c>
      <c r="D236" s="90">
        <v>70000</v>
      </c>
      <c r="E236" s="91"/>
      <c r="F236" s="91"/>
      <c r="G236" s="66"/>
      <c r="H236">
        <f t="shared" si="68"/>
      </c>
      <c r="I236">
        <f t="shared" si="68"/>
      </c>
      <c r="J236">
        <f t="shared" si="68"/>
      </c>
      <c r="K236">
        <f t="shared" si="68"/>
      </c>
      <c r="L236">
        <f t="shared" si="68"/>
      </c>
      <c r="M236">
        <f t="shared" si="68"/>
      </c>
      <c r="N236">
        <f t="shared" si="68"/>
      </c>
      <c r="O236">
        <f t="shared" si="68"/>
      </c>
      <c r="P236">
        <f t="shared" si="68"/>
        <v>70000</v>
      </c>
      <c r="Q236">
        <f t="shared" si="68"/>
      </c>
      <c r="R236" s="9">
        <f t="shared" si="58"/>
        <v>70000</v>
      </c>
      <c r="T236">
        <f t="shared" si="59"/>
      </c>
      <c r="U236">
        <f t="shared" si="69"/>
        <v>70000</v>
      </c>
      <c r="V236">
        <f t="shared" si="69"/>
      </c>
      <c r="W236">
        <f t="shared" si="69"/>
      </c>
      <c r="X236">
        <f t="shared" si="69"/>
      </c>
      <c r="Y236">
        <f t="shared" si="69"/>
      </c>
      <c r="Z236">
        <f t="shared" si="69"/>
      </c>
      <c r="AA236">
        <f t="shared" si="69"/>
      </c>
      <c r="AB236">
        <f t="shared" si="69"/>
      </c>
      <c r="AC236">
        <f t="shared" si="69"/>
      </c>
      <c r="AD236">
        <f t="shared" si="69"/>
      </c>
      <c r="AE236">
        <f t="shared" si="53"/>
      </c>
      <c r="AF236" s="9">
        <f t="shared" si="54"/>
        <v>70000</v>
      </c>
      <c r="AG236">
        <f t="shared" si="63"/>
        <v>0</v>
      </c>
      <c r="AH236">
        <f t="shared" si="63"/>
        <v>0</v>
      </c>
      <c r="AI236">
        <f t="shared" si="63"/>
        <v>0</v>
      </c>
      <c r="AJ236">
        <f t="shared" si="63"/>
        <v>0</v>
      </c>
      <c r="AK236">
        <f t="shared" si="63"/>
        <v>0</v>
      </c>
      <c r="AL236">
        <f t="shared" si="63"/>
        <v>0</v>
      </c>
      <c r="AM236">
        <f t="shared" si="63"/>
        <v>0</v>
      </c>
      <c r="AN236">
        <f t="shared" si="63"/>
        <v>1</v>
      </c>
      <c r="AO236">
        <f t="shared" si="63"/>
        <v>0</v>
      </c>
      <c r="AP236">
        <f t="shared" si="60"/>
        <v>1</v>
      </c>
      <c r="BL236" s="9">
        <f t="shared" si="55"/>
        <v>66152.68750644795</v>
      </c>
      <c r="BM236" s="9">
        <f t="shared" si="56"/>
        <v>66152.68750644795</v>
      </c>
      <c r="BN236" s="9">
        <f t="shared" si="57"/>
      </c>
      <c r="BU236" s="9"/>
      <c r="BV236" s="9"/>
      <c r="BW236" s="9"/>
      <c r="BX236" s="9"/>
    </row>
    <row r="237" spans="1:76" ht="12.75">
      <c r="A237" s="59">
        <f t="shared" si="61"/>
        <v>182</v>
      </c>
      <c r="B237" s="56" t="s">
        <v>97</v>
      </c>
      <c r="C237" s="56">
        <v>2006</v>
      </c>
      <c r="D237" s="90">
        <v>120000</v>
      </c>
      <c r="E237" s="91"/>
      <c r="F237" s="91"/>
      <c r="G237" s="66"/>
      <c r="H237">
        <f t="shared" si="68"/>
      </c>
      <c r="I237">
        <f t="shared" si="68"/>
      </c>
      <c r="J237">
        <f t="shared" si="68"/>
      </c>
      <c r="K237">
        <f t="shared" si="68"/>
      </c>
      <c r="L237">
        <f t="shared" si="68"/>
      </c>
      <c r="M237">
        <f t="shared" si="68"/>
      </c>
      <c r="N237">
        <f t="shared" si="68"/>
      </c>
      <c r="O237">
        <f t="shared" si="68"/>
      </c>
      <c r="P237">
        <f t="shared" si="68"/>
        <v>120000</v>
      </c>
      <c r="Q237">
        <f t="shared" si="68"/>
      </c>
      <c r="R237" s="9">
        <f t="shared" si="58"/>
        <v>120000</v>
      </c>
      <c r="T237">
        <f t="shared" si="59"/>
      </c>
      <c r="U237">
        <f t="shared" si="69"/>
        <v>120000</v>
      </c>
      <c r="V237">
        <f t="shared" si="69"/>
      </c>
      <c r="W237">
        <f t="shared" si="69"/>
      </c>
      <c r="X237">
        <f t="shared" si="69"/>
      </c>
      <c r="Y237">
        <f t="shared" si="69"/>
      </c>
      <c r="Z237">
        <f t="shared" si="69"/>
      </c>
      <c r="AA237">
        <f t="shared" si="69"/>
      </c>
      <c r="AB237">
        <f t="shared" si="69"/>
      </c>
      <c r="AC237">
        <f t="shared" si="69"/>
      </c>
      <c r="AD237">
        <f t="shared" si="69"/>
      </c>
      <c r="AE237">
        <f t="shared" si="53"/>
      </c>
      <c r="AF237" s="9">
        <f t="shared" si="54"/>
        <v>120000</v>
      </c>
      <c r="AG237">
        <f t="shared" si="63"/>
        <v>0</v>
      </c>
      <c r="AH237">
        <f t="shared" si="63"/>
        <v>0</v>
      </c>
      <c r="AI237">
        <f t="shared" si="63"/>
        <v>0</v>
      </c>
      <c r="AJ237">
        <f t="shared" si="63"/>
        <v>0</v>
      </c>
      <c r="AK237">
        <f t="shared" si="63"/>
        <v>0</v>
      </c>
      <c r="AL237">
        <f t="shared" si="63"/>
        <v>0</v>
      </c>
      <c r="AM237">
        <f t="shared" si="63"/>
        <v>0</v>
      </c>
      <c r="AN237">
        <f t="shared" si="63"/>
        <v>1</v>
      </c>
      <c r="AO237">
        <f t="shared" si="63"/>
        <v>0</v>
      </c>
      <c r="AP237">
        <f t="shared" si="60"/>
        <v>1</v>
      </c>
      <c r="BL237" s="9">
        <f t="shared" si="55"/>
        <v>116152.68750644795</v>
      </c>
      <c r="BM237" s="9">
        <f t="shared" si="56"/>
      </c>
      <c r="BN237" s="9">
        <f t="shared" si="57"/>
        <v>116152.68750644795</v>
      </c>
      <c r="BU237" s="9"/>
      <c r="BV237" s="9"/>
      <c r="BW237" s="9"/>
      <c r="BX237" s="9"/>
    </row>
    <row r="238" spans="1:76" ht="12.75">
      <c r="A238" s="59">
        <f t="shared" si="61"/>
        <v>183</v>
      </c>
      <c r="B238" s="56" t="s">
        <v>97</v>
      </c>
      <c r="C238" s="56">
        <v>2006</v>
      </c>
      <c r="D238" s="90">
        <v>130000</v>
      </c>
      <c r="E238" s="91"/>
      <c r="F238" s="91"/>
      <c r="G238" s="66"/>
      <c r="H238">
        <f t="shared" si="68"/>
      </c>
      <c r="I238">
        <f t="shared" si="68"/>
      </c>
      <c r="J238">
        <f t="shared" si="68"/>
      </c>
      <c r="K238">
        <f t="shared" si="68"/>
      </c>
      <c r="L238">
        <f t="shared" si="68"/>
      </c>
      <c r="M238">
        <f t="shared" si="68"/>
      </c>
      <c r="N238">
        <f t="shared" si="68"/>
      </c>
      <c r="O238">
        <f t="shared" si="68"/>
      </c>
      <c r="P238">
        <f t="shared" si="68"/>
        <v>130000</v>
      </c>
      <c r="Q238">
        <f t="shared" si="68"/>
      </c>
      <c r="R238" s="9">
        <f t="shared" si="58"/>
        <v>130000</v>
      </c>
      <c r="T238">
        <f t="shared" si="59"/>
      </c>
      <c r="U238">
        <f t="shared" si="69"/>
        <v>130000</v>
      </c>
      <c r="V238">
        <f t="shared" si="69"/>
      </c>
      <c r="W238">
        <f t="shared" si="69"/>
      </c>
      <c r="X238">
        <f t="shared" si="69"/>
      </c>
      <c r="Y238">
        <f t="shared" si="69"/>
      </c>
      <c r="Z238">
        <f t="shared" si="69"/>
      </c>
      <c r="AA238">
        <f t="shared" si="69"/>
      </c>
      <c r="AB238">
        <f t="shared" si="69"/>
      </c>
      <c r="AC238">
        <f t="shared" si="69"/>
      </c>
      <c r="AD238">
        <f t="shared" si="69"/>
      </c>
      <c r="AE238">
        <f t="shared" si="53"/>
      </c>
      <c r="AF238" s="9">
        <f t="shared" si="54"/>
        <v>130000</v>
      </c>
      <c r="AG238">
        <f t="shared" si="63"/>
        <v>0</v>
      </c>
      <c r="AH238">
        <f t="shared" si="63"/>
        <v>0</v>
      </c>
      <c r="AI238">
        <f t="shared" si="63"/>
        <v>0</v>
      </c>
      <c r="AJ238">
        <f t="shared" si="63"/>
        <v>0</v>
      </c>
      <c r="AK238">
        <f t="shared" si="63"/>
        <v>0</v>
      </c>
      <c r="AL238">
        <f t="shared" si="63"/>
        <v>0</v>
      </c>
      <c r="AM238">
        <f t="shared" si="63"/>
        <v>0</v>
      </c>
      <c r="AN238">
        <f t="shared" si="63"/>
        <v>1</v>
      </c>
      <c r="AO238">
        <f t="shared" si="63"/>
        <v>0</v>
      </c>
      <c r="AP238">
        <f t="shared" si="60"/>
        <v>1</v>
      </c>
      <c r="BL238" s="9">
        <f t="shared" si="55"/>
        <v>126152.68750644795</v>
      </c>
      <c r="BM238" s="9">
        <f t="shared" si="56"/>
      </c>
      <c r="BN238" s="9">
        <f t="shared" si="57"/>
        <v>126152.68750644795</v>
      </c>
      <c r="BU238" s="9"/>
      <c r="BV238" s="9"/>
      <c r="BW238" s="9"/>
      <c r="BX238" s="9"/>
    </row>
    <row r="239" spans="1:76" ht="12.75">
      <c r="A239" s="59">
        <f t="shared" si="61"/>
        <v>184</v>
      </c>
      <c r="B239" s="56" t="s">
        <v>97</v>
      </c>
      <c r="C239" s="56">
        <v>2006</v>
      </c>
      <c r="D239" s="90">
        <v>110000</v>
      </c>
      <c r="E239" s="91"/>
      <c r="F239" s="91"/>
      <c r="G239" s="66"/>
      <c r="H239">
        <f t="shared" si="68"/>
      </c>
      <c r="I239">
        <f t="shared" si="68"/>
      </c>
      <c r="J239">
        <f t="shared" si="68"/>
      </c>
      <c r="K239">
        <f t="shared" si="68"/>
      </c>
      <c r="L239">
        <f t="shared" si="68"/>
      </c>
      <c r="M239">
        <f t="shared" si="68"/>
      </c>
      <c r="N239">
        <f t="shared" si="68"/>
      </c>
      <c r="O239">
        <f t="shared" si="68"/>
      </c>
      <c r="P239">
        <f t="shared" si="68"/>
        <v>110000</v>
      </c>
      <c r="Q239">
        <f t="shared" si="68"/>
      </c>
      <c r="R239" s="9">
        <f t="shared" si="58"/>
        <v>110000</v>
      </c>
      <c r="T239">
        <f t="shared" si="59"/>
      </c>
      <c r="U239">
        <f t="shared" si="69"/>
        <v>110000</v>
      </c>
      <c r="V239">
        <f t="shared" si="69"/>
      </c>
      <c r="W239">
        <f t="shared" si="69"/>
      </c>
      <c r="X239">
        <f t="shared" si="69"/>
      </c>
      <c r="Y239">
        <f t="shared" si="69"/>
      </c>
      <c r="Z239">
        <f t="shared" si="69"/>
      </c>
      <c r="AA239">
        <f t="shared" si="69"/>
      </c>
      <c r="AB239">
        <f t="shared" si="69"/>
      </c>
      <c r="AC239">
        <f t="shared" si="69"/>
      </c>
      <c r="AD239">
        <f t="shared" si="69"/>
      </c>
      <c r="AE239">
        <f t="shared" si="53"/>
      </c>
      <c r="AF239" s="9">
        <f t="shared" si="54"/>
        <v>110000</v>
      </c>
      <c r="AG239">
        <f t="shared" si="63"/>
        <v>0</v>
      </c>
      <c r="AH239">
        <f t="shared" si="63"/>
        <v>0</v>
      </c>
      <c r="AI239">
        <f t="shared" si="63"/>
        <v>0</v>
      </c>
      <c r="AJ239">
        <f t="shared" si="63"/>
        <v>0</v>
      </c>
      <c r="AK239">
        <f t="shared" si="63"/>
        <v>0</v>
      </c>
      <c r="AL239">
        <f t="shared" si="63"/>
        <v>0</v>
      </c>
      <c r="AM239">
        <f t="shared" si="63"/>
        <v>0</v>
      </c>
      <c r="AN239">
        <f t="shared" si="63"/>
        <v>1</v>
      </c>
      <c r="AO239">
        <f t="shared" si="63"/>
        <v>0</v>
      </c>
      <c r="AP239">
        <f t="shared" si="60"/>
        <v>1</v>
      </c>
      <c r="BL239" s="9">
        <f t="shared" si="55"/>
        <v>106152.68750644795</v>
      </c>
      <c r="BM239" s="9">
        <f t="shared" si="56"/>
      </c>
      <c r="BN239" s="9">
        <f t="shared" si="57"/>
        <v>106152.68750644795</v>
      </c>
      <c r="BU239" s="9"/>
      <c r="BV239" s="9"/>
      <c r="BW239" s="9"/>
      <c r="BX239" s="9"/>
    </row>
    <row r="240" spans="1:76" ht="12.75">
      <c r="A240" s="59">
        <f t="shared" si="61"/>
        <v>185</v>
      </c>
      <c r="B240" s="56" t="s">
        <v>97</v>
      </c>
      <c r="C240" s="56">
        <v>2006</v>
      </c>
      <c r="D240" s="90">
        <v>110000</v>
      </c>
      <c r="E240" s="91"/>
      <c r="F240" s="91"/>
      <c r="G240" s="66"/>
      <c r="H240">
        <f t="shared" si="68"/>
      </c>
      <c r="I240">
        <f t="shared" si="68"/>
      </c>
      <c r="J240">
        <f t="shared" si="68"/>
      </c>
      <c r="K240">
        <f t="shared" si="68"/>
      </c>
      <c r="L240">
        <f t="shared" si="68"/>
      </c>
      <c r="M240">
        <f t="shared" si="68"/>
      </c>
      <c r="N240">
        <f t="shared" si="68"/>
      </c>
      <c r="O240">
        <f t="shared" si="68"/>
      </c>
      <c r="P240">
        <f t="shared" si="68"/>
        <v>110000</v>
      </c>
      <c r="Q240">
        <f t="shared" si="68"/>
      </c>
      <c r="R240" s="9">
        <f t="shared" si="58"/>
        <v>110000</v>
      </c>
      <c r="T240">
        <f t="shared" si="59"/>
      </c>
      <c r="U240">
        <f t="shared" si="69"/>
        <v>110000</v>
      </c>
      <c r="V240">
        <f t="shared" si="69"/>
      </c>
      <c r="W240">
        <f t="shared" si="69"/>
      </c>
      <c r="X240">
        <f t="shared" si="69"/>
      </c>
      <c r="Y240">
        <f t="shared" si="69"/>
      </c>
      <c r="Z240">
        <f t="shared" si="69"/>
      </c>
      <c r="AA240">
        <f t="shared" si="69"/>
      </c>
      <c r="AB240">
        <f t="shared" si="69"/>
      </c>
      <c r="AC240">
        <f t="shared" si="69"/>
      </c>
      <c r="AD240">
        <f t="shared" si="69"/>
      </c>
      <c r="AE240">
        <f t="shared" si="53"/>
      </c>
      <c r="AF240" s="9">
        <f t="shared" si="54"/>
        <v>110000</v>
      </c>
      <c r="AG240">
        <f t="shared" si="63"/>
        <v>0</v>
      </c>
      <c r="AH240">
        <f t="shared" si="63"/>
        <v>0</v>
      </c>
      <c r="AI240">
        <f aca="true" t="shared" si="70" ref="AH240:AO268">IF($B240=AI$55,1,0)</f>
        <v>0</v>
      </c>
      <c r="AJ240">
        <f t="shared" si="70"/>
        <v>0</v>
      </c>
      <c r="AK240">
        <f t="shared" si="70"/>
        <v>0</v>
      </c>
      <c r="AL240">
        <f t="shared" si="70"/>
        <v>0</v>
      </c>
      <c r="AM240">
        <f t="shared" si="70"/>
        <v>0</v>
      </c>
      <c r="AN240">
        <f t="shared" si="70"/>
        <v>1</v>
      </c>
      <c r="AO240">
        <f t="shared" si="70"/>
        <v>0</v>
      </c>
      <c r="AP240">
        <f t="shared" si="60"/>
        <v>1</v>
      </c>
      <c r="BL240" s="9">
        <f t="shared" si="55"/>
        <v>106152.68750644795</v>
      </c>
      <c r="BM240" s="9">
        <f t="shared" si="56"/>
      </c>
      <c r="BN240" s="9">
        <f t="shared" si="57"/>
        <v>106152.68750644795</v>
      </c>
      <c r="BU240" s="9"/>
      <c r="BV240" s="9"/>
      <c r="BW240" s="9"/>
      <c r="BX240" s="9"/>
    </row>
    <row r="241" spans="1:76" ht="12.75">
      <c r="A241" s="59">
        <f t="shared" si="61"/>
        <v>186</v>
      </c>
      <c r="B241" s="56" t="s">
        <v>97</v>
      </c>
      <c r="C241" s="56">
        <v>2006</v>
      </c>
      <c r="D241" s="90">
        <v>110000</v>
      </c>
      <c r="E241" s="91"/>
      <c r="F241" s="91"/>
      <c r="G241" s="66"/>
      <c r="H241">
        <f t="shared" si="68"/>
      </c>
      <c r="I241">
        <f t="shared" si="68"/>
      </c>
      <c r="J241">
        <f t="shared" si="68"/>
      </c>
      <c r="K241">
        <f t="shared" si="68"/>
      </c>
      <c r="L241">
        <f t="shared" si="68"/>
      </c>
      <c r="M241">
        <f t="shared" si="68"/>
      </c>
      <c r="N241">
        <f t="shared" si="68"/>
      </c>
      <c r="O241">
        <f t="shared" si="68"/>
      </c>
      <c r="P241">
        <f t="shared" si="68"/>
        <v>110000</v>
      </c>
      <c r="Q241">
        <f t="shared" si="68"/>
      </c>
      <c r="R241" s="9">
        <f t="shared" si="58"/>
        <v>110000</v>
      </c>
      <c r="T241">
        <f t="shared" si="59"/>
      </c>
      <c r="U241">
        <f t="shared" si="69"/>
        <v>110000</v>
      </c>
      <c r="V241">
        <f t="shared" si="69"/>
      </c>
      <c r="W241">
        <f t="shared" si="69"/>
      </c>
      <c r="X241">
        <f t="shared" si="69"/>
      </c>
      <c r="Y241">
        <f t="shared" si="69"/>
      </c>
      <c r="Z241">
        <f t="shared" si="69"/>
      </c>
      <c r="AA241">
        <f t="shared" si="69"/>
      </c>
      <c r="AB241">
        <f t="shared" si="69"/>
      </c>
      <c r="AC241">
        <f t="shared" si="69"/>
      </c>
      <c r="AD241">
        <f t="shared" si="69"/>
      </c>
      <c r="AE241">
        <f t="shared" si="53"/>
      </c>
      <c r="AF241" s="9">
        <f t="shared" si="54"/>
        <v>110000</v>
      </c>
      <c r="AG241">
        <f aca="true" t="shared" si="71" ref="AG241:AO294">IF($B241=AG$55,1,0)</f>
        <v>0</v>
      </c>
      <c r="AH241">
        <f t="shared" si="70"/>
        <v>0</v>
      </c>
      <c r="AI241">
        <f t="shared" si="70"/>
        <v>0</v>
      </c>
      <c r="AJ241">
        <f t="shared" si="70"/>
        <v>0</v>
      </c>
      <c r="AK241">
        <f t="shared" si="70"/>
        <v>0</v>
      </c>
      <c r="AL241">
        <f t="shared" si="70"/>
        <v>0</v>
      </c>
      <c r="AM241">
        <f t="shared" si="70"/>
        <v>0</v>
      </c>
      <c r="AN241">
        <f t="shared" si="70"/>
        <v>1</v>
      </c>
      <c r="AO241">
        <f t="shared" si="70"/>
        <v>0</v>
      </c>
      <c r="AP241">
        <f t="shared" si="60"/>
        <v>1</v>
      </c>
      <c r="BL241" s="9">
        <f t="shared" si="55"/>
        <v>106152.68750644795</v>
      </c>
      <c r="BM241" s="9">
        <f t="shared" si="56"/>
      </c>
      <c r="BN241" s="9">
        <f t="shared" si="57"/>
        <v>106152.68750644795</v>
      </c>
      <c r="BU241" s="9"/>
      <c r="BV241" s="9"/>
      <c r="BW241" s="9"/>
      <c r="BX241" s="9"/>
    </row>
    <row r="242" spans="1:76" ht="12.75">
      <c r="A242" s="59">
        <f t="shared" si="61"/>
        <v>187</v>
      </c>
      <c r="B242" s="56" t="s">
        <v>97</v>
      </c>
      <c r="C242" s="56">
        <v>2006</v>
      </c>
      <c r="D242" s="90">
        <v>110000</v>
      </c>
      <c r="E242" s="91"/>
      <c r="F242" s="91"/>
      <c r="G242" s="66"/>
      <c r="H242">
        <f t="shared" si="68"/>
      </c>
      <c r="I242">
        <f t="shared" si="68"/>
      </c>
      <c r="J242">
        <f t="shared" si="68"/>
      </c>
      <c r="K242">
        <f t="shared" si="68"/>
      </c>
      <c r="L242">
        <f t="shared" si="68"/>
      </c>
      <c r="M242">
        <f t="shared" si="68"/>
      </c>
      <c r="N242">
        <f t="shared" si="68"/>
      </c>
      <c r="O242">
        <f t="shared" si="68"/>
      </c>
      <c r="P242">
        <f t="shared" si="68"/>
        <v>110000</v>
      </c>
      <c r="Q242">
        <f t="shared" si="68"/>
      </c>
      <c r="R242" s="9">
        <f t="shared" si="58"/>
        <v>110000</v>
      </c>
      <c r="T242">
        <f t="shared" si="59"/>
      </c>
      <c r="U242">
        <f t="shared" si="69"/>
        <v>110000</v>
      </c>
      <c r="V242">
        <f t="shared" si="69"/>
      </c>
      <c r="W242">
        <f t="shared" si="69"/>
      </c>
      <c r="X242">
        <f t="shared" si="69"/>
      </c>
      <c r="Y242">
        <f t="shared" si="69"/>
      </c>
      <c r="Z242">
        <f t="shared" si="69"/>
      </c>
      <c r="AA242">
        <f t="shared" si="69"/>
      </c>
      <c r="AB242">
        <f t="shared" si="69"/>
      </c>
      <c r="AC242">
        <f t="shared" si="69"/>
      </c>
      <c r="AD242">
        <f t="shared" si="69"/>
      </c>
      <c r="AE242">
        <f t="shared" si="53"/>
      </c>
      <c r="AF242" s="9">
        <f t="shared" si="54"/>
        <v>110000</v>
      </c>
      <c r="AG242">
        <f t="shared" si="71"/>
        <v>0</v>
      </c>
      <c r="AH242">
        <f t="shared" si="70"/>
        <v>0</v>
      </c>
      <c r="AI242">
        <f t="shared" si="70"/>
        <v>0</v>
      </c>
      <c r="AJ242">
        <f t="shared" si="70"/>
        <v>0</v>
      </c>
      <c r="AK242">
        <f t="shared" si="70"/>
        <v>0</v>
      </c>
      <c r="AL242">
        <f t="shared" si="70"/>
        <v>0</v>
      </c>
      <c r="AM242">
        <f t="shared" si="70"/>
        <v>0</v>
      </c>
      <c r="AN242">
        <f t="shared" si="70"/>
        <v>1</v>
      </c>
      <c r="AO242">
        <f t="shared" si="70"/>
        <v>0</v>
      </c>
      <c r="AP242">
        <f t="shared" si="60"/>
        <v>1</v>
      </c>
      <c r="BL242" s="9">
        <f t="shared" si="55"/>
        <v>106152.68750644795</v>
      </c>
      <c r="BM242" s="9">
        <f t="shared" si="56"/>
      </c>
      <c r="BN242" s="9">
        <f t="shared" si="57"/>
        <v>106152.68750644795</v>
      </c>
      <c r="BU242" s="9"/>
      <c r="BV242" s="9"/>
      <c r="BW242" s="9"/>
      <c r="BX242" s="9"/>
    </row>
    <row r="243" spans="1:76" ht="12.75">
      <c r="A243" s="59">
        <f t="shared" si="61"/>
        <v>188</v>
      </c>
      <c r="B243" s="56" t="s">
        <v>97</v>
      </c>
      <c r="C243" s="56">
        <v>2006</v>
      </c>
      <c r="D243" s="90">
        <v>180000</v>
      </c>
      <c r="E243" s="91"/>
      <c r="F243" s="91"/>
      <c r="G243" s="66"/>
      <c r="H243">
        <f t="shared" si="68"/>
      </c>
      <c r="I243">
        <f t="shared" si="68"/>
      </c>
      <c r="J243">
        <f t="shared" si="68"/>
      </c>
      <c r="K243">
        <f t="shared" si="68"/>
      </c>
      <c r="L243">
        <f t="shared" si="68"/>
      </c>
      <c r="M243">
        <f t="shared" si="68"/>
      </c>
      <c r="N243">
        <f t="shared" si="68"/>
      </c>
      <c r="O243">
        <f t="shared" si="68"/>
      </c>
      <c r="P243">
        <f t="shared" si="68"/>
        <v>180000</v>
      </c>
      <c r="Q243">
        <f t="shared" si="68"/>
      </c>
      <c r="R243" s="9">
        <f t="shared" si="58"/>
        <v>180000</v>
      </c>
      <c r="T243">
        <f t="shared" si="59"/>
      </c>
      <c r="U243">
        <f t="shared" si="69"/>
        <v>180000</v>
      </c>
      <c r="V243">
        <f t="shared" si="69"/>
      </c>
      <c r="W243">
        <f t="shared" si="69"/>
      </c>
      <c r="X243">
        <f t="shared" si="69"/>
      </c>
      <c r="Y243">
        <f t="shared" si="69"/>
      </c>
      <c r="Z243">
        <f t="shared" si="69"/>
      </c>
      <c r="AA243">
        <f t="shared" si="69"/>
      </c>
      <c r="AB243">
        <f t="shared" si="69"/>
      </c>
      <c r="AC243">
        <f t="shared" si="69"/>
      </c>
      <c r="AD243">
        <f t="shared" si="69"/>
      </c>
      <c r="AE243">
        <f t="shared" si="53"/>
      </c>
      <c r="AF243" s="9">
        <f t="shared" si="54"/>
        <v>180000</v>
      </c>
      <c r="AG243">
        <f t="shared" si="71"/>
        <v>0</v>
      </c>
      <c r="AH243">
        <f t="shared" si="70"/>
        <v>0</v>
      </c>
      <c r="AI243">
        <f t="shared" si="70"/>
        <v>0</v>
      </c>
      <c r="AJ243">
        <f t="shared" si="70"/>
        <v>0</v>
      </c>
      <c r="AK243">
        <f t="shared" si="70"/>
        <v>0</v>
      </c>
      <c r="AL243">
        <f t="shared" si="70"/>
        <v>0</v>
      </c>
      <c r="AM243">
        <f t="shared" si="70"/>
        <v>0</v>
      </c>
      <c r="AN243">
        <f t="shared" si="70"/>
        <v>1</v>
      </c>
      <c r="AO243">
        <f t="shared" si="70"/>
        <v>0</v>
      </c>
      <c r="AP243">
        <f t="shared" si="60"/>
        <v>1</v>
      </c>
      <c r="BL243" s="9">
        <f t="shared" si="55"/>
        <v>176152.68750644795</v>
      </c>
      <c r="BM243" s="9">
        <f t="shared" si="56"/>
      </c>
      <c r="BN243" s="9">
        <f t="shared" si="57"/>
        <v>176152.68750644795</v>
      </c>
      <c r="BU243" s="9"/>
      <c r="BV243" s="9"/>
      <c r="BW243" s="9"/>
      <c r="BX243" s="9"/>
    </row>
    <row r="244" spans="1:76" ht="12.75">
      <c r="A244" s="59">
        <f t="shared" si="61"/>
        <v>189</v>
      </c>
      <c r="B244" s="56" t="s">
        <v>97</v>
      </c>
      <c r="C244" s="56">
        <v>2006</v>
      </c>
      <c r="D244" s="90">
        <v>200000</v>
      </c>
      <c r="E244" s="91"/>
      <c r="F244" s="91"/>
      <c r="G244" s="66"/>
      <c r="H244">
        <f t="shared" si="68"/>
      </c>
      <c r="I244">
        <f t="shared" si="68"/>
      </c>
      <c r="J244">
        <f t="shared" si="68"/>
      </c>
      <c r="K244">
        <f t="shared" si="68"/>
      </c>
      <c r="L244">
        <f t="shared" si="68"/>
      </c>
      <c r="M244">
        <f t="shared" si="68"/>
      </c>
      <c r="N244">
        <f t="shared" si="68"/>
      </c>
      <c r="O244">
        <f t="shared" si="68"/>
      </c>
      <c r="P244">
        <f t="shared" si="68"/>
        <v>200000</v>
      </c>
      <c r="Q244">
        <f t="shared" si="68"/>
      </c>
      <c r="R244" s="9">
        <f t="shared" si="58"/>
        <v>200000</v>
      </c>
      <c r="T244">
        <f t="shared" si="59"/>
      </c>
      <c r="U244">
        <f t="shared" si="69"/>
        <v>200000</v>
      </c>
      <c r="V244">
        <f t="shared" si="69"/>
      </c>
      <c r="W244">
        <f t="shared" si="69"/>
      </c>
      <c r="X244">
        <f t="shared" si="69"/>
      </c>
      <c r="Y244">
        <f t="shared" si="69"/>
      </c>
      <c r="Z244">
        <f t="shared" si="69"/>
      </c>
      <c r="AA244">
        <f t="shared" si="69"/>
      </c>
      <c r="AB244">
        <f t="shared" si="69"/>
      </c>
      <c r="AC244">
        <f t="shared" si="69"/>
      </c>
      <c r="AD244">
        <f t="shared" si="69"/>
      </c>
      <c r="AE244">
        <f t="shared" si="53"/>
      </c>
      <c r="AF244" s="9">
        <f t="shared" si="54"/>
        <v>200000</v>
      </c>
      <c r="AG244">
        <f t="shared" si="71"/>
        <v>0</v>
      </c>
      <c r="AH244">
        <f t="shared" si="70"/>
        <v>0</v>
      </c>
      <c r="AI244">
        <f t="shared" si="70"/>
        <v>0</v>
      </c>
      <c r="AJ244">
        <f t="shared" si="70"/>
        <v>0</v>
      </c>
      <c r="AK244">
        <f t="shared" si="70"/>
        <v>0</v>
      </c>
      <c r="AL244">
        <f t="shared" si="70"/>
        <v>0</v>
      </c>
      <c r="AM244">
        <f t="shared" si="70"/>
        <v>0</v>
      </c>
      <c r="AN244">
        <f t="shared" si="70"/>
        <v>1</v>
      </c>
      <c r="AO244">
        <f t="shared" si="70"/>
        <v>0</v>
      </c>
      <c r="AP244">
        <f t="shared" si="60"/>
        <v>1</v>
      </c>
      <c r="BL244" s="9">
        <f t="shared" si="55"/>
        <v>196152.68750644795</v>
      </c>
      <c r="BM244" s="9">
        <f t="shared" si="56"/>
      </c>
      <c r="BN244" s="9">
        <f t="shared" si="57"/>
        <v>196152.68750644795</v>
      </c>
      <c r="BU244" s="9"/>
      <c r="BV244" s="9"/>
      <c r="BW244" s="9"/>
      <c r="BX244" s="9"/>
    </row>
    <row r="245" spans="1:76" ht="12.75">
      <c r="A245" s="59">
        <f t="shared" si="61"/>
        <v>190</v>
      </c>
      <c r="B245" s="56" t="s">
        <v>97</v>
      </c>
      <c r="C245" s="56">
        <v>2006</v>
      </c>
      <c r="D245" s="90">
        <v>150000</v>
      </c>
      <c r="E245" s="91"/>
      <c r="F245" s="91"/>
      <c r="G245" s="66"/>
      <c r="H245">
        <f t="shared" si="68"/>
      </c>
      <c r="I245">
        <f t="shared" si="68"/>
      </c>
      <c r="J245">
        <f t="shared" si="68"/>
      </c>
      <c r="K245">
        <f t="shared" si="68"/>
      </c>
      <c r="L245">
        <f t="shared" si="68"/>
      </c>
      <c r="M245">
        <f t="shared" si="68"/>
      </c>
      <c r="N245">
        <f t="shared" si="68"/>
      </c>
      <c r="O245">
        <f t="shared" si="68"/>
      </c>
      <c r="P245">
        <f t="shared" si="68"/>
        <v>150000</v>
      </c>
      <c r="Q245">
        <f t="shared" si="68"/>
      </c>
      <c r="R245" s="9">
        <f t="shared" si="58"/>
        <v>150000</v>
      </c>
      <c r="T245">
        <f t="shared" si="59"/>
      </c>
      <c r="U245">
        <f t="shared" si="69"/>
        <v>150000</v>
      </c>
      <c r="V245">
        <f t="shared" si="69"/>
      </c>
      <c r="W245">
        <f t="shared" si="69"/>
      </c>
      <c r="X245">
        <f t="shared" si="69"/>
      </c>
      <c r="Y245">
        <f t="shared" si="69"/>
      </c>
      <c r="Z245">
        <f t="shared" si="69"/>
      </c>
      <c r="AA245">
        <f t="shared" si="69"/>
      </c>
      <c r="AB245">
        <f t="shared" si="69"/>
      </c>
      <c r="AC245">
        <f t="shared" si="69"/>
      </c>
      <c r="AD245">
        <f t="shared" si="69"/>
      </c>
      <c r="AE245">
        <f t="shared" si="53"/>
      </c>
      <c r="AF245" s="9">
        <f t="shared" si="54"/>
        <v>150000</v>
      </c>
      <c r="AG245">
        <f t="shared" si="71"/>
        <v>0</v>
      </c>
      <c r="AH245">
        <f t="shared" si="70"/>
        <v>0</v>
      </c>
      <c r="AI245">
        <f t="shared" si="70"/>
        <v>0</v>
      </c>
      <c r="AJ245">
        <f t="shared" si="70"/>
        <v>0</v>
      </c>
      <c r="AK245">
        <f t="shared" si="70"/>
        <v>0</v>
      </c>
      <c r="AL245">
        <f t="shared" si="70"/>
        <v>0</v>
      </c>
      <c r="AM245">
        <f t="shared" si="70"/>
        <v>0</v>
      </c>
      <c r="AN245">
        <f t="shared" si="70"/>
        <v>1</v>
      </c>
      <c r="AO245">
        <f t="shared" si="70"/>
        <v>0</v>
      </c>
      <c r="AP245">
        <f t="shared" si="60"/>
        <v>1</v>
      </c>
      <c r="BL245" s="9">
        <f t="shared" si="55"/>
        <v>146152.68750644795</v>
      </c>
      <c r="BM245" s="9">
        <f t="shared" si="56"/>
      </c>
      <c r="BN245" s="9">
        <f t="shared" si="57"/>
        <v>146152.68750644795</v>
      </c>
      <c r="BU245" s="9"/>
      <c r="BV245" s="9"/>
      <c r="BW245" s="9"/>
      <c r="BX245" s="9"/>
    </row>
    <row r="246" spans="1:76" ht="12.75">
      <c r="A246" s="59">
        <f t="shared" si="61"/>
        <v>191</v>
      </c>
      <c r="B246" s="56" t="s">
        <v>97</v>
      </c>
      <c r="C246" s="56">
        <v>2006</v>
      </c>
      <c r="D246" s="90">
        <v>120000</v>
      </c>
      <c r="E246" s="91"/>
      <c r="F246" s="91"/>
      <c r="G246" s="66"/>
      <c r="H246">
        <f t="shared" si="68"/>
      </c>
      <c r="I246">
        <f t="shared" si="68"/>
      </c>
      <c r="J246">
        <f t="shared" si="68"/>
      </c>
      <c r="K246">
        <f t="shared" si="68"/>
      </c>
      <c r="L246">
        <f t="shared" si="68"/>
      </c>
      <c r="M246">
        <f t="shared" si="68"/>
      </c>
      <c r="N246">
        <f t="shared" si="68"/>
      </c>
      <c r="O246">
        <f t="shared" si="68"/>
      </c>
      <c r="P246">
        <f t="shared" si="68"/>
        <v>120000</v>
      </c>
      <c r="Q246">
        <f t="shared" si="68"/>
      </c>
      <c r="R246" s="9">
        <f t="shared" si="58"/>
        <v>120000</v>
      </c>
      <c r="T246">
        <f t="shared" si="59"/>
      </c>
      <c r="U246">
        <f t="shared" si="69"/>
        <v>120000</v>
      </c>
      <c r="V246">
        <f t="shared" si="69"/>
      </c>
      <c r="W246">
        <f t="shared" si="69"/>
      </c>
      <c r="X246">
        <f t="shared" si="69"/>
      </c>
      <c r="Y246">
        <f t="shared" si="69"/>
      </c>
      <c r="Z246">
        <f t="shared" si="69"/>
      </c>
      <c r="AA246">
        <f t="shared" si="69"/>
      </c>
      <c r="AB246">
        <f t="shared" si="69"/>
      </c>
      <c r="AC246">
        <f t="shared" si="69"/>
      </c>
      <c r="AD246">
        <f t="shared" si="69"/>
      </c>
      <c r="AE246">
        <f t="shared" si="53"/>
      </c>
      <c r="AF246" s="9">
        <f t="shared" si="54"/>
        <v>120000</v>
      </c>
      <c r="AG246">
        <f t="shared" si="71"/>
        <v>0</v>
      </c>
      <c r="AH246">
        <f t="shared" si="70"/>
        <v>0</v>
      </c>
      <c r="AI246">
        <f t="shared" si="70"/>
        <v>0</v>
      </c>
      <c r="AJ246">
        <f t="shared" si="70"/>
        <v>0</v>
      </c>
      <c r="AK246">
        <f t="shared" si="70"/>
        <v>0</v>
      </c>
      <c r="AL246">
        <f t="shared" si="70"/>
        <v>0</v>
      </c>
      <c r="AM246">
        <f t="shared" si="70"/>
        <v>0</v>
      </c>
      <c r="AN246">
        <f t="shared" si="70"/>
        <v>1</v>
      </c>
      <c r="AO246">
        <f t="shared" si="70"/>
        <v>0</v>
      </c>
      <c r="AP246">
        <f t="shared" si="60"/>
        <v>1</v>
      </c>
      <c r="BL246" s="9">
        <f t="shared" si="55"/>
        <v>116152.68750644795</v>
      </c>
      <c r="BM246" s="9">
        <f t="shared" si="56"/>
      </c>
      <c r="BN246" s="9">
        <f t="shared" si="57"/>
        <v>116152.68750644795</v>
      </c>
      <c r="BU246" s="9"/>
      <c r="BV246" s="9"/>
      <c r="BW246" s="9"/>
      <c r="BX246" s="9"/>
    </row>
    <row r="247" spans="1:76" ht="12.75">
      <c r="A247" s="59">
        <f t="shared" si="61"/>
        <v>192</v>
      </c>
      <c r="B247" s="56" t="s">
        <v>97</v>
      </c>
      <c r="C247" s="56">
        <v>2006</v>
      </c>
      <c r="D247" s="90">
        <v>110000</v>
      </c>
      <c r="E247" s="91"/>
      <c r="F247" s="91"/>
      <c r="G247" s="66"/>
      <c r="H247">
        <f t="shared" si="68"/>
      </c>
      <c r="I247">
        <f t="shared" si="68"/>
      </c>
      <c r="J247">
        <f t="shared" si="68"/>
      </c>
      <c r="K247">
        <f t="shared" si="68"/>
      </c>
      <c r="L247">
        <f t="shared" si="68"/>
      </c>
      <c r="M247">
        <f t="shared" si="68"/>
      </c>
      <c r="N247">
        <f t="shared" si="68"/>
      </c>
      <c r="O247">
        <f t="shared" si="68"/>
      </c>
      <c r="P247">
        <f t="shared" si="68"/>
        <v>110000</v>
      </c>
      <c r="Q247">
        <f t="shared" si="68"/>
      </c>
      <c r="R247" s="9">
        <f t="shared" si="58"/>
        <v>110000</v>
      </c>
      <c r="T247">
        <f t="shared" si="59"/>
      </c>
      <c r="U247">
        <f t="shared" si="69"/>
        <v>110000</v>
      </c>
      <c r="V247">
        <f t="shared" si="69"/>
      </c>
      <c r="W247">
        <f t="shared" si="69"/>
      </c>
      <c r="X247">
        <f t="shared" si="69"/>
      </c>
      <c r="Y247">
        <f t="shared" si="69"/>
      </c>
      <c r="Z247">
        <f t="shared" si="69"/>
      </c>
      <c r="AA247">
        <f t="shared" si="69"/>
      </c>
      <c r="AB247">
        <f t="shared" si="69"/>
      </c>
      <c r="AC247">
        <f t="shared" si="69"/>
      </c>
      <c r="AD247">
        <f t="shared" si="69"/>
      </c>
      <c r="AE247">
        <f t="shared" si="53"/>
      </c>
      <c r="AF247" s="9">
        <f t="shared" si="54"/>
        <v>110000</v>
      </c>
      <c r="AG247">
        <f t="shared" si="71"/>
        <v>0</v>
      </c>
      <c r="AH247">
        <f t="shared" si="70"/>
        <v>0</v>
      </c>
      <c r="AI247">
        <f t="shared" si="70"/>
        <v>0</v>
      </c>
      <c r="AJ247">
        <f t="shared" si="70"/>
        <v>0</v>
      </c>
      <c r="AK247">
        <f t="shared" si="70"/>
        <v>0</v>
      </c>
      <c r="AL247">
        <f t="shared" si="70"/>
        <v>0</v>
      </c>
      <c r="AM247">
        <f t="shared" si="70"/>
        <v>0</v>
      </c>
      <c r="AN247">
        <f t="shared" si="70"/>
        <v>1</v>
      </c>
      <c r="AO247">
        <f t="shared" si="70"/>
        <v>0</v>
      </c>
      <c r="AP247">
        <f t="shared" si="60"/>
        <v>1</v>
      </c>
      <c r="BL247" s="9">
        <f t="shared" si="55"/>
        <v>106152.68750644795</v>
      </c>
      <c r="BM247" s="9">
        <f t="shared" si="56"/>
      </c>
      <c r="BN247" s="9">
        <f t="shared" si="57"/>
        <v>106152.68750644795</v>
      </c>
      <c r="BU247" s="9"/>
      <c r="BV247" s="9"/>
      <c r="BW247" s="9"/>
      <c r="BX247" s="9"/>
    </row>
    <row r="248" spans="1:76" ht="12.75">
      <c r="A248" s="59">
        <f t="shared" si="61"/>
        <v>193</v>
      </c>
      <c r="B248" s="56" t="s">
        <v>97</v>
      </c>
      <c r="C248" s="56">
        <v>2006</v>
      </c>
      <c r="D248" s="90">
        <v>100000</v>
      </c>
      <c r="E248" s="91"/>
      <c r="F248" s="91"/>
      <c r="G248" s="66"/>
      <c r="H248">
        <f aca="true" t="shared" si="72" ref="H248:Q263">IF($B248=H$55,$D248,"")</f>
      </c>
      <c r="I248">
        <f t="shared" si="72"/>
      </c>
      <c r="J248">
        <f t="shared" si="72"/>
      </c>
      <c r="K248">
        <f t="shared" si="72"/>
      </c>
      <c r="L248">
        <f t="shared" si="72"/>
      </c>
      <c r="M248">
        <f t="shared" si="72"/>
      </c>
      <c r="N248">
        <f t="shared" si="72"/>
      </c>
      <c r="O248">
        <f t="shared" si="72"/>
      </c>
      <c r="P248">
        <f t="shared" si="72"/>
        <v>100000</v>
      </c>
      <c r="Q248">
        <f t="shared" si="72"/>
      </c>
      <c r="R248" s="9">
        <f t="shared" si="58"/>
        <v>100000</v>
      </c>
      <c r="T248">
        <f t="shared" si="59"/>
      </c>
      <c r="U248">
        <f aca="true" t="shared" si="73" ref="U248:AD263">IF($C248=U$55,$D248,"")</f>
        <v>100000</v>
      </c>
      <c r="V248">
        <f t="shared" si="73"/>
      </c>
      <c r="W248">
        <f t="shared" si="73"/>
      </c>
      <c r="X248">
        <f t="shared" si="73"/>
      </c>
      <c r="Y248">
        <f t="shared" si="73"/>
      </c>
      <c r="Z248">
        <f t="shared" si="73"/>
      </c>
      <c r="AA248">
        <f t="shared" si="73"/>
      </c>
      <c r="AB248">
        <f t="shared" si="73"/>
      </c>
      <c r="AC248">
        <f t="shared" si="73"/>
      </c>
      <c r="AD248">
        <f t="shared" si="73"/>
      </c>
      <c r="AE248">
        <f aca="true" t="shared" si="74" ref="AE248:AE311">IF($C248&lt;1997,$D248,"")</f>
      </c>
      <c r="AF248" s="9">
        <f aca="true" t="shared" si="75" ref="AF248:AF311">IF(C248=".","",D248)</f>
        <v>100000</v>
      </c>
      <c r="AG248">
        <f t="shared" si="71"/>
        <v>0</v>
      </c>
      <c r="AH248">
        <f t="shared" si="70"/>
        <v>0</v>
      </c>
      <c r="AI248">
        <f t="shared" si="70"/>
        <v>0</v>
      </c>
      <c r="AJ248">
        <f t="shared" si="70"/>
        <v>0</v>
      </c>
      <c r="AK248">
        <f t="shared" si="70"/>
        <v>0</v>
      </c>
      <c r="AL248">
        <f t="shared" si="70"/>
        <v>0</v>
      </c>
      <c r="AM248">
        <f t="shared" si="70"/>
        <v>0</v>
      </c>
      <c r="AN248">
        <f t="shared" si="70"/>
        <v>1</v>
      </c>
      <c r="AO248">
        <f t="shared" si="70"/>
        <v>0</v>
      </c>
      <c r="AP248">
        <f t="shared" si="60"/>
        <v>1</v>
      </c>
      <c r="BL248" s="9">
        <f aca="true" t="shared" si="76" ref="BL248:BL300">D248-AP248*$AV$52</f>
        <v>96152.68750644795</v>
      </c>
      <c r="BM248" s="9">
        <f aca="true" t="shared" si="77" ref="BM248:BM300">IF(BL248&lt;$BO$52,BL248,"")</f>
        <v>96152.68750644795</v>
      </c>
      <c r="BN248" s="9">
        <f aca="true" t="shared" si="78" ref="BN248:BN300">IF(BL248&gt;$BO$52,BL248,"")</f>
      </c>
      <c r="BU248" s="9"/>
      <c r="BV248" s="9"/>
      <c r="BW248" s="9"/>
      <c r="BX248" s="9"/>
    </row>
    <row r="249" spans="1:76" ht="12.75">
      <c r="A249" s="59">
        <f t="shared" si="61"/>
        <v>194</v>
      </c>
      <c r="B249" s="56" t="s">
        <v>97</v>
      </c>
      <c r="C249" s="56">
        <v>2006</v>
      </c>
      <c r="D249" s="90">
        <v>150000</v>
      </c>
      <c r="E249" s="91"/>
      <c r="F249" s="91"/>
      <c r="G249" s="66"/>
      <c r="H249">
        <f t="shared" si="72"/>
      </c>
      <c r="I249">
        <f t="shared" si="72"/>
      </c>
      <c r="J249">
        <f t="shared" si="72"/>
      </c>
      <c r="K249">
        <f t="shared" si="72"/>
      </c>
      <c r="L249">
        <f t="shared" si="72"/>
      </c>
      <c r="M249">
        <f t="shared" si="72"/>
      </c>
      <c r="N249">
        <f t="shared" si="72"/>
      </c>
      <c r="O249">
        <f t="shared" si="72"/>
      </c>
      <c r="P249">
        <f t="shared" si="72"/>
        <v>150000</v>
      </c>
      <c r="Q249">
        <f t="shared" si="72"/>
      </c>
      <c r="R249" s="9">
        <f aca="true" t="shared" si="79" ref="R249:R312">D249</f>
        <v>150000</v>
      </c>
      <c r="T249">
        <f aca="true" t="shared" si="80" ref="T249:T312">IF($C249=T$55,$D249,"")</f>
      </c>
      <c r="U249">
        <f t="shared" si="73"/>
        <v>150000</v>
      </c>
      <c r="V249">
        <f t="shared" si="73"/>
      </c>
      <c r="W249">
        <f t="shared" si="73"/>
      </c>
      <c r="X249">
        <f t="shared" si="73"/>
      </c>
      <c r="Y249">
        <f t="shared" si="73"/>
      </c>
      <c r="Z249">
        <f t="shared" si="73"/>
      </c>
      <c r="AA249">
        <f t="shared" si="73"/>
      </c>
      <c r="AB249">
        <f t="shared" si="73"/>
      </c>
      <c r="AC249">
        <f t="shared" si="73"/>
      </c>
      <c r="AD249">
        <f t="shared" si="73"/>
      </c>
      <c r="AE249">
        <f t="shared" si="74"/>
      </c>
      <c r="AF249" s="9">
        <f t="shared" si="75"/>
        <v>150000</v>
      </c>
      <c r="AG249">
        <f t="shared" si="71"/>
        <v>0</v>
      </c>
      <c r="AH249">
        <f t="shared" si="70"/>
        <v>0</v>
      </c>
      <c r="AI249">
        <f t="shared" si="70"/>
        <v>0</v>
      </c>
      <c r="AJ249">
        <f t="shared" si="70"/>
        <v>0</v>
      </c>
      <c r="AK249">
        <f t="shared" si="70"/>
        <v>0</v>
      </c>
      <c r="AL249">
        <f t="shared" si="70"/>
        <v>0</v>
      </c>
      <c r="AM249">
        <f t="shared" si="70"/>
        <v>0</v>
      </c>
      <c r="AN249">
        <f t="shared" si="70"/>
        <v>1</v>
      </c>
      <c r="AO249">
        <f t="shared" si="70"/>
        <v>0</v>
      </c>
      <c r="AP249">
        <f aca="true" t="shared" si="81" ref="AP249:AP312">2007-C249</f>
        <v>1</v>
      </c>
      <c r="BL249" s="9">
        <f t="shared" si="76"/>
        <v>146152.68750644795</v>
      </c>
      <c r="BM249" s="9">
        <f t="shared" si="77"/>
      </c>
      <c r="BN249" s="9">
        <f t="shared" si="78"/>
        <v>146152.68750644795</v>
      </c>
      <c r="BU249" s="9"/>
      <c r="BV249" s="9"/>
      <c r="BW249" s="9"/>
      <c r="BX249" s="9"/>
    </row>
    <row r="250" spans="1:76" ht="12.75">
      <c r="A250" s="59">
        <f aca="true" t="shared" si="82" ref="A250:A313">A249+1</f>
        <v>195</v>
      </c>
      <c r="B250" s="56" t="s">
        <v>97</v>
      </c>
      <c r="C250" s="56">
        <v>2006</v>
      </c>
      <c r="D250" s="90">
        <v>110000</v>
      </c>
      <c r="E250" s="91"/>
      <c r="F250" s="91"/>
      <c r="G250" s="66"/>
      <c r="H250">
        <f t="shared" si="72"/>
      </c>
      <c r="I250">
        <f t="shared" si="72"/>
      </c>
      <c r="J250">
        <f t="shared" si="72"/>
      </c>
      <c r="K250">
        <f t="shared" si="72"/>
      </c>
      <c r="L250">
        <f t="shared" si="72"/>
      </c>
      <c r="M250">
        <f t="shared" si="72"/>
      </c>
      <c r="N250">
        <f t="shared" si="72"/>
      </c>
      <c r="O250">
        <f t="shared" si="72"/>
      </c>
      <c r="P250">
        <f t="shared" si="72"/>
        <v>110000</v>
      </c>
      <c r="Q250">
        <f t="shared" si="72"/>
      </c>
      <c r="R250" s="9">
        <f t="shared" si="79"/>
        <v>110000</v>
      </c>
      <c r="T250">
        <f t="shared" si="80"/>
      </c>
      <c r="U250">
        <f t="shared" si="73"/>
        <v>110000</v>
      </c>
      <c r="V250">
        <f t="shared" si="73"/>
      </c>
      <c r="W250">
        <f t="shared" si="73"/>
      </c>
      <c r="X250">
        <f t="shared" si="73"/>
      </c>
      <c r="Y250">
        <f t="shared" si="73"/>
      </c>
      <c r="Z250">
        <f t="shared" si="73"/>
      </c>
      <c r="AA250">
        <f t="shared" si="73"/>
      </c>
      <c r="AB250">
        <f t="shared" si="73"/>
      </c>
      <c r="AC250">
        <f t="shared" si="73"/>
      </c>
      <c r="AD250">
        <f t="shared" si="73"/>
      </c>
      <c r="AE250">
        <f t="shared" si="74"/>
      </c>
      <c r="AF250" s="9">
        <f t="shared" si="75"/>
        <v>110000</v>
      </c>
      <c r="AG250">
        <f t="shared" si="71"/>
        <v>0</v>
      </c>
      <c r="AH250">
        <f t="shared" si="70"/>
        <v>0</v>
      </c>
      <c r="AI250">
        <f t="shared" si="70"/>
        <v>0</v>
      </c>
      <c r="AJ250">
        <f t="shared" si="70"/>
        <v>0</v>
      </c>
      <c r="AK250">
        <f t="shared" si="70"/>
        <v>0</v>
      </c>
      <c r="AL250">
        <f t="shared" si="70"/>
        <v>0</v>
      </c>
      <c r="AM250">
        <f t="shared" si="70"/>
        <v>0</v>
      </c>
      <c r="AN250">
        <f t="shared" si="70"/>
        <v>1</v>
      </c>
      <c r="AO250">
        <f t="shared" si="70"/>
        <v>0</v>
      </c>
      <c r="AP250">
        <f t="shared" si="81"/>
        <v>1</v>
      </c>
      <c r="BL250" s="9">
        <f t="shared" si="76"/>
        <v>106152.68750644795</v>
      </c>
      <c r="BM250" s="9">
        <f t="shared" si="77"/>
      </c>
      <c r="BN250" s="9">
        <f t="shared" si="78"/>
        <v>106152.68750644795</v>
      </c>
      <c r="BU250" s="9"/>
      <c r="BV250" s="9"/>
      <c r="BW250" s="9"/>
      <c r="BX250" s="9"/>
    </row>
    <row r="251" spans="1:76" ht="12.75">
      <c r="A251" s="59">
        <f t="shared" si="82"/>
        <v>196</v>
      </c>
      <c r="B251" s="56" t="s">
        <v>97</v>
      </c>
      <c r="C251" s="56">
        <v>2006</v>
      </c>
      <c r="D251" s="90">
        <v>190000</v>
      </c>
      <c r="E251" s="91"/>
      <c r="F251" s="91"/>
      <c r="G251" s="66"/>
      <c r="H251">
        <f t="shared" si="72"/>
      </c>
      <c r="I251">
        <f t="shared" si="72"/>
      </c>
      <c r="J251">
        <f t="shared" si="72"/>
      </c>
      <c r="K251">
        <f t="shared" si="72"/>
      </c>
      <c r="L251">
        <f t="shared" si="72"/>
      </c>
      <c r="M251">
        <f t="shared" si="72"/>
      </c>
      <c r="N251">
        <f t="shared" si="72"/>
      </c>
      <c r="O251">
        <f t="shared" si="72"/>
      </c>
      <c r="P251">
        <f t="shared" si="72"/>
        <v>190000</v>
      </c>
      <c r="Q251">
        <f t="shared" si="72"/>
      </c>
      <c r="R251" s="9">
        <f t="shared" si="79"/>
        <v>190000</v>
      </c>
      <c r="T251">
        <f t="shared" si="80"/>
      </c>
      <c r="U251">
        <f t="shared" si="73"/>
        <v>190000</v>
      </c>
      <c r="V251">
        <f t="shared" si="73"/>
      </c>
      <c r="W251">
        <f t="shared" si="73"/>
      </c>
      <c r="X251">
        <f t="shared" si="73"/>
      </c>
      <c r="Y251">
        <f t="shared" si="73"/>
      </c>
      <c r="Z251">
        <f t="shared" si="73"/>
      </c>
      <c r="AA251">
        <f t="shared" si="73"/>
      </c>
      <c r="AB251">
        <f t="shared" si="73"/>
      </c>
      <c r="AC251">
        <f t="shared" si="73"/>
      </c>
      <c r="AD251">
        <f t="shared" si="73"/>
      </c>
      <c r="AE251">
        <f t="shared" si="74"/>
      </c>
      <c r="AF251" s="9">
        <f t="shared" si="75"/>
        <v>190000</v>
      </c>
      <c r="AG251">
        <f t="shared" si="71"/>
        <v>0</v>
      </c>
      <c r="AH251">
        <f t="shared" si="70"/>
        <v>0</v>
      </c>
      <c r="AI251">
        <f t="shared" si="70"/>
        <v>0</v>
      </c>
      <c r="AJ251">
        <f t="shared" si="70"/>
        <v>0</v>
      </c>
      <c r="AK251">
        <f t="shared" si="70"/>
        <v>0</v>
      </c>
      <c r="AL251">
        <f t="shared" si="70"/>
        <v>0</v>
      </c>
      <c r="AM251">
        <f t="shared" si="70"/>
        <v>0</v>
      </c>
      <c r="AN251">
        <f t="shared" si="70"/>
        <v>1</v>
      </c>
      <c r="AO251">
        <f t="shared" si="70"/>
        <v>0</v>
      </c>
      <c r="AP251">
        <f t="shared" si="81"/>
        <v>1</v>
      </c>
      <c r="BL251" s="9">
        <f t="shared" si="76"/>
        <v>186152.68750644795</v>
      </c>
      <c r="BM251" s="9">
        <f t="shared" si="77"/>
      </c>
      <c r="BN251" s="9">
        <f t="shared" si="78"/>
        <v>186152.68750644795</v>
      </c>
      <c r="BU251" s="9"/>
      <c r="BV251" s="9"/>
      <c r="BW251" s="9"/>
      <c r="BX251" s="9"/>
    </row>
    <row r="252" spans="1:76" ht="12.75">
      <c r="A252" s="59">
        <f t="shared" si="82"/>
        <v>197</v>
      </c>
      <c r="B252" s="56" t="s">
        <v>97</v>
      </c>
      <c r="C252" s="56">
        <v>2006</v>
      </c>
      <c r="D252" s="90">
        <v>130000</v>
      </c>
      <c r="E252" s="91"/>
      <c r="F252" s="91"/>
      <c r="G252" s="66"/>
      <c r="H252">
        <f t="shared" si="72"/>
      </c>
      <c r="I252">
        <f t="shared" si="72"/>
      </c>
      <c r="J252">
        <f t="shared" si="72"/>
      </c>
      <c r="K252">
        <f t="shared" si="72"/>
      </c>
      <c r="L252">
        <f t="shared" si="72"/>
      </c>
      <c r="M252">
        <f t="shared" si="72"/>
      </c>
      <c r="N252">
        <f t="shared" si="72"/>
      </c>
      <c r="O252">
        <f t="shared" si="72"/>
      </c>
      <c r="P252">
        <f t="shared" si="72"/>
        <v>130000</v>
      </c>
      <c r="Q252">
        <f t="shared" si="72"/>
      </c>
      <c r="R252" s="9">
        <f t="shared" si="79"/>
        <v>130000</v>
      </c>
      <c r="T252">
        <f t="shared" si="80"/>
      </c>
      <c r="U252">
        <f t="shared" si="73"/>
        <v>130000</v>
      </c>
      <c r="V252">
        <f t="shared" si="73"/>
      </c>
      <c r="W252">
        <f t="shared" si="73"/>
      </c>
      <c r="X252">
        <f t="shared" si="73"/>
      </c>
      <c r="Y252">
        <f t="shared" si="73"/>
      </c>
      <c r="Z252">
        <f t="shared" si="73"/>
      </c>
      <c r="AA252">
        <f t="shared" si="73"/>
      </c>
      <c r="AB252">
        <f t="shared" si="73"/>
      </c>
      <c r="AC252">
        <f t="shared" si="73"/>
      </c>
      <c r="AD252">
        <f t="shared" si="73"/>
      </c>
      <c r="AE252">
        <f t="shared" si="74"/>
      </c>
      <c r="AF252" s="9">
        <f t="shared" si="75"/>
        <v>130000</v>
      </c>
      <c r="AG252">
        <f t="shared" si="71"/>
        <v>0</v>
      </c>
      <c r="AH252">
        <f t="shared" si="70"/>
        <v>0</v>
      </c>
      <c r="AI252">
        <f t="shared" si="70"/>
        <v>0</v>
      </c>
      <c r="AJ252">
        <f t="shared" si="70"/>
        <v>0</v>
      </c>
      <c r="AK252">
        <f t="shared" si="70"/>
        <v>0</v>
      </c>
      <c r="AL252">
        <f t="shared" si="70"/>
        <v>0</v>
      </c>
      <c r="AM252">
        <f t="shared" si="70"/>
        <v>0</v>
      </c>
      <c r="AN252">
        <f t="shared" si="70"/>
        <v>1</v>
      </c>
      <c r="AO252">
        <f t="shared" si="70"/>
        <v>0</v>
      </c>
      <c r="AP252">
        <f t="shared" si="81"/>
        <v>1</v>
      </c>
      <c r="BL252" s="9">
        <f t="shared" si="76"/>
        <v>126152.68750644795</v>
      </c>
      <c r="BM252" s="9">
        <f t="shared" si="77"/>
      </c>
      <c r="BN252" s="9">
        <f t="shared" si="78"/>
        <v>126152.68750644795</v>
      </c>
      <c r="BU252" s="9"/>
      <c r="BV252" s="9"/>
      <c r="BW252" s="9"/>
      <c r="BX252" s="9"/>
    </row>
    <row r="253" spans="1:76" ht="12.75">
      <c r="A253" s="59">
        <f t="shared" si="82"/>
        <v>198</v>
      </c>
      <c r="B253" s="56" t="s">
        <v>97</v>
      </c>
      <c r="C253" s="56">
        <v>2006</v>
      </c>
      <c r="D253" s="90">
        <v>130000</v>
      </c>
      <c r="E253" s="91"/>
      <c r="F253" s="91"/>
      <c r="G253" s="66"/>
      <c r="H253">
        <f t="shared" si="72"/>
      </c>
      <c r="I253">
        <f t="shared" si="72"/>
      </c>
      <c r="J253">
        <f t="shared" si="72"/>
      </c>
      <c r="K253">
        <f t="shared" si="72"/>
      </c>
      <c r="L253">
        <f t="shared" si="72"/>
      </c>
      <c r="M253">
        <f t="shared" si="72"/>
      </c>
      <c r="N253">
        <f t="shared" si="72"/>
      </c>
      <c r="O253">
        <f t="shared" si="72"/>
      </c>
      <c r="P253">
        <f t="shared" si="72"/>
        <v>130000</v>
      </c>
      <c r="Q253">
        <f t="shared" si="72"/>
      </c>
      <c r="R253" s="9">
        <f t="shared" si="79"/>
        <v>130000</v>
      </c>
      <c r="T253">
        <f t="shared" si="80"/>
      </c>
      <c r="U253">
        <f t="shared" si="73"/>
        <v>130000</v>
      </c>
      <c r="V253">
        <f t="shared" si="73"/>
      </c>
      <c r="W253">
        <f t="shared" si="73"/>
      </c>
      <c r="X253">
        <f t="shared" si="73"/>
      </c>
      <c r="Y253">
        <f t="shared" si="73"/>
      </c>
      <c r="Z253">
        <f t="shared" si="73"/>
      </c>
      <c r="AA253">
        <f t="shared" si="73"/>
      </c>
      <c r="AB253">
        <f t="shared" si="73"/>
      </c>
      <c r="AC253">
        <f t="shared" si="73"/>
      </c>
      <c r="AD253">
        <f t="shared" si="73"/>
      </c>
      <c r="AE253">
        <f t="shared" si="74"/>
      </c>
      <c r="AF253" s="9">
        <f t="shared" si="75"/>
        <v>130000</v>
      </c>
      <c r="AG253">
        <f t="shared" si="71"/>
        <v>0</v>
      </c>
      <c r="AH253">
        <f t="shared" si="70"/>
        <v>0</v>
      </c>
      <c r="AI253">
        <f t="shared" si="70"/>
        <v>0</v>
      </c>
      <c r="AJ253">
        <f t="shared" si="70"/>
        <v>0</v>
      </c>
      <c r="AK253">
        <f t="shared" si="70"/>
        <v>0</v>
      </c>
      <c r="AL253">
        <f t="shared" si="70"/>
        <v>0</v>
      </c>
      <c r="AM253">
        <f t="shared" si="70"/>
        <v>0</v>
      </c>
      <c r="AN253">
        <f t="shared" si="70"/>
        <v>1</v>
      </c>
      <c r="AO253">
        <f t="shared" si="70"/>
        <v>0</v>
      </c>
      <c r="AP253">
        <f t="shared" si="81"/>
        <v>1</v>
      </c>
      <c r="BL253" s="9">
        <f t="shared" si="76"/>
        <v>126152.68750644795</v>
      </c>
      <c r="BM253" s="9">
        <f t="shared" si="77"/>
      </c>
      <c r="BN253" s="9">
        <f t="shared" si="78"/>
        <v>126152.68750644795</v>
      </c>
      <c r="BU253" s="9"/>
      <c r="BV253" s="9"/>
      <c r="BW253" s="9"/>
      <c r="BX253" s="9"/>
    </row>
    <row r="254" spans="1:76" ht="12.75">
      <c r="A254" s="59">
        <f t="shared" si="82"/>
        <v>199</v>
      </c>
      <c r="B254" s="56" t="s">
        <v>97</v>
      </c>
      <c r="C254" s="56">
        <v>2006</v>
      </c>
      <c r="D254" s="90">
        <v>120000</v>
      </c>
      <c r="E254" s="91"/>
      <c r="F254" s="91"/>
      <c r="G254" s="66"/>
      <c r="H254">
        <f t="shared" si="72"/>
      </c>
      <c r="I254">
        <f t="shared" si="72"/>
      </c>
      <c r="J254">
        <f t="shared" si="72"/>
      </c>
      <c r="K254">
        <f t="shared" si="72"/>
      </c>
      <c r="L254">
        <f t="shared" si="72"/>
      </c>
      <c r="M254">
        <f t="shared" si="72"/>
      </c>
      <c r="N254">
        <f t="shared" si="72"/>
      </c>
      <c r="O254">
        <f t="shared" si="72"/>
      </c>
      <c r="P254">
        <f t="shared" si="72"/>
        <v>120000</v>
      </c>
      <c r="Q254">
        <f t="shared" si="72"/>
      </c>
      <c r="R254" s="9">
        <f t="shared" si="79"/>
        <v>120000</v>
      </c>
      <c r="T254">
        <f t="shared" si="80"/>
      </c>
      <c r="U254">
        <f t="shared" si="73"/>
        <v>120000</v>
      </c>
      <c r="V254">
        <f t="shared" si="73"/>
      </c>
      <c r="W254">
        <f t="shared" si="73"/>
      </c>
      <c r="X254">
        <f t="shared" si="73"/>
      </c>
      <c r="Y254">
        <f t="shared" si="73"/>
      </c>
      <c r="Z254">
        <f t="shared" si="73"/>
      </c>
      <c r="AA254">
        <f t="shared" si="73"/>
      </c>
      <c r="AB254">
        <f t="shared" si="73"/>
      </c>
      <c r="AC254">
        <f t="shared" si="73"/>
      </c>
      <c r="AD254">
        <f t="shared" si="73"/>
      </c>
      <c r="AE254">
        <f t="shared" si="74"/>
      </c>
      <c r="AF254" s="9">
        <f t="shared" si="75"/>
        <v>120000</v>
      </c>
      <c r="AG254">
        <f t="shared" si="71"/>
        <v>0</v>
      </c>
      <c r="AH254">
        <f t="shared" si="70"/>
        <v>0</v>
      </c>
      <c r="AI254">
        <f t="shared" si="70"/>
        <v>0</v>
      </c>
      <c r="AJ254">
        <f t="shared" si="70"/>
        <v>0</v>
      </c>
      <c r="AK254">
        <f t="shared" si="70"/>
        <v>0</v>
      </c>
      <c r="AL254">
        <f t="shared" si="70"/>
        <v>0</v>
      </c>
      <c r="AM254">
        <f t="shared" si="70"/>
        <v>0</v>
      </c>
      <c r="AN254">
        <f t="shared" si="70"/>
        <v>1</v>
      </c>
      <c r="AO254">
        <f t="shared" si="70"/>
        <v>0</v>
      </c>
      <c r="AP254">
        <f t="shared" si="81"/>
        <v>1</v>
      </c>
      <c r="BL254" s="9">
        <f t="shared" si="76"/>
        <v>116152.68750644795</v>
      </c>
      <c r="BM254" s="9">
        <f t="shared" si="77"/>
      </c>
      <c r="BN254" s="9">
        <f t="shared" si="78"/>
        <v>116152.68750644795</v>
      </c>
      <c r="BU254" s="9"/>
      <c r="BV254" s="9"/>
      <c r="BW254" s="9"/>
      <c r="BX254" s="9"/>
    </row>
    <row r="255" spans="1:76" ht="12.75">
      <c r="A255" s="59">
        <f t="shared" si="82"/>
        <v>200</v>
      </c>
      <c r="B255" s="56" t="s">
        <v>97</v>
      </c>
      <c r="C255" s="56">
        <v>2006</v>
      </c>
      <c r="D255" s="90">
        <v>110000</v>
      </c>
      <c r="E255" s="91"/>
      <c r="F255" s="91"/>
      <c r="G255" s="66"/>
      <c r="H255">
        <f t="shared" si="72"/>
      </c>
      <c r="I255">
        <f t="shared" si="72"/>
      </c>
      <c r="J255">
        <f t="shared" si="72"/>
      </c>
      <c r="K255">
        <f t="shared" si="72"/>
      </c>
      <c r="L255">
        <f t="shared" si="72"/>
      </c>
      <c r="M255">
        <f t="shared" si="72"/>
      </c>
      <c r="N255">
        <f t="shared" si="72"/>
      </c>
      <c r="O255">
        <f t="shared" si="72"/>
      </c>
      <c r="P255">
        <f t="shared" si="72"/>
        <v>110000</v>
      </c>
      <c r="Q255">
        <f t="shared" si="72"/>
      </c>
      <c r="R255" s="9">
        <f t="shared" si="79"/>
        <v>110000</v>
      </c>
      <c r="T255">
        <f t="shared" si="80"/>
      </c>
      <c r="U255">
        <f t="shared" si="73"/>
        <v>110000</v>
      </c>
      <c r="V255">
        <f t="shared" si="73"/>
      </c>
      <c r="W255">
        <f t="shared" si="73"/>
      </c>
      <c r="X255">
        <f t="shared" si="73"/>
      </c>
      <c r="Y255">
        <f t="shared" si="73"/>
      </c>
      <c r="Z255">
        <f t="shared" si="73"/>
      </c>
      <c r="AA255">
        <f t="shared" si="73"/>
      </c>
      <c r="AB255">
        <f t="shared" si="73"/>
      </c>
      <c r="AC255">
        <f t="shared" si="73"/>
      </c>
      <c r="AD255">
        <f t="shared" si="73"/>
      </c>
      <c r="AE255">
        <f t="shared" si="74"/>
      </c>
      <c r="AF255" s="9">
        <f t="shared" si="75"/>
        <v>110000</v>
      </c>
      <c r="AG255">
        <f t="shared" si="71"/>
        <v>0</v>
      </c>
      <c r="AH255">
        <f t="shared" si="70"/>
        <v>0</v>
      </c>
      <c r="AI255">
        <f t="shared" si="70"/>
        <v>0</v>
      </c>
      <c r="AJ255">
        <f t="shared" si="70"/>
        <v>0</v>
      </c>
      <c r="AK255">
        <f t="shared" si="70"/>
        <v>0</v>
      </c>
      <c r="AL255">
        <f t="shared" si="70"/>
        <v>0</v>
      </c>
      <c r="AM255">
        <f t="shared" si="70"/>
        <v>0</v>
      </c>
      <c r="AN255">
        <f t="shared" si="70"/>
        <v>1</v>
      </c>
      <c r="AO255">
        <f t="shared" si="70"/>
        <v>0</v>
      </c>
      <c r="AP255">
        <f t="shared" si="81"/>
        <v>1</v>
      </c>
      <c r="BL255" s="9">
        <f t="shared" si="76"/>
        <v>106152.68750644795</v>
      </c>
      <c r="BM255" s="9">
        <f t="shared" si="77"/>
      </c>
      <c r="BN255" s="9">
        <f t="shared" si="78"/>
        <v>106152.68750644795</v>
      </c>
      <c r="BU255" s="9"/>
      <c r="BV255" s="9"/>
      <c r="BW255" s="9"/>
      <c r="BX255" s="9"/>
    </row>
    <row r="256" spans="1:76" ht="12.75">
      <c r="A256" s="59">
        <f t="shared" si="82"/>
        <v>201</v>
      </c>
      <c r="B256" s="56" t="s">
        <v>97</v>
      </c>
      <c r="C256" s="56">
        <v>2006</v>
      </c>
      <c r="D256" s="90">
        <v>90000</v>
      </c>
      <c r="E256" s="91"/>
      <c r="F256" s="91"/>
      <c r="G256" s="66"/>
      <c r="H256">
        <f t="shared" si="72"/>
      </c>
      <c r="I256">
        <f t="shared" si="72"/>
      </c>
      <c r="J256">
        <f t="shared" si="72"/>
      </c>
      <c r="K256">
        <f t="shared" si="72"/>
      </c>
      <c r="L256">
        <f t="shared" si="72"/>
      </c>
      <c r="M256">
        <f t="shared" si="72"/>
      </c>
      <c r="N256">
        <f t="shared" si="72"/>
      </c>
      <c r="O256">
        <f t="shared" si="72"/>
      </c>
      <c r="P256">
        <f t="shared" si="72"/>
        <v>90000</v>
      </c>
      <c r="Q256">
        <f t="shared" si="72"/>
      </c>
      <c r="R256" s="9">
        <f t="shared" si="79"/>
        <v>90000</v>
      </c>
      <c r="T256">
        <f t="shared" si="80"/>
      </c>
      <c r="U256">
        <f t="shared" si="73"/>
        <v>90000</v>
      </c>
      <c r="V256">
        <f t="shared" si="73"/>
      </c>
      <c r="W256">
        <f t="shared" si="73"/>
      </c>
      <c r="X256">
        <f t="shared" si="73"/>
      </c>
      <c r="Y256">
        <f t="shared" si="73"/>
      </c>
      <c r="Z256">
        <f t="shared" si="73"/>
      </c>
      <c r="AA256">
        <f t="shared" si="73"/>
      </c>
      <c r="AB256">
        <f t="shared" si="73"/>
      </c>
      <c r="AC256">
        <f t="shared" si="73"/>
      </c>
      <c r="AD256">
        <f t="shared" si="73"/>
      </c>
      <c r="AE256">
        <f t="shared" si="74"/>
      </c>
      <c r="AF256" s="9">
        <f t="shared" si="75"/>
        <v>90000</v>
      </c>
      <c r="AG256">
        <f t="shared" si="71"/>
        <v>0</v>
      </c>
      <c r="AH256">
        <f t="shared" si="70"/>
        <v>0</v>
      </c>
      <c r="AI256">
        <f t="shared" si="70"/>
        <v>0</v>
      </c>
      <c r="AJ256">
        <f t="shared" si="70"/>
        <v>0</v>
      </c>
      <c r="AK256">
        <f t="shared" si="70"/>
        <v>0</v>
      </c>
      <c r="AL256">
        <f t="shared" si="70"/>
        <v>0</v>
      </c>
      <c r="AM256">
        <f t="shared" si="70"/>
        <v>0</v>
      </c>
      <c r="AN256">
        <f t="shared" si="70"/>
        <v>1</v>
      </c>
      <c r="AO256">
        <f t="shared" si="70"/>
        <v>0</v>
      </c>
      <c r="AP256">
        <f t="shared" si="81"/>
        <v>1</v>
      </c>
      <c r="BL256" s="9">
        <f t="shared" si="76"/>
        <v>86152.68750644795</v>
      </c>
      <c r="BM256" s="9">
        <f t="shared" si="77"/>
        <v>86152.68750644795</v>
      </c>
      <c r="BN256" s="9">
        <f t="shared" si="78"/>
      </c>
      <c r="BU256" s="9"/>
      <c r="BV256" s="9"/>
      <c r="BW256" s="9"/>
      <c r="BX256" s="9"/>
    </row>
    <row r="257" spans="1:76" ht="12.75">
      <c r="A257" s="59">
        <f t="shared" si="82"/>
        <v>202</v>
      </c>
      <c r="B257" s="56" t="s">
        <v>97</v>
      </c>
      <c r="C257" s="56">
        <v>2006</v>
      </c>
      <c r="D257" s="90">
        <v>110000</v>
      </c>
      <c r="E257" s="91"/>
      <c r="F257" s="91"/>
      <c r="G257" s="66"/>
      <c r="H257">
        <f t="shared" si="72"/>
      </c>
      <c r="I257">
        <f t="shared" si="72"/>
      </c>
      <c r="J257">
        <f t="shared" si="72"/>
      </c>
      <c r="K257">
        <f t="shared" si="72"/>
      </c>
      <c r="L257">
        <f t="shared" si="72"/>
      </c>
      <c r="M257">
        <f t="shared" si="72"/>
      </c>
      <c r="N257">
        <f t="shared" si="72"/>
      </c>
      <c r="O257">
        <f t="shared" si="72"/>
      </c>
      <c r="P257">
        <f t="shared" si="72"/>
        <v>110000</v>
      </c>
      <c r="Q257">
        <f t="shared" si="72"/>
      </c>
      <c r="R257" s="9">
        <f t="shared" si="79"/>
        <v>110000</v>
      </c>
      <c r="T257">
        <f t="shared" si="80"/>
      </c>
      <c r="U257">
        <f t="shared" si="73"/>
        <v>110000</v>
      </c>
      <c r="V257">
        <f t="shared" si="73"/>
      </c>
      <c r="W257">
        <f t="shared" si="73"/>
      </c>
      <c r="X257">
        <f t="shared" si="73"/>
      </c>
      <c r="Y257">
        <f t="shared" si="73"/>
      </c>
      <c r="Z257">
        <f t="shared" si="73"/>
      </c>
      <c r="AA257">
        <f t="shared" si="73"/>
      </c>
      <c r="AB257">
        <f t="shared" si="73"/>
      </c>
      <c r="AC257">
        <f t="shared" si="73"/>
      </c>
      <c r="AD257">
        <f t="shared" si="73"/>
      </c>
      <c r="AE257">
        <f t="shared" si="74"/>
      </c>
      <c r="AF257" s="9">
        <f t="shared" si="75"/>
        <v>110000</v>
      </c>
      <c r="AG257">
        <f t="shared" si="71"/>
        <v>0</v>
      </c>
      <c r="AH257">
        <f t="shared" si="70"/>
        <v>0</v>
      </c>
      <c r="AI257">
        <f t="shared" si="70"/>
        <v>0</v>
      </c>
      <c r="AJ257">
        <f t="shared" si="70"/>
        <v>0</v>
      </c>
      <c r="AK257">
        <f t="shared" si="70"/>
        <v>0</v>
      </c>
      <c r="AL257">
        <f t="shared" si="70"/>
        <v>0</v>
      </c>
      <c r="AM257">
        <f t="shared" si="70"/>
        <v>0</v>
      </c>
      <c r="AN257">
        <f t="shared" si="70"/>
        <v>1</v>
      </c>
      <c r="AO257">
        <f t="shared" si="70"/>
        <v>0</v>
      </c>
      <c r="AP257">
        <f t="shared" si="81"/>
        <v>1</v>
      </c>
      <c r="BL257" s="9">
        <f t="shared" si="76"/>
        <v>106152.68750644795</v>
      </c>
      <c r="BM257" s="9">
        <f t="shared" si="77"/>
      </c>
      <c r="BN257" s="9">
        <f t="shared" si="78"/>
        <v>106152.68750644795</v>
      </c>
      <c r="BU257" s="9"/>
      <c r="BV257" s="9"/>
      <c r="BW257" s="9"/>
      <c r="BX257" s="9"/>
    </row>
    <row r="258" spans="1:76" ht="12.75">
      <c r="A258" s="59">
        <f t="shared" si="82"/>
        <v>203</v>
      </c>
      <c r="B258" s="56" t="s">
        <v>97</v>
      </c>
      <c r="C258" s="56">
        <v>2006</v>
      </c>
      <c r="D258" s="90">
        <v>100000</v>
      </c>
      <c r="E258" s="91"/>
      <c r="F258" s="91"/>
      <c r="G258" s="66"/>
      <c r="H258">
        <f t="shared" si="72"/>
      </c>
      <c r="I258">
        <f t="shared" si="72"/>
      </c>
      <c r="J258">
        <f t="shared" si="72"/>
      </c>
      <c r="K258">
        <f t="shared" si="72"/>
      </c>
      <c r="L258">
        <f t="shared" si="72"/>
      </c>
      <c r="M258">
        <f t="shared" si="72"/>
      </c>
      <c r="N258">
        <f t="shared" si="72"/>
      </c>
      <c r="O258">
        <f t="shared" si="72"/>
      </c>
      <c r="P258">
        <f t="shared" si="72"/>
        <v>100000</v>
      </c>
      <c r="Q258">
        <f t="shared" si="72"/>
      </c>
      <c r="R258" s="9">
        <f t="shared" si="79"/>
        <v>100000</v>
      </c>
      <c r="T258">
        <f t="shared" si="80"/>
      </c>
      <c r="U258">
        <f t="shared" si="73"/>
        <v>100000</v>
      </c>
      <c r="V258">
        <f t="shared" si="73"/>
      </c>
      <c r="W258">
        <f t="shared" si="73"/>
      </c>
      <c r="X258">
        <f t="shared" si="73"/>
      </c>
      <c r="Y258">
        <f t="shared" si="73"/>
      </c>
      <c r="Z258">
        <f t="shared" si="73"/>
      </c>
      <c r="AA258">
        <f t="shared" si="73"/>
      </c>
      <c r="AB258">
        <f t="shared" si="73"/>
      </c>
      <c r="AC258">
        <f t="shared" si="73"/>
      </c>
      <c r="AD258">
        <f t="shared" si="73"/>
      </c>
      <c r="AE258">
        <f t="shared" si="74"/>
      </c>
      <c r="AF258" s="9">
        <f t="shared" si="75"/>
        <v>100000</v>
      </c>
      <c r="AG258">
        <f t="shared" si="71"/>
        <v>0</v>
      </c>
      <c r="AH258">
        <f t="shared" si="70"/>
        <v>0</v>
      </c>
      <c r="AI258">
        <f t="shared" si="70"/>
        <v>0</v>
      </c>
      <c r="AJ258">
        <f t="shared" si="70"/>
        <v>0</v>
      </c>
      <c r="AK258">
        <f t="shared" si="70"/>
        <v>0</v>
      </c>
      <c r="AL258">
        <f t="shared" si="70"/>
        <v>0</v>
      </c>
      <c r="AM258">
        <f t="shared" si="70"/>
        <v>0</v>
      </c>
      <c r="AN258">
        <f t="shared" si="70"/>
        <v>1</v>
      </c>
      <c r="AO258">
        <f t="shared" si="70"/>
        <v>0</v>
      </c>
      <c r="AP258">
        <f t="shared" si="81"/>
        <v>1</v>
      </c>
      <c r="BL258" s="9">
        <f t="shared" si="76"/>
        <v>96152.68750644795</v>
      </c>
      <c r="BM258" s="9">
        <f t="shared" si="77"/>
        <v>96152.68750644795</v>
      </c>
      <c r="BN258" s="9">
        <f t="shared" si="78"/>
      </c>
      <c r="BU258" s="9"/>
      <c r="BV258" s="9"/>
      <c r="BW258" s="9"/>
      <c r="BX258" s="9"/>
    </row>
    <row r="259" spans="1:76" ht="12.75">
      <c r="A259" s="59">
        <f t="shared" si="82"/>
        <v>204</v>
      </c>
      <c r="B259" s="56" t="s">
        <v>97</v>
      </c>
      <c r="C259" s="56">
        <v>2006</v>
      </c>
      <c r="D259" s="90">
        <v>110000</v>
      </c>
      <c r="E259" s="91"/>
      <c r="F259" s="91"/>
      <c r="G259" s="66"/>
      <c r="H259">
        <f t="shared" si="72"/>
      </c>
      <c r="I259">
        <f t="shared" si="72"/>
      </c>
      <c r="J259">
        <f t="shared" si="72"/>
      </c>
      <c r="K259">
        <f t="shared" si="72"/>
      </c>
      <c r="L259">
        <f t="shared" si="72"/>
      </c>
      <c r="M259">
        <f t="shared" si="72"/>
      </c>
      <c r="N259">
        <f t="shared" si="72"/>
      </c>
      <c r="O259">
        <f t="shared" si="72"/>
      </c>
      <c r="P259">
        <f t="shared" si="72"/>
        <v>110000</v>
      </c>
      <c r="Q259">
        <f t="shared" si="72"/>
      </c>
      <c r="R259" s="9">
        <f t="shared" si="79"/>
        <v>110000</v>
      </c>
      <c r="T259">
        <f t="shared" si="80"/>
      </c>
      <c r="U259">
        <f t="shared" si="73"/>
        <v>110000</v>
      </c>
      <c r="V259">
        <f t="shared" si="73"/>
      </c>
      <c r="W259">
        <f t="shared" si="73"/>
      </c>
      <c r="X259">
        <f t="shared" si="73"/>
      </c>
      <c r="Y259">
        <f t="shared" si="73"/>
      </c>
      <c r="Z259">
        <f t="shared" si="73"/>
      </c>
      <c r="AA259">
        <f t="shared" si="73"/>
      </c>
      <c r="AB259">
        <f t="shared" si="73"/>
      </c>
      <c r="AC259">
        <f t="shared" si="73"/>
      </c>
      <c r="AD259">
        <f t="shared" si="73"/>
      </c>
      <c r="AE259">
        <f t="shared" si="74"/>
      </c>
      <c r="AF259" s="9">
        <f t="shared" si="75"/>
        <v>110000</v>
      </c>
      <c r="AG259">
        <f t="shared" si="71"/>
        <v>0</v>
      </c>
      <c r="AH259">
        <f t="shared" si="70"/>
        <v>0</v>
      </c>
      <c r="AI259">
        <f t="shared" si="70"/>
        <v>0</v>
      </c>
      <c r="AJ259">
        <f t="shared" si="70"/>
        <v>0</v>
      </c>
      <c r="AK259">
        <f t="shared" si="70"/>
        <v>0</v>
      </c>
      <c r="AL259">
        <f t="shared" si="70"/>
        <v>0</v>
      </c>
      <c r="AM259">
        <f t="shared" si="70"/>
        <v>0</v>
      </c>
      <c r="AN259">
        <f t="shared" si="70"/>
        <v>1</v>
      </c>
      <c r="AO259">
        <f t="shared" si="70"/>
        <v>0</v>
      </c>
      <c r="AP259">
        <f t="shared" si="81"/>
        <v>1</v>
      </c>
      <c r="BL259" s="9">
        <f t="shared" si="76"/>
        <v>106152.68750644795</v>
      </c>
      <c r="BM259" s="9">
        <f t="shared" si="77"/>
      </c>
      <c r="BN259" s="9">
        <f t="shared" si="78"/>
        <v>106152.68750644795</v>
      </c>
      <c r="BU259" s="9"/>
      <c r="BV259" s="9"/>
      <c r="BW259" s="9"/>
      <c r="BX259" s="9"/>
    </row>
    <row r="260" spans="1:76" ht="12.75">
      <c r="A260" s="59">
        <f t="shared" si="82"/>
        <v>205</v>
      </c>
      <c r="B260" s="56" t="s">
        <v>97</v>
      </c>
      <c r="C260" s="56">
        <v>2006</v>
      </c>
      <c r="D260" s="90">
        <v>120000</v>
      </c>
      <c r="E260" s="91"/>
      <c r="F260" s="91"/>
      <c r="G260" s="66"/>
      <c r="H260">
        <f t="shared" si="72"/>
      </c>
      <c r="I260">
        <f t="shared" si="72"/>
      </c>
      <c r="J260">
        <f t="shared" si="72"/>
      </c>
      <c r="K260">
        <f t="shared" si="72"/>
      </c>
      <c r="L260">
        <f t="shared" si="72"/>
      </c>
      <c r="M260">
        <f t="shared" si="72"/>
      </c>
      <c r="N260">
        <f t="shared" si="72"/>
      </c>
      <c r="O260">
        <f t="shared" si="72"/>
      </c>
      <c r="P260">
        <f t="shared" si="72"/>
        <v>120000</v>
      </c>
      <c r="Q260">
        <f t="shared" si="72"/>
      </c>
      <c r="R260" s="9">
        <f t="shared" si="79"/>
        <v>120000</v>
      </c>
      <c r="T260">
        <f t="shared" si="80"/>
      </c>
      <c r="U260">
        <f t="shared" si="73"/>
        <v>120000</v>
      </c>
      <c r="V260">
        <f t="shared" si="73"/>
      </c>
      <c r="W260">
        <f t="shared" si="73"/>
      </c>
      <c r="X260">
        <f t="shared" si="73"/>
      </c>
      <c r="Y260">
        <f t="shared" si="73"/>
      </c>
      <c r="Z260">
        <f t="shared" si="73"/>
      </c>
      <c r="AA260">
        <f t="shared" si="73"/>
      </c>
      <c r="AB260">
        <f t="shared" si="73"/>
      </c>
      <c r="AC260">
        <f t="shared" si="73"/>
      </c>
      <c r="AD260">
        <f t="shared" si="73"/>
      </c>
      <c r="AE260">
        <f t="shared" si="74"/>
      </c>
      <c r="AF260" s="9">
        <f t="shared" si="75"/>
        <v>120000</v>
      </c>
      <c r="AG260">
        <f t="shared" si="71"/>
        <v>0</v>
      </c>
      <c r="AH260">
        <f t="shared" si="70"/>
        <v>0</v>
      </c>
      <c r="AI260">
        <f t="shared" si="70"/>
        <v>0</v>
      </c>
      <c r="AJ260">
        <f t="shared" si="70"/>
        <v>0</v>
      </c>
      <c r="AK260">
        <f t="shared" si="70"/>
        <v>0</v>
      </c>
      <c r="AL260">
        <f t="shared" si="70"/>
        <v>0</v>
      </c>
      <c r="AM260">
        <f t="shared" si="70"/>
        <v>0</v>
      </c>
      <c r="AN260">
        <f t="shared" si="70"/>
        <v>1</v>
      </c>
      <c r="AO260">
        <f t="shared" si="70"/>
        <v>0</v>
      </c>
      <c r="AP260">
        <f t="shared" si="81"/>
        <v>1</v>
      </c>
      <c r="BL260" s="9">
        <f t="shared" si="76"/>
        <v>116152.68750644795</v>
      </c>
      <c r="BM260" s="9">
        <f t="shared" si="77"/>
      </c>
      <c r="BN260" s="9">
        <f t="shared" si="78"/>
        <v>116152.68750644795</v>
      </c>
      <c r="BU260" s="9"/>
      <c r="BV260" s="9"/>
      <c r="BW260" s="9"/>
      <c r="BX260" s="9"/>
    </row>
    <row r="261" spans="1:76" ht="12.75">
      <c r="A261" s="59">
        <f t="shared" si="82"/>
        <v>206</v>
      </c>
      <c r="B261" s="56" t="s">
        <v>97</v>
      </c>
      <c r="C261" s="56">
        <v>2006</v>
      </c>
      <c r="D261" s="90">
        <v>90000</v>
      </c>
      <c r="E261" s="91"/>
      <c r="F261" s="91"/>
      <c r="G261" s="66"/>
      <c r="H261">
        <f t="shared" si="72"/>
      </c>
      <c r="I261">
        <f t="shared" si="72"/>
      </c>
      <c r="J261">
        <f t="shared" si="72"/>
      </c>
      <c r="K261">
        <f t="shared" si="72"/>
      </c>
      <c r="L261">
        <f t="shared" si="72"/>
      </c>
      <c r="M261">
        <f t="shared" si="72"/>
      </c>
      <c r="N261">
        <f t="shared" si="72"/>
      </c>
      <c r="O261">
        <f t="shared" si="72"/>
      </c>
      <c r="P261">
        <f t="shared" si="72"/>
        <v>90000</v>
      </c>
      <c r="Q261">
        <f t="shared" si="72"/>
      </c>
      <c r="R261" s="9">
        <f t="shared" si="79"/>
        <v>90000</v>
      </c>
      <c r="T261">
        <f t="shared" si="80"/>
      </c>
      <c r="U261">
        <f t="shared" si="73"/>
        <v>90000</v>
      </c>
      <c r="V261">
        <f t="shared" si="73"/>
      </c>
      <c r="W261">
        <f t="shared" si="73"/>
      </c>
      <c r="X261">
        <f t="shared" si="73"/>
      </c>
      <c r="Y261">
        <f t="shared" si="73"/>
      </c>
      <c r="Z261">
        <f t="shared" si="73"/>
      </c>
      <c r="AA261">
        <f t="shared" si="73"/>
      </c>
      <c r="AB261">
        <f t="shared" si="73"/>
      </c>
      <c r="AC261">
        <f t="shared" si="73"/>
      </c>
      <c r="AD261">
        <f t="shared" si="73"/>
      </c>
      <c r="AE261">
        <f t="shared" si="74"/>
      </c>
      <c r="AF261" s="9">
        <f t="shared" si="75"/>
        <v>90000</v>
      </c>
      <c r="AG261">
        <f t="shared" si="71"/>
        <v>0</v>
      </c>
      <c r="AH261">
        <f t="shared" si="70"/>
        <v>0</v>
      </c>
      <c r="AI261">
        <f t="shared" si="70"/>
        <v>0</v>
      </c>
      <c r="AJ261">
        <f t="shared" si="70"/>
        <v>0</v>
      </c>
      <c r="AK261">
        <f t="shared" si="70"/>
        <v>0</v>
      </c>
      <c r="AL261">
        <f t="shared" si="70"/>
        <v>0</v>
      </c>
      <c r="AM261">
        <f t="shared" si="70"/>
        <v>0</v>
      </c>
      <c r="AN261">
        <f t="shared" si="70"/>
        <v>1</v>
      </c>
      <c r="AO261">
        <f t="shared" si="70"/>
        <v>0</v>
      </c>
      <c r="AP261">
        <f t="shared" si="81"/>
        <v>1</v>
      </c>
      <c r="BL261" s="9">
        <f t="shared" si="76"/>
        <v>86152.68750644795</v>
      </c>
      <c r="BM261" s="9">
        <f t="shared" si="77"/>
        <v>86152.68750644795</v>
      </c>
      <c r="BN261" s="9">
        <f t="shared" si="78"/>
      </c>
      <c r="BU261" s="9"/>
      <c r="BV261" s="9"/>
      <c r="BW261" s="9"/>
      <c r="BX261" s="9"/>
    </row>
    <row r="262" spans="1:76" ht="12.75">
      <c r="A262" s="59">
        <f t="shared" si="82"/>
        <v>207</v>
      </c>
      <c r="B262" s="56" t="s">
        <v>97</v>
      </c>
      <c r="C262" s="56">
        <v>2006</v>
      </c>
      <c r="D262" s="90">
        <v>180000</v>
      </c>
      <c r="E262" s="91"/>
      <c r="F262" s="91"/>
      <c r="G262" s="66"/>
      <c r="H262">
        <f t="shared" si="72"/>
      </c>
      <c r="I262">
        <f t="shared" si="72"/>
      </c>
      <c r="J262">
        <f t="shared" si="72"/>
      </c>
      <c r="K262">
        <f t="shared" si="72"/>
      </c>
      <c r="L262">
        <f t="shared" si="72"/>
      </c>
      <c r="M262">
        <f t="shared" si="72"/>
      </c>
      <c r="N262">
        <f t="shared" si="72"/>
      </c>
      <c r="O262">
        <f t="shared" si="72"/>
      </c>
      <c r="P262">
        <f t="shared" si="72"/>
        <v>180000</v>
      </c>
      <c r="Q262">
        <f t="shared" si="72"/>
      </c>
      <c r="R262" s="9">
        <f t="shared" si="79"/>
        <v>180000</v>
      </c>
      <c r="T262">
        <f t="shared" si="80"/>
      </c>
      <c r="U262">
        <f t="shared" si="73"/>
        <v>180000</v>
      </c>
      <c r="V262">
        <f t="shared" si="73"/>
      </c>
      <c r="W262">
        <f t="shared" si="73"/>
      </c>
      <c r="X262">
        <f t="shared" si="73"/>
      </c>
      <c r="Y262">
        <f t="shared" si="73"/>
      </c>
      <c r="Z262">
        <f t="shared" si="73"/>
      </c>
      <c r="AA262">
        <f t="shared" si="73"/>
      </c>
      <c r="AB262">
        <f t="shared" si="73"/>
      </c>
      <c r="AC262">
        <f t="shared" si="73"/>
      </c>
      <c r="AD262">
        <f t="shared" si="73"/>
      </c>
      <c r="AE262">
        <f t="shared" si="74"/>
      </c>
      <c r="AF262" s="9">
        <f t="shared" si="75"/>
        <v>180000</v>
      </c>
      <c r="AG262">
        <f t="shared" si="71"/>
        <v>0</v>
      </c>
      <c r="AH262">
        <f t="shared" si="70"/>
        <v>0</v>
      </c>
      <c r="AI262">
        <f t="shared" si="70"/>
        <v>0</v>
      </c>
      <c r="AJ262">
        <f t="shared" si="70"/>
        <v>0</v>
      </c>
      <c r="AK262">
        <f t="shared" si="70"/>
        <v>0</v>
      </c>
      <c r="AL262">
        <f t="shared" si="70"/>
        <v>0</v>
      </c>
      <c r="AM262">
        <f t="shared" si="70"/>
        <v>0</v>
      </c>
      <c r="AN262">
        <f t="shared" si="70"/>
        <v>1</v>
      </c>
      <c r="AO262">
        <f t="shared" si="70"/>
        <v>0</v>
      </c>
      <c r="AP262">
        <f t="shared" si="81"/>
        <v>1</v>
      </c>
      <c r="BL262" s="9">
        <f t="shared" si="76"/>
        <v>176152.68750644795</v>
      </c>
      <c r="BM262" s="9">
        <f t="shared" si="77"/>
      </c>
      <c r="BN262" s="9">
        <f t="shared" si="78"/>
        <v>176152.68750644795</v>
      </c>
      <c r="BU262" s="9"/>
      <c r="BV262" s="9"/>
      <c r="BW262" s="9"/>
      <c r="BX262" s="9"/>
    </row>
    <row r="263" spans="1:76" ht="12.75">
      <c r="A263" s="59">
        <f t="shared" si="82"/>
        <v>208</v>
      </c>
      <c r="B263" s="56" t="s">
        <v>97</v>
      </c>
      <c r="C263" s="56">
        <v>2006</v>
      </c>
      <c r="D263" s="90">
        <v>92000</v>
      </c>
      <c r="E263" s="91"/>
      <c r="F263" s="91"/>
      <c r="G263" s="66"/>
      <c r="H263">
        <f t="shared" si="72"/>
      </c>
      <c r="I263">
        <f t="shared" si="72"/>
      </c>
      <c r="J263">
        <f t="shared" si="72"/>
      </c>
      <c r="K263">
        <f t="shared" si="72"/>
      </c>
      <c r="L263">
        <f t="shared" si="72"/>
      </c>
      <c r="M263">
        <f t="shared" si="72"/>
      </c>
      <c r="N263">
        <f t="shared" si="72"/>
      </c>
      <c r="O263">
        <f t="shared" si="72"/>
      </c>
      <c r="P263">
        <f t="shared" si="72"/>
        <v>92000</v>
      </c>
      <c r="Q263">
        <f t="shared" si="72"/>
      </c>
      <c r="R263" s="9">
        <f t="shared" si="79"/>
        <v>92000</v>
      </c>
      <c r="T263">
        <f t="shared" si="80"/>
      </c>
      <c r="U263">
        <f t="shared" si="73"/>
        <v>92000</v>
      </c>
      <c r="V263">
        <f t="shared" si="73"/>
      </c>
      <c r="W263">
        <f t="shared" si="73"/>
      </c>
      <c r="X263">
        <f t="shared" si="73"/>
      </c>
      <c r="Y263">
        <f t="shared" si="73"/>
      </c>
      <c r="Z263">
        <f t="shared" si="73"/>
      </c>
      <c r="AA263">
        <f t="shared" si="73"/>
      </c>
      <c r="AB263">
        <f t="shared" si="73"/>
      </c>
      <c r="AC263">
        <f t="shared" si="73"/>
      </c>
      <c r="AD263">
        <f t="shared" si="73"/>
      </c>
      <c r="AE263">
        <f t="shared" si="74"/>
      </c>
      <c r="AF263" s="9">
        <f t="shared" si="75"/>
        <v>92000</v>
      </c>
      <c r="AG263">
        <f t="shared" si="71"/>
        <v>0</v>
      </c>
      <c r="AH263">
        <f t="shared" si="70"/>
        <v>0</v>
      </c>
      <c r="AI263">
        <f t="shared" si="70"/>
        <v>0</v>
      </c>
      <c r="AJ263">
        <f t="shared" si="70"/>
        <v>0</v>
      </c>
      <c r="AK263">
        <f t="shared" si="70"/>
        <v>0</v>
      </c>
      <c r="AL263">
        <f t="shared" si="70"/>
        <v>0</v>
      </c>
      <c r="AM263">
        <f t="shared" si="70"/>
        <v>0</v>
      </c>
      <c r="AN263">
        <f t="shared" si="70"/>
        <v>1</v>
      </c>
      <c r="AO263">
        <f t="shared" si="70"/>
        <v>0</v>
      </c>
      <c r="AP263">
        <f t="shared" si="81"/>
        <v>1</v>
      </c>
      <c r="BL263" s="9">
        <f t="shared" si="76"/>
        <v>88152.68750644795</v>
      </c>
      <c r="BM263" s="9">
        <f t="shared" si="77"/>
        <v>88152.68750644795</v>
      </c>
      <c r="BN263" s="9">
        <f t="shared" si="78"/>
      </c>
      <c r="BU263" s="9"/>
      <c r="BV263" s="9"/>
      <c r="BW263" s="9"/>
      <c r="BX263" s="9"/>
    </row>
    <row r="264" spans="1:76" ht="12.75">
      <c r="A264" s="59">
        <f t="shared" si="82"/>
        <v>209</v>
      </c>
      <c r="B264" s="56" t="s">
        <v>97</v>
      </c>
      <c r="C264" s="56">
        <v>2006</v>
      </c>
      <c r="D264" s="90">
        <v>85000</v>
      </c>
      <c r="E264" s="91"/>
      <c r="F264" s="91"/>
      <c r="G264" s="66"/>
      <c r="H264">
        <f aca="true" t="shared" si="83" ref="H264:Q279">IF($B264=H$55,$D264,"")</f>
      </c>
      <c r="I264">
        <f t="shared" si="83"/>
      </c>
      <c r="J264">
        <f t="shared" si="83"/>
      </c>
      <c r="K264">
        <f t="shared" si="83"/>
      </c>
      <c r="L264">
        <f t="shared" si="83"/>
      </c>
      <c r="M264">
        <f t="shared" si="83"/>
      </c>
      <c r="N264">
        <f t="shared" si="83"/>
      </c>
      <c r="O264">
        <f t="shared" si="83"/>
      </c>
      <c r="P264">
        <f t="shared" si="83"/>
        <v>85000</v>
      </c>
      <c r="Q264">
        <f t="shared" si="83"/>
      </c>
      <c r="R264" s="9">
        <f t="shared" si="79"/>
        <v>85000</v>
      </c>
      <c r="T264">
        <f t="shared" si="80"/>
      </c>
      <c r="U264">
        <f aca="true" t="shared" si="84" ref="U264:AD279">IF($C264=U$55,$D264,"")</f>
        <v>85000</v>
      </c>
      <c r="V264">
        <f t="shared" si="84"/>
      </c>
      <c r="W264">
        <f t="shared" si="84"/>
      </c>
      <c r="X264">
        <f t="shared" si="84"/>
      </c>
      <c r="Y264">
        <f t="shared" si="84"/>
      </c>
      <c r="Z264">
        <f t="shared" si="84"/>
      </c>
      <c r="AA264">
        <f t="shared" si="84"/>
      </c>
      <c r="AB264">
        <f t="shared" si="84"/>
      </c>
      <c r="AC264">
        <f t="shared" si="84"/>
      </c>
      <c r="AD264">
        <f t="shared" si="84"/>
      </c>
      <c r="AE264">
        <f t="shared" si="74"/>
      </c>
      <c r="AF264" s="9">
        <f t="shared" si="75"/>
        <v>85000</v>
      </c>
      <c r="AG264">
        <f t="shared" si="71"/>
        <v>0</v>
      </c>
      <c r="AH264">
        <f t="shared" si="70"/>
        <v>0</v>
      </c>
      <c r="AI264">
        <f t="shared" si="70"/>
        <v>0</v>
      </c>
      <c r="AJ264">
        <f t="shared" si="70"/>
        <v>0</v>
      </c>
      <c r="AK264">
        <f t="shared" si="70"/>
        <v>0</v>
      </c>
      <c r="AL264">
        <f t="shared" si="70"/>
        <v>0</v>
      </c>
      <c r="AM264">
        <f t="shared" si="70"/>
        <v>0</v>
      </c>
      <c r="AN264">
        <f t="shared" si="70"/>
        <v>1</v>
      </c>
      <c r="AO264">
        <f t="shared" si="70"/>
        <v>0</v>
      </c>
      <c r="AP264">
        <f t="shared" si="81"/>
        <v>1</v>
      </c>
      <c r="BL264" s="9">
        <f t="shared" si="76"/>
        <v>81152.68750644795</v>
      </c>
      <c r="BM264" s="9">
        <f t="shared" si="77"/>
        <v>81152.68750644795</v>
      </c>
      <c r="BN264" s="9">
        <f t="shared" si="78"/>
      </c>
      <c r="BU264" s="9"/>
      <c r="BV264" s="9"/>
      <c r="BW264" s="9"/>
      <c r="BX264" s="9"/>
    </row>
    <row r="265" spans="1:76" ht="12.75">
      <c r="A265" s="59">
        <f t="shared" si="82"/>
        <v>210</v>
      </c>
      <c r="B265" s="56" t="s">
        <v>97</v>
      </c>
      <c r="C265" s="56">
        <v>2006</v>
      </c>
      <c r="D265" s="90">
        <v>120000</v>
      </c>
      <c r="E265" s="91"/>
      <c r="F265" s="91"/>
      <c r="G265" s="66"/>
      <c r="H265">
        <f t="shared" si="83"/>
      </c>
      <c r="I265">
        <f t="shared" si="83"/>
      </c>
      <c r="J265">
        <f t="shared" si="83"/>
      </c>
      <c r="K265">
        <f t="shared" si="83"/>
      </c>
      <c r="L265">
        <f t="shared" si="83"/>
      </c>
      <c r="M265">
        <f t="shared" si="83"/>
      </c>
      <c r="N265">
        <f t="shared" si="83"/>
      </c>
      <c r="O265">
        <f t="shared" si="83"/>
      </c>
      <c r="P265">
        <f t="shared" si="83"/>
        <v>120000</v>
      </c>
      <c r="Q265">
        <f t="shared" si="83"/>
      </c>
      <c r="R265" s="9">
        <f t="shared" si="79"/>
        <v>120000</v>
      </c>
      <c r="T265">
        <f t="shared" si="80"/>
      </c>
      <c r="U265">
        <f t="shared" si="84"/>
        <v>120000</v>
      </c>
      <c r="V265">
        <f t="shared" si="84"/>
      </c>
      <c r="W265">
        <f t="shared" si="84"/>
      </c>
      <c r="X265">
        <f t="shared" si="84"/>
      </c>
      <c r="Y265">
        <f t="shared" si="84"/>
      </c>
      <c r="Z265">
        <f t="shared" si="84"/>
      </c>
      <c r="AA265">
        <f t="shared" si="84"/>
      </c>
      <c r="AB265">
        <f t="shared" si="84"/>
      </c>
      <c r="AC265">
        <f t="shared" si="84"/>
      </c>
      <c r="AD265">
        <f t="shared" si="84"/>
      </c>
      <c r="AE265">
        <f t="shared" si="74"/>
      </c>
      <c r="AF265" s="9">
        <f t="shared" si="75"/>
        <v>120000</v>
      </c>
      <c r="AG265">
        <f t="shared" si="71"/>
        <v>0</v>
      </c>
      <c r="AH265">
        <f t="shared" si="70"/>
        <v>0</v>
      </c>
      <c r="AI265">
        <f t="shared" si="70"/>
        <v>0</v>
      </c>
      <c r="AJ265">
        <f t="shared" si="70"/>
        <v>0</v>
      </c>
      <c r="AK265">
        <f t="shared" si="70"/>
        <v>0</v>
      </c>
      <c r="AL265">
        <f t="shared" si="70"/>
        <v>0</v>
      </c>
      <c r="AM265">
        <f t="shared" si="70"/>
        <v>0</v>
      </c>
      <c r="AN265">
        <f t="shared" si="70"/>
        <v>1</v>
      </c>
      <c r="AO265">
        <f t="shared" si="70"/>
        <v>0</v>
      </c>
      <c r="AP265">
        <f t="shared" si="81"/>
        <v>1</v>
      </c>
      <c r="BL265" s="9">
        <f t="shared" si="76"/>
        <v>116152.68750644795</v>
      </c>
      <c r="BM265" s="9">
        <f t="shared" si="77"/>
      </c>
      <c r="BN265" s="9">
        <f t="shared" si="78"/>
        <v>116152.68750644795</v>
      </c>
      <c r="BU265" s="9"/>
      <c r="BV265" s="9"/>
      <c r="BW265" s="9"/>
      <c r="BX265" s="9"/>
    </row>
    <row r="266" spans="1:76" ht="12.75">
      <c r="A266" s="59">
        <f t="shared" si="82"/>
        <v>211</v>
      </c>
      <c r="B266" s="56" t="s">
        <v>97</v>
      </c>
      <c r="C266" s="56">
        <v>2006</v>
      </c>
      <c r="D266" s="90">
        <v>135000</v>
      </c>
      <c r="E266" s="91"/>
      <c r="F266" s="91"/>
      <c r="G266" s="66"/>
      <c r="H266">
        <f t="shared" si="83"/>
      </c>
      <c r="I266">
        <f t="shared" si="83"/>
      </c>
      <c r="J266">
        <f t="shared" si="83"/>
      </c>
      <c r="K266">
        <f t="shared" si="83"/>
      </c>
      <c r="L266">
        <f t="shared" si="83"/>
      </c>
      <c r="M266">
        <f t="shared" si="83"/>
      </c>
      <c r="N266">
        <f t="shared" si="83"/>
      </c>
      <c r="O266">
        <f t="shared" si="83"/>
      </c>
      <c r="P266">
        <f t="shared" si="83"/>
        <v>135000</v>
      </c>
      <c r="Q266">
        <f t="shared" si="83"/>
      </c>
      <c r="R266" s="9">
        <f t="shared" si="79"/>
        <v>135000</v>
      </c>
      <c r="T266">
        <f t="shared" si="80"/>
      </c>
      <c r="U266">
        <f t="shared" si="84"/>
        <v>135000</v>
      </c>
      <c r="V266">
        <f t="shared" si="84"/>
      </c>
      <c r="W266">
        <f t="shared" si="84"/>
      </c>
      <c r="X266">
        <f t="shared" si="84"/>
      </c>
      <c r="Y266">
        <f t="shared" si="84"/>
      </c>
      <c r="Z266">
        <f t="shared" si="84"/>
      </c>
      <c r="AA266">
        <f t="shared" si="84"/>
      </c>
      <c r="AB266">
        <f t="shared" si="84"/>
      </c>
      <c r="AC266">
        <f t="shared" si="84"/>
      </c>
      <c r="AD266">
        <f t="shared" si="84"/>
      </c>
      <c r="AE266">
        <f t="shared" si="74"/>
      </c>
      <c r="AF266" s="9">
        <f t="shared" si="75"/>
        <v>135000</v>
      </c>
      <c r="AG266">
        <f t="shared" si="71"/>
        <v>0</v>
      </c>
      <c r="AH266">
        <f t="shared" si="70"/>
        <v>0</v>
      </c>
      <c r="AI266">
        <f t="shared" si="70"/>
        <v>0</v>
      </c>
      <c r="AJ266">
        <f t="shared" si="70"/>
        <v>0</v>
      </c>
      <c r="AK266">
        <f t="shared" si="70"/>
        <v>0</v>
      </c>
      <c r="AL266">
        <f t="shared" si="70"/>
        <v>0</v>
      </c>
      <c r="AM266">
        <f t="shared" si="70"/>
        <v>0</v>
      </c>
      <c r="AN266">
        <f t="shared" si="70"/>
        <v>1</v>
      </c>
      <c r="AO266">
        <f t="shared" si="70"/>
        <v>0</v>
      </c>
      <c r="AP266">
        <f t="shared" si="81"/>
        <v>1</v>
      </c>
      <c r="BL266" s="9">
        <f t="shared" si="76"/>
        <v>131152.68750644795</v>
      </c>
      <c r="BM266" s="9">
        <f t="shared" si="77"/>
      </c>
      <c r="BN266" s="9">
        <f t="shared" si="78"/>
        <v>131152.68750644795</v>
      </c>
      <c r="BU266" s="9"/>
      <c r="BV266" s="9"/>
      <c r="BW266" s="9"/>
      <c r="BX266" s="9"/>
    </row>
    <row r="267" spans="1:76" ht="12.75">
      <c r="A267" s="59">
        <f t="shared" si="82"/>
        <v>212</v>
      </c>
      <c r="B267" s="56" t="s">
        <v>97</v>
      </c>
      <c r="C267" s="56">
        <v>2006</v>
      </c>
      <c r="D267" s="90">
        <v>135000</v>
      </c>
      <c r="E267" s="91"/>
      <c r="F267" s="91"/>
      <c r="G267" s="66"/>
      <c r="H267">
        <f t="shared" si="83"/>
      </c>
      <c r="I267">
        <f t="shared" si="83"/>
      </c>
      <c r="J267">
        <f t="shared" si="83"/>
      </c>
      <c r="K267">
        <f t="shared" si="83"/>
      </c>
      <c r="L267">
        <f t="shared" si="83"/>
      </c>
      <c r="M267">
        <f t="shared" si="83"/>
      </c>
      <c r="N267">
        <f t="shared" si="83"/>
      </c>
      <c r="O267">
        <f t="shared" si="83"/>
      </c>
      <c r="P267">
        <f t="shared" si="83"/>
        <v>135000</v>
      </c>
      <c r="Q267">
        <f t="shared" si="83"/>
      </c>
      <c r="R267" s="9">
        <f t="shared" si="79"/>
        <v>135000</v>
      </c>
      <c r="T267">
        <f t="shared" si="80"/>
      </c>
      <c r="U267">
        <f t="shared" si="84"/>
        <v>135000</v>
      </c>
      <c r="V267">
        <f t="shared" si="84"/>
      </c>
      <c r="W267">
        <f t="shared" si="84"/>
      </c>
      <c r="X267">
        <f t="shared" si="84"/>
      </c>
      <c r="Y267">
        <f t="shared" si="84"/>
      </c>
      <c r="Z267">
        <f t="shared" si="84"/>
      </c>
      <c r="AA267">
        <f t="shared" si="84"/>
      </c>
      <c r="AB267">
        <f t="shared" si="84"/>
      </c>
      <c r="AC267">
        <f t="shared" si="84"/>
      </c>
      <c r="AD267">
        <f t="shared" si="84"/>
      </c>
      <c r="AE267">
        <f t="shared" si="74"/>
      </c>
      <c r="AF267" s="9">
        <f t="shared" si="75"/>
        <v>135000</v>
      </c>
      <c r="AG267">
        <f t="shared" si="71"/>
        <v>0</v>
      </c>
      <c r="AH267">
        <f t="shared" si="70"/>
        <v>0</v>
      </c>
      <c r="AI267">
        <f t="shared" si="70"/>
        <v>0</v>
      </c>
      <c r="AJ267">
        <f t="shared" si="70"/>
        <v>0</v>
      </c>
      <c r="AK267">
        <f t="shared" si="70"/>
        <v>0</v>
      </c>
      <c r="AL267">
        <f t="shared" si="70"/>
        <v>0</v>
      </c>
      <c r="AM267">
        <f t="shared" si="70"/>
        <v>0</v>
      </c>
      <c r="AN267">
        <f t="shared" si="70"/>
        <v>1</v>
      </c>
      <c r="AO267">
        <f t="shared" si="70"/>
        <v>0</v>
      </c>
      <c r="AP267">
        <f t="shared" si="81"/>
        <v>1</v>
      </c>
      <c r="BL267" s="9">
        <f t="shared" si="76"/>
        <v>131152.68750644795</v>
      </c>
      <c r="BM267" s="9">
        <f t="shared" si="77"/>
      </c>
      <c r="BN267" s="9">
        <f t="shared" si="78"/>
        <v>131152.68750644795</v>
      </c>
      <c r="BU267" s="9"/>
      <c r="BV267" s="9"/>
      <c r="BW267" s="9"/>
      <c r="BX267" s="9"/>
    </row>
    <row r="268" spans="1:76" ht="12.75">
      <c r="A268" s="59">
        <f t="shared" si="82"/>
        <v>213</v>
      </c>
      <c r="B268" s="56" t="s">
        <v>97</v>
      </c>
      <c r="C268" s="56">
        <v>2006</v>
      </c>
      <c r="D268" s="90">
        <v>135000</v>
      </c>
      <c r="E268" s="91"/>
      <c r="F268" s="91"/>
      <c r="G268" s="66"/>
      <c r="H268">
        <f t="shared" si="83"/>
      </c>
      <c r="I268">
        <f t="shared" si="83"/>
      </c>
      <c r="J268">
        <f t="shared" si="83"/>
      </c>
      <c r="K268">
        <f t="shared" si="83"/>
      </c>
      <c r="L268">
        <f t="shared" si="83"/>
      </c>
      <c r="M268">
        <f t="shared" si="83"/>
      </c>
      <c r="N268">
        <f t="shared" si="83"/>
      </c>
      <c r="O268">
        <f t="shared" si="83"/>
      </c>
      <c r="P268">
        <f t="shared" si="83"/>
        <v>135000</v>
      </c>
      <c r="Q268">
        <f t="shared" si="83"/>
      </c>
      <c r="R268" s="9">
        <f t="shared" si="79"/>
        <v>135000</v>
      </c>
      <c r="T268">
        <f t="shared" si="80"/>
      </c>
      <c r="U268">
        <f t="shared" si="84"/>
        <v>135000</v>
      </c>
      <c r="V268">
        <f t="shared" si="84"/>
      </c>
      <c r="W268">
        <f t="shared" si="84"/>
      </c>
      <c r="X268">
        <f t="shared" si="84"/>
      </c>
      <c r="Y268">
        <f t="shared" si="84"/>
      </c>
      <c r="Z268">
        <f t="shared" si="84"/>
      </c>
      <c r="AA268">
        <f t="shared" si="84"/>
      </c>
      <c r="AB268">
        <f t="shared" si="84"/>
      </c>
      <c r="AC268">
        <f t="shared" si="84"/>
      </c>
      <c r="AD268">
        <f t="shared" si="84"/>
      </c>
      <c r="AE268">
        <f t="shared" si="74"/>
      </c>
      <c r="AF268" s="9">
        <f t="shared" si="75"/>
        <v>135000</v>
      </c>
      <c r="AG268">
        <f t="shared" si="71"/>
        <v>0</v>
      </c>
      <c r="AH268">
        <f t="shared" si="70"/>
        <v>0</v>
      </c>
      <c r="AI268">
        <f t="shared" si="70"/>
        <v>0</v>
      </c>
      <c r="AJ268">
        <f t="shared" si="70"/>
        <v>0</v>
      </c>
      <c r="AK268">
        <f t="shared" si="70"/>
        <v>0</v>
      </c>
      <c r="AL268">
        <f t="shared" si="70"/>
        <v>0</v>
      </c>
      <c r="AM268">
        <f t="shared" si="70"/>
        <v>0</v>
      </c>
      <c r="AN268">
        <f t="shared" si="70"/>
        <v>1</v>
      </c>
      <c r="AO268">
        <f t="shared" si="70"/>
        <v>0</v>
      </c>
      <c r="AP268">
        <f t="shared" si="81"/>
        <v>1</v>
      </c>
      <c r="BL268" s="9">
        <f t="shared" si="76"/>
        <v>131152.68750644795</v>
      </c>
      <c r="BM268" s="9">
        <f t="shared" si="77"/>
      </c>
      <c r="BN268" s="9">
        <f t="shared" si="78"/>
        <v>131152.68750644795</v>
      </c>
      <c r="BU268" s="9"/>
      <c r="BV268" s="9"/>
      <c r="BW268" s="9"/>
      <c r="BX268" s="9"/>
    </row>
    <row r="269" spans="1:76" ht="12.75">
      <c r="A269" s="59">
        <f t="shared" si="82"/>
        <v>214</v>
      </c>
      <c r="B269" s="56" t="s">
        <v>97</v>
      </c>
      <c r="C269" s="56">
        <v>2006</v>
      </c>
      <c r="D269" s="90">
        <v>135000</v>
      </c>
      <c r="E269" s="91"/>
      <c r="F269" s="91"/>
      <c r="G269" s="66"/>
      <c r="H269">
        <f t="shared" si="83"/>
      </c>
      <c r="I269">
        <f t="shared" si="83"/>
      </c>
      <c r="J269">
        <f t="shared" si="83"/>
      </c>
      <c r="K269">
        <f t="shared" si="83"/>
      </c>
      <c r="L269">
        <f t="shared" si="83"/>
      </c>
      <c r="M269">
        <f t="shared" si="83"/>
      </c>
      <c r="N269">
        <f t="shared" si="83"/>
      </c>
      <c r="O269">
        <f t="shared" si="83"/>
      </c>
      <c r="P269">
        <f t="shared" si="83"/>
        <v>135000</v>
      </c>
      <c r="Q269">
        <f t="shared" si="83"/>
      </c>
      <c r="R269" s="9">
        <f t="shared" si="79"/>
        <v>135000</v>
      </c>
      <c r="T269">
        <f t="shared" si="80"/>
      </c>
      <c r="U269">
        <f t="shared" si="84"/>
        <v>135000</v>
      </c>
      <c r="V269">
        <f t="shared" si="84"/>
      </c>
      <c r="W269">
        <f t="shared" si="84"/>
      </c>
      <c r="X269">
        <f t="shared" si="84"/>
      </c>
      <c r="Y269">
        <f t="shared" si="84"/>
      </c>
      <c r="Z269">
        <f t="shared" si="84"/>
      </c>
      <c r="AA269">
        <f t="shared" si="84"/>
      </c>
      <c r="AB269">
        <f t="shared" si="84"/>
      </c>
      <c r="AC269">
        <f t="shared" si="84"/>
      </c>
      <c r="AD269">
        <f t="shared" si="84"/>
      </c>
      <c r="AE269">
        <f t="shared" si="74"/>
      </c>
      <c r="AF269" s="9">
        <f t="shared" si="75"/>
        <v>135000</v>
      </c>
      <c r="AG269">
        <f t="shared" si="71"/>
        <v>0</v>
      </c>
      <c r="AH269">
        <f t="shared" si="71"/>
        <v>0</v>
      </c>
      <c r="AI269">
        <f t="shared" si="71"/>
        <v>0</v>
      </c>
      <c r="AJ269">
        <f t="shared" si="71"/>
        <v>0</v>
      </c>
      <c r="AK269">
        <f t="shared" si="71"/>
        <v>0</v>
      </c>
      <c r="AL269">
        <f t="shared" si="71"/>
        <v>0</v>
      </c>
      <c r="AM269">
        <f t="shared" si="71"/>
        <v>0</v>
      </c>
      <c r="AN269">
        <f t="shared" si="71"/>
        <v>1</v>
      </c>
      <c r="AO269">
        <f t="shared" si="71"/>
        <v>0</v>
      </c>
      <c r="AP269">
        <f t="shared" si="81"/>
        <v>1</v>
      </c>
      <c r="BL269" s="9">
        <f t="shared" si="76"/>
        <v>131152.68750644795</v>
      </c>
      <c r="BM269" s="9">
        <f t="shared" si="77"/>
      </c>
      <c r="BN269" s="9">
        <f t="shared" si="78"/>
        <v>131152.68750644795</v>
      </c>
      <c r="BU269" s="9"/>
      <c r="BV269" s="9"/>
      <c r="BW269" s="9"/>
      <c r="BX269" s="9"/>
    </row>
    <row r="270" spans="1:76" ht="12.75">
      <c r="A270" s="59">
        <f t="shared" si="82"/>
        <v>215</v>
      </c>
      <c r="B270" s="56" t="s">
        <v>97</v>
      </c>
      <c r="C270" s="56">
        <v>2006</v>
      </c>
      <c r="D270" s="90">
        <v>135000</v>
      </c>
      <c r="E270" s="91"/>
      <c r="F270" s="91"/>
      <c r="G270" s="66"/>
      <c r="H270">
        <f t="shared" si="83"/>
      </c>
      <c r="I270">
        <f t="shared" si="83"/>
      </c>
      <c r="J270">
        <f t="shared" si="83"/>
      </c>
      <c r="K270">
        <f t="shared" si="83"/>
      </c>
      <c r="L270">
        <f t="shared" si="83"/>
      </c>
      <c r="M270">
        <f t="shared" si="83"/>
      </c>
      <c r="N270">
        <f t="shared" si="83"/>
      </c>
      <c r="O270">
        <f t="shared" si="83"/>
      </c>
      <c r="P270">
        <f t="shared" si="83"/>
        <v>135000</v>
      </c>
      <c r="Q270">
        <f t="shared" si="83"/>
      </c>
      <c r="R270" s="9">
        <f t="shared" si="79"/>
        <v>135000</v>
      </c>
      <c r="T270">
        <f t="shared" si="80"/>
      </c>
      <c r="U270">
        <f t="shared" si="84"/>
        <v>135000</v>
      </c>
      <c r="V270">
        <f t="shared" si="84"/>
      </c>
      <c r="W270">
        <f t="shared" si="84"/>
      </c>
      <c r="X270">
        <f t="shared" si="84"/>
      </c>
      <c r="Y270">
        <f t="shared" si="84"/>
      </c>
      <c r="Z270">
        <f t="shared" si="84"/>
      </c>
      <c r="AA270">
        <f t="shared" si="84"/>
      </c>
      <c r="AB270">
        <f t="shared" si="84"/>
      </c>
      <c r="AC270">
        <f t="shared" si="84"/>
      </c>
      <c r="AD270">
        <f t="shared" si="84"/>
      </c>
      <c r="AE270">
        <f t="shared" si="74"/>
      </c>
      <c r="AF270" s="9">
        <f t="shared" si="75"/>
        <v>135000</v>
      </c>
      <c r="AG270">
        <f t="shared" si="71"/>
        <v>0</v>
      </c>
      <c r="AH270">
        <f t="shared" si="71"/>
        <v>0</v>
      </c>
      <c r="AI270">
        <f t="shared" si="71"/>
        <v>0</v>
      </c>
      <c r="AJ270">
        <f t="shared" si="71"/>
        <v>0</v>
      </c>
      <c r="AK270">
        <f t="shared" si="71"/>
        <v>0</v>
      </c>
      <c r="AL270">
        <f t="shared" si="71"/>
        <v>0</v>
      </c>
      <c r="AM270">
        <f t="shared" si="71"/>
        <v>0</v>
      </c>
      <c r="AN270">
        <f t="shared" si="71"/>
        <v>1</v>
      </c>
      <c r="AO270">
        <f t="shared" si="71"/>
        <v>0</v>
      </c>
      <c r="AP270">
        <f t="shared" si="81"/>
        <v>1</v>
      </c>
      <c r="BL270" s="9">
        <f t="shared" si="76"/>
        <v>131152.68750644795</v>
      </c>
      <c r="BM270" s="9">
        <f t="shared" si="77"/>
      </c>
      <c r="BN270" s="9">
        <f t="shared" si="78"/>
        <v>131152.68750644795</v>
      </c>
      <c r="BU270" s="9"/>
      <c r="BV270" s="9"/>
      <c r="BW270" s="9"/>
      <c r="BX270" s="9"/>
    </row>
    <row r="271" spans="1:76" ht="12.75">
      <c r="A271" s="59">
        <f t="shared" si="82"/>
        <v>216</v>
      </c>
      <c r="B271" s="56" t="s">
        <v>97</v>
      </c>
      <c r="C271" s="56">
        <v>2006</v>
      </c>
      <c r="D271" s="90">
        <v>90000</v>
      </c>
      <c r="E271" s="91"/>
      <c r="F271" s="91"/>
      <c r="G271" s="66"/>
      <c r="H271">
        <f t="shared" si="83"/>
      </c>
      <c r="I271">
        <f t="shared" si="83"/>
      </c>
      <c r="J271">
        <f t="shared" si="83"/>
      </c>
      <c r="K271">
        <f t="shared" si="83"/>
      </c>
      <c r="L271">
        <f t="shared" si="83"/>
      </c>
      <c r="M271">
        <f t="shared" si="83"/>
      </c>
      <c r="N271">
        <f t="shared" si="83"/>
      </c>
      <c r="O271">
        <f t="shared" si="83"/>
      </c>
      <c r="P271">
        <f t="shared" si="83"/>
        <v>90000</v>
      </c>
      <c r="Q271">
        <f t="shared" si="83"/>
      </c>
      <c r="R271" s="9">
        <f t="shared" si="79"/>
        <v>90000</v>
      </c>
      <c r="T271">
        <f t="shared" si="80"/>
      </c>
      <c r="U271">
        <f t="shared" si="84"/>
        <v>90000</v>
      </c>
      <c r="V271">
        <f t="shared" si="84"/>
      </c>
      <c r="W271">
        <f t="shared" si="84"/>
      </c>
      <c r="X271">
        <f t="shared" si="84"/>
      </c>
      <c r="Y271">
        <f t="shared" si="84"/>
      </c>
      <c r="Z271">
        <f t="shared" si="84"/>
      </c>
      <c r="AA271">
        <f t="shared" si="84"/>
      </c>
      <c r="AB271">
        <f t="shared" si="84"/>
      </c>
      <c r="AC271">
        <f t="shared" si="84"/>
      </c>
      <c r="AD271">
        <f t="shared" si="84"/>
      </c>
      <c r="AE271">
        <f t="shared" si="74"/>
      </c>
      <c r="AF271" s="9">
        <f t="shared" si="75"/>
        <v>90000</v>
      </c>
      <c r="AG271">
        <f t="shared" si="71"/>
        <v>0</v>
      </c>
      <c r="AH271">
        <f t="shared" si="71"/>
        <v>0</v>
      </c>
      <c r="AI271">
        <f t="shared" si="71"/>
        <v>0</v>
      </c>
      <c r="AJ271">
        <f t="shared" si="71"/>
        <v>0</v>
      </c>
      <c r="AK271">
        <f t="shared" si="71"/>
        <v>0</v>
      </c>
      <c r="AL271">
        <f t="shared" si="71"/>
        <v>0</v>
      </c>
      <c r="AM271">
        <f t="shared" si="71"/>
        <v>0</v>
      </c>
      <c r="AN271">
        <f t="shared" si="71"/>
        <v>1</v>
      </c>
      <c r="AO271">
        <f t="shared" si="71"/>
        <v>0</v>
      </c>
      <c r="AP271">
        <f t="shared" si="81"/>
        <v>1</v>
      </c>
      <c r="BL271" s="9">
        <f t="shared" si="76"/>
        <v>86152.68750644795</v>
      </c>
      <c r="BM271" s="9">
        <f t="shared" si="77"/>
        <v>86152.68750644795</v>
      </c>
      <c r="BN271" s="9">
        <f t="shared" si="78"/>
      </c>
      <c r="BU271" s="9"/>
      <c r="BV271" s="9"/>
      <c r="BW271" s="9"/>
      <c r="BX271" s="9"/>
    </row>
    <row r="272" spans="1:76" ht="12.75">
      <c r="A272" s="59">
        <f t="shared" si="82"/>
        <v>217</v>
      </c>
      <c r="B272" s="56" t="s">
        <v>97</v>
      </c>
      <c r="C272" s="56">
        <v>2006</v>
      </c>
      <c r="D272" s="90">
        <v>90000</v>
      </c>
      <c r="E272" s="91"/>
      <c r="F272" s="91"/>
      <c r="G272" s="66"/>
      <c r="H272">
        <f t="shared" si="83"/>
      </c>
      <c r="I272">
        <f t="shared" si="83"/>
      </c>
      <c r="J272">
        <f t="shared" si="83"/>
      </c>
      <c r="K272">
        <f t="shared" si="83"/>
      </c>
      <c r="L272">
        <f t="shared" si="83"/>
      </c>
      <c r="M272">
        <f t="shared" si="83"/>
      </c>
      <c r="N272">
        <f t="shared" si="83"/>
      </c>
      <c r="O272">
        <f t="shared" si="83"/>
      </c>
      <c r="P272">
        <f t="shared" si="83"/>
        <v>90000</v>
      </c>
      <c r="Q272">
        <f t="shared" si="83"/>
      </c>
      <c r="R272" s="9">
        <f t="shared" si="79"/>
        <v>90000</v>
      </c>
      <c r="T272">
        <f t="shared" si="80"/>
      </c>
      <c r="U272">
        <f t="shared" si="84"/>
        <v>90000</v>
      </c>
      <c r="V272">
        <f t="shared" si="84"/>
      </c>
      <c r="W272">
        <f t="shared" si="84"/>
      </c>
      <c r="X272">
        <f t="shared" si="84"/>
      </c>
      <c r="Y272">
        <f t="shared" si="84"/>
      </c>
      <c r="Z272">
        <f t="shared" si="84"/>
      </c>
      <c r="AA272">
        <f t="shared" si="84"/>
      </c>
      <c r="AB272">
        <f t="shared" si="84"/>
      </c>
      <c r="AC272">
        <f t="shared" si="84"/>
      </c>
      <c r="AD272">
        <f t="shared" si="84"/>
      </c>
      <c r="AE272">
        <f t="shared" si="74"/>
      </c>
      <c r="AF272" s="9">
        <f t="shared" si="75"/>
        <v>90000</v>
      </c>
      <c r="AG272">
        <f t="shared" si="71"/>
        <v>0</v>
      </c>
      <c r="AH272">
        <f t="shared" si="71"/>
        <v>0</v>
      </c>
      <c r="AI272">
        <f t="shared" si="71"/>
        <v>0</v>
      </c>
      <c r="AJ272">
        <f t="shared" si="71"/>
        <v>0</v>
      </c>
      <c r="AK272">
        <f t="shared" si="71"/>
        <v>0</v>
      </c>
      <c r="AL272">
        <f t="shared" si="71"/>
        <v>0</v>
      </c>
      <c r="AM272">
        <f t="shared" si="71"/>
        <v>0</v>
      </c>
      <c r="AN272">
        <f t="shared" si="71"/>
        <v>1</v>
      </c>
      <c r="AO272">
        <f t="shared" si="71"/>
        <v>0</v>
      </c>
      <c r="AP272">
        <f t="shared" si="81"/>
        <v>1</v>
      </c>
      <c r="BL272" s="9">
        <f t="shared" si="76"/>
        <v>86152.68750644795</v>
      </c>
      <c r="BM272" s="9">
        <f t="shared" si="77"/>
        <v>86152.68750644795</v>
      </c>
      <c r="BN272" s="9">
        <f t="shared" si="78"/>
      </c>
      <c r="BU272" s="9"/>
      <c r="BV272" s="9"/>
      <c r="BW272" s="9"/>
      <c r="BX272" s="9"/>
    </row>
    <row r="273" spans="1:76" ht="12.75">
      <c r="A273" s="59">
        <f t="shared" si="82"/>
        <v>218</v>
      </c>
      <c r="B273" s="56" t="s">
        <v>97</v>
      </c>
      <c r="C273" s="56">
        <v>2006</v>
      </c>
      <c r="D273" s="90">
        <v>70000</v>
      </c>
      <c r="E273" s="91"/>
      <c r="F273" s="91"/>
      <c r="G273" s="66"/>
      <c r="H273">
        <f t="shared" si="83"/>
      </c>
      <c r="I273">
        <f t="shared" si="83"/>
      </c>
      <c r="J273">
        <f t="shared" si="83"/>
      </c>
      <c r="K273">
        <f t="shared" si="83"/>
      </c>
      <c r="L273">
        <f t="shared" si="83"/>
      </c>
      <c r="M273">
        <f t="shared" si="83"/>
      </c>
      <c r="N273">
        <f t="shared" si="83"/>
      </c>
      <c r="O273">
        <f t="shared" si="83"/>
      </c>
      <c r="P273">
        <f t="shared" si="83"/>
        <v>70000</v>
      </c>
      <c r="Q273">
        <f t="shared" si="83"/>
      </c>
      <c r="R273" s="9">
        <f t="shared" si="79"/>
        <v>70000</v>
      </c>
      <c r="T273">
        <f t="shared" si="80"/>
      </c>
      <c r="U273">
        <f t="shared" si="84"/>
        <v>70000</v>
      </c>
      <c r="V273">
        <f t="shared" si="84"/>
      </c>
      <c r="W273">
        <f t="shared" si="84"/>
      </c>
      <c r="X273">
        <f t="shared" si="84"/>
      </c>
      <c r="Y273">
        <f t="shared" si="84"/>
      </c>
      <c r="Z273">
        <f t="shared" si="84"/>
      </c>
      <c r="AA273">
        <f t="shared" si="84"/>
      </c>
      <c r="AB273">
        <f t="shared" si="84"/>
      </c>
      <c r="AC273">
        <f t="shared" si="84"/>
      </c>
      <c r="AD273">
        <f t="shared" si="84"/>
      </c>
      <c r="AE273">
        <f t="shared" si="74"/>
      </c>
      <c r="AF273" s="9">
        <f t="shared" si="75"/>
        <v>70000</v>
      </c>
      <c r="AG273">
        <f t="shared" si="71"/>
        <v>0</v>
      </c>
      <c r="AH273">
        <f t="shared" si="71"/>
        <v>0</v>
      </c>
      <c r="AI273">
        <f t="shared" si="71"/>
        <v>0</v>
      </c>
      <c r="AJ273">
        <f t="shared" si="71"/>
        <v>0</v>
      </c>
      <c r="AK273">
        <f t="shared" si="71"/>
        <v>0</v>
      </c>
      <c r="AL273">
        <f t="shared" si="71"/>
        <v>0</v>
      </c>
      <c r="AM273">
        <f t="shared" si="71"/>
        <v>0</v>
      </c>
      <c r="AN273">
        <f t="shared" si="71"/>
        <v>1</v>
      </c>
      <c r="AO273">
        <f t="shared" si="71"/>
        <v>0</v>
      </c>
      <c r="AP273">
        <f t="shared" si="81"/>
        <v>1</v>
      </c>
      <c r="BL273" s="9">
        <f t="shared" si="76"/>
        <v>66152.68750644795</v>
      </c>
      <c r="BM273" s="9">
        <f t="shared" si="77"/>
        <v>66152.68750644795</v>
      </c>
      <c r="BN273" s="9">
        <f t="shared" si="78"/>
      </c>
      <c r="BU273" s="9"/>
      <c r="BV273" s="9"/>
      <c r="BW273" s="9"/>
      <c r="BX273" s="9"/>
    </row>
    <row r="274" spans="1:76" ht="12.75">
      <c r="A274" s="59">
        <f t="shared" si="82"/>
        <v>219</v>
      </c>
      <c r="B274" s="56" t="s">
        <v>97</v>
      </c>
      <c r="C274" s="56">
        <v>2006</v>
      </c>
      <c r="D274" s="90">
        <v>70000</v>
      </c>
      <c r="E274" s="91"/>
      <c r="F274" s="91"/>
      <c r="G274" s="66"/>
      <c r="H274">
        <f t="shared" si="83"/>
      </c>
      <c r="I274">
        <f t="shared" si="83"/>
      </c>
      <c r="J274">
        <f t="shared" si="83"/>
      </c>
      <c r="K274">
        <f t="shared" si="83"/>
      </c>
      <c r="L274">
        <f t="shared" si="83"/>
      </c>
      <c r="M274">
        <f t="shared" si="83"/>
      </c>
      <c r="N274">
        <f t="shared" si="83"/>
      </c>
      <c r="O274">
        <f t="shared" si="83"/>
      </c>
      <c r="P274">
        <f t="shared" si="83"/>
        <v>70000</v>
      </c>
      <c r="Q274">
        <f t="shared" si="83"/>
      </c>
      <c r="R274" s="9">
        <f t="shared" si="79"/>
        <v>70000</v>
      </c>
      <c r="T274">
        <f t="shared" si="80"/>
      </c>
      <c r="U274">
        <f t="shared" si="84"/>
        <v>70000</v>
      </c>
      <c r="V274">
        <f t="shared" si="84"/>
      </c>
      <c r="W274">
        <f t="shared" si="84"/>
      </c>
      <c r="X274">
        <f t="shared" si="84"/>
      </c>
      <c r="Y274">
        <f t="shared" si="84"/>
      </c>
      <c r="Z274">
        <f t="shared" si="84"/>
      </c>
      <c r="AA274">
        <f t="shared" si="84"/>
      </c>
      <c r="AB274">
        <f t="shared" si="84"/>
      </c>
      <c r="AC274">
        <f t="shared" si="84"/>
      </c>
      <c r="AD274">
        <f t="shared" si="84"/>
      </c>
      <c r="AE274">
        <f t="shared" si="74"/>
      </c>
      <c r="AF274" s="9">
        <f t="shared" si="75"/>
        <v>70000</v>
      </c>
      <c r="AG274">
        <f t="shared" si="71"/>
        <v>0</v>
      </c>
      <c r="AH274">
        <f t="shared" si="71"/>
        <v>0</v>
      </c>
      <c r="AI274">
        <f t="shared" si="71"/>
        <v>0</v>
      </c>
      <c r="AJ274">
        <f t="shared" si="71"/>
        <v>0</v>
      </c>
      <c r="AK274">
        <f t="shared" si="71"/>
        <v>0</v>
      </c>
      <c r="AL274">
        <f t="shared" si="71"/>
        <v>0</v>
      </c>
      <c r="AM274">
        <f t="shared" si="71"/>
        <v>0</v>
      </c>
      <c r="AN274">
        <f t="shared" si="71"/>
        <v>1</v>
      </c>
      <c r="AO274">
        <f t="shared" si="71"/>
        <v>0</v>
      </c>
      <c r="AP274">
        <f t="shared" si="81"/>
        <v>1</v>
      </c>
      <c r="BL274" s="9">
        <f t="shared" si="76"/>
        <v>66152.68750644795</v>
      </c>
      <c r="BM274" s="9">
        <f t="shared" si="77"/>
        <v>66152.68750644795</v>
      </c>
      <c r="BN274" s="9">
        <f t="shared" si="78"/>
      </c>
      <c r="BU274" s="9"/>
      <c r="BV274" s="9"/>
      <c r="BW274" s="9"/>
      <c r="BX274" s="9"/>
    </row>
    <row r="275" spans="1:76" ht="12.75">
      <c r="A275" s="59">
        <f t="shared" si="82"/>
        <v>220</v>
      </c>
      <c r="B275" s="56" t="s">
        <v>97</v>
      </c>
      <c r="C275" s="56">
        <v>2006</v>
      </c>
      <c r="D275" s="90">
        <v>90000</v>
      </c>
      <c r="E275" s="91"/>
      <c r="F275" s="91"/>
      <c r="G275" s="66"/>
      <c r="H275">
        <f t="shared" si="83"/>
      </c>
      <c r="I275">
        <f t="shared" si="83"/>
      </c>
      <c r="J275">
        <f t="shared" si="83"/>
      </c>
      <c r="K275">
        <f t="shared" si="83"/>
      </c>
      <c r="L275">
        <f t="shared" si="83"/>
      </c>
      <c r="M275">
        <f t="shared" si="83"/>
      </c>
      <c r="N275">
        <f t="shared" si="83"/>
      </c>
      <c r="O275">
        <f t="shared" si="83"/>
      </c>
      <c r="P275">
        <f t="shared" si="83"/>
        <v>90000</v>
      </c>
      <c r="Q275">
        <f t="shared" si="83"/>
      </c>
      <c r="R275" s="9">
        <f t="shared" si="79"/>
        <v>90000</v>
      </c>
      <c r="T275">
        <f t="shared" si="80"/>
      </c>
      <c r="U275">
        <f t="shared" si="84"/>
        <v>90000</v>
      </c>
      <c r="V275">
        <f t="shared" si="84"/>
      </c>
      <c r="W275">
        <f t="shared" si="84"/>
      </c>
      <c r="X275">
        <f t="shared" si="84"/>
      </c>
      <c r="Y275">
        <f t="shared" si="84"/>
      </c>
      <c r="Z275">
        <f t="shared" si="84"/>
      </c>
      <c r="AA275">
        <f t="shared" si="84"/>
      </c>
      <c r="AB275">
        <f t="shared" si="84"/>
      </c>
      <c r="AC275">
        <f t="shared" si="84"/>
      </c>
      <c r="AD275">
        <f t="shared" si="84"/>
      </c>
      <c r="AE275">
        <f t="shared" si="74"/>
      </c>
      <c r="AF275" s="9">
        <f t="shared" si="75"/>
        <v>90000</v>
      </c>
      <c r="AG275">
        <f t="shared" si="71"/>
        <v>0</v>
      </c>
      <c r="AH275">
        <f t="shared" si="71"/>
        <v>0</v>
      </c>
      <c r="AI275">
        <f t="shared" si="71"/>
        <v>0</v>
      </c>
      <c r="AJ275">
        <f t="shared" si="71"/>
        <v>0</v>
      </c>
      <c r="AK275">
        <f t="shared" si="71"/>
        <v>0</v>
      </c>
      <c r="AL275">
        <f t="shared" si="71"/>
        <v>0</v>
      </c>
      <c r="AM275">
        <f t="shared" si="71"/>
        <v>0</v>
      </c>
      <c r="AN275">
        <f t="shared" si="71"/>
        <v>1</v>
      </c>
      <c r="AO275">
        <f t="shared" si="71"/>
        <v>0</v>
      </c>
      <c r="AP275">
        <f t="shared" si="81"/>
        <v>1</v>
      </c>
      <c r="BL275" s="9">
        <f t="shared" si="76"/>
        <v>86152.68750644795</v>
      </c>
      <c r="BM275" s="9">
        <f t="shared" si="77"/>
        <v>86152.68750644795</v>
      </c>
      <c r="BN275" s="9">
        <f t="shared" si="78"/>
      </c>
      <c r="BU275" s="9"/>
      <c r="BV275" s="9"/>
      <c r="BW275" s="9"/>
      <c r="BX275" s="9"/>
    </row>
    <row r="276" spans="1:76" ht="12.75">
      <c r="A276" s="59">
        <f t="shared" si="82"/>
        <v>221</v>
      </c>
      <c r="B276" s="56" t="s">
        <v>97</v>
      </c>
      <c r="C276" s="56">
        <v>2006</v>
      </c>
      <c r="D276" s="90">
        <v>140000</v>
      </c>
      <c r="E276" s="91"/>
      <c r="F276" s="91"/>
      <c r="G276" s="66"/>
      <c r="H276">
        <f t="shared" si="83"/>
      </c>
      <c r="I276">
        <f t="shared" si="83"/>
      </c>
      <c r="J276">
        <f t="shared" si="83"/>
      </c>
      <c r="K276">
        <f t="shared" si="83"/>
      </c>
      <c r="L276">
        <f t="shared" si="83"/>
      </c>
      <c r="M276">
        <f t="shared" si="83"/>
      </c>
      <c r="N276">
        <f t="shared" si="83"/>
      </c>
      <c r="O276">
        <f t="shared" si="83"/>
      </c>
      <c r="P276">
        <f t="shared" si="83"/>
        <v>140000</v>
      </c>
      <c r="Q276">
        <f t="shared" si="83"/>
      </c>
      <c r="R276" s="9">
        <f t="shared" si="79"/>
        <v>140000</v>
      </c>
      <c r="T276">
        <f t="shared" si="80"/>
      </c>
      <c r="U276">
        <f t="shared" si="84"/>
        <v>140000</v>
      </c>
      <c r="V276">
        <f t="shared" si="84"/>
      </c>
      <c r="W276">
        <f t="shared" si="84"/>
      </c>
      <c r="X276">
        <f t="shared" si="84"/>
      </c>
      <c r="Y276">
        <f t="shared" si="84"/>
      </c>
      <c r="Z276">
        <f t="shared" si="84"/>
      </c>
      <c r="AA276">
        <f t="shared" si="84"/>
      </c>
      <c r="AB276">
        <f t="shared" si="84"/>
      </c>
      <c r="AC276">
        <f t="shared" si="84"/>
      </c>
      <c r="AD276">
        <f t="shared" si="84"/>
      </c>
      <c r="AE276">
        <f t="shared" si="74"/>
      </c>
      <c r="AF276" s="9">
        <f t="shared" si="75"/>
        <v>140000</v>
      </c>
      <c r="AG276">
        <f t="shared" si="71"/>
        <v>0</v>
      </c>
      <c r="AH276">
        <f t="shared" si="71"/>
        <v>0</v>
      </c>
      <c r="AI276">
        <f t="shared" si="71"/>
        <v>0</v>
      </c>
      <c r="AJ276">
        <f t="shared" si="71"/>
        <v>0</v>
      </c>
      <c r="AK276">
        <f t="shared" si="71"/>
        <v>0</v>
      </c>
      <c r="AL276">
        <f t="shared" si="71"/>
        <v>0</v>
      </c>
      <c r="AM276">
        <f t="shared" si="71"/>
        <v>0</v>
      </c>
      <c r="AN276">
        <f t="shared" si="71"/>
        <v>1</v>
      </c>
      <c r="AO276">
        <f t="shared" si="71"/>
        <v>0</v>
      </c>
      <c r="AP276">
        <f t="shared" si="81"/>
        <v>1</v>
      </c>
      <c r="BL276" s="9">
        <f t="shared" si="76"/>
        <v>136152.68750644795</v>
      </c>
      <c r="BM276" s="9">
        <f t="shared" si="77"/>
      </c>
      <c r="BN276" s="9">
        <f t="shared" si="78"/>
        <v>136152.68750644795</v>
      </c>
      <c r="BU276" s="9"/>
      <c r="BV276" s="9"/>
      <c r="BW276" s="9"/>
      <c r="BX276" s="9"/>
    </row>
    <row r="277" spans="1:76" ht="12.75">
      <c r="A277" s="59">
        <f t="shared" si="82"/>
        <v>222</v>
      </c>
      <c r="B277" s="56" t="s">
        <v>97</v>
      </c>
      <c r="C277" s="56">
        <v>2006</v>
      </c>
      <c r="D277" s="90">
        <v>40000</v>
      </c>
      <c r="E277" s="91"/>
      <c r="F277" s="91"/>
      <c r="G277" s="66"/>
      <c r="H277">
        <f t="shared" si="83"/>
      </c>
      <c r="I277">
        <f t="shared" si="83"/>
      </c>
      <c r="J277">
        <f t="shared" si="83"/>
      </c>
      <c r="K277">
        <f t="shared" si="83"/>
      </c>
      <c r="L277">
        <f t="shared" si="83"/>
      </c>
      <c r="M277">
        <f t="shared" si="83"/>
      </c>
      <c r="N277">
        <f t="shared" si="83"/>
      </c>
      <c r="O277">
        <f t="shared" si="83"/>
      </c>
      <c r="P277">
        <f t="shared" si="83"/>
        <v>40000</v>
      </c>
      <c r="Q277">
        <f t="shared" si="83"/>
      </c>
      <c r="R277" s="9">
        <f t="shared" si="79"/>
        <v>40000</v>
      </c>
      <c r="T277">
        <f t="shared" si="80"/>
      </c>
      <c r="U277">
        <f t="shared" si="84"/>
        <v>40000</v>
      </c>
      <c r="V277">
        <f t="shared" si="84"/>
      </c>
      <c r="W277">
        <f t="shared" si="84"/>
      </c>
      <c r="X277">
        <f t="shared" si="84"/>
      </c>
      <c r="Y277">
        <f t="shared" si="84"/>
      </c>
      <c r="Z277">
        <f t="shared" si="84"/>
      </c>
      <c r="AA277">
        <f t="shared" si="84"/>
      </c>
      <c r="AB277">
        <f t="shared" si="84"/>
      </c>
      <c r="AC277">
        <f t="shared" si="84"/>
      </c>
      <c r="AD277">
        <f t="shared" si="84"/>
      </c>
      <c r="AE277">
        <f t="shared" si="74"/>
      </c>
      <c r="AF277" s="9">
        <f t="shared" si="75"/>
        <v>40000</v>
      </c>
      <c r="AG277">
        <f t="shared" si="71"/>
        <v>0</v>
      </c>
      <c r="AH277">
        <f t="shared" si="71"/>
        <v>0</v>
      </c>
      <c r="AI277">
        <f t="shared" si="71"/>
        <v>0</v>
      </c>
      <c r="AJ277">
        <f t="shared" si="71"/>
        <v>0</v>
      </c>
      <c r="AK277">
        <f t="shared" si="71"/>
        <v>0</v>
      </c>
      <c r="AL277">
        <f t="shared" si="71"/>
        <v>0</v>
      </c>
      <c r="AM277">
        <f t="shared" si="71"/>
        <v>0</v>
      </c>
      <c r="AN277">
        <f t="shared" si="71"/>
        <v>1</v>
      </c>
      <c r="AO277">
        <f t="shared" si="71"/>
        <v>0</v>
      </c>
      <c r="AP277">
        <f t="shared" si="81"/>
        <v>1</v>
      </c>
      <c r="BL277" s="9">
        <f t="shared" si="76"/>
        <v>36152.687506447946</v>
      </c>
      <c r="BM277" s="9">
        <f t="shared" si="77"/>
        <v>36152.687506447946</v>
      </c>
      <c r="BN277" s="9">
        <f t="shared" si="78"/>
      </c>
      <c r="BU277" s="9"/>
      <c r="BV277" s="9"/>
      <c r="BW277" s="9"/>
      <c r="BX277" s="9"/>
    </row>
    <row r="278" spans="1:76" ht="12.75">
      <c r="A278" s="59">
        <f t="shared" si="82"/>
        <v>223</v>
      </c>
      <c r="B278" s="56" t="s">
        <v>97</v>
      </c>
      <c r="C278" s="56">
        <v>2006</v>
      </c>
      <c r="D278" s="90">
        <v>40000</v>
      </c>
      <c r="E278" s="91"/>
      <c r="F278" s="91"/>
      <c r="G278" s="66"/>
      <c r="H278">
        <f t="shared" si="83"/>
      </c>
      <c r="I278">
        <f t="shared" si="83"/>
      </c>
      <c r="J278">
        <f t="shared" si="83"/>
      </c>
      <c r="K278">
        <f t="shared" si="83"/>
      </c>
      <c r="L278">
        <f t="shared" si="83"/>
      </c>
      <c r="M278">
        <f t="shared" si="83"/>
      </c>
      <c r="N278">
        <f t="shared" si="83"/>
      </c>
      <c r="O278">
        <f t="shared" si="83"/>
      </c>
      <c r="P278">
        <f t="shared" si="83"/>
        <v>40000</v>
      </c>
      <c r="Q278">
        <f t="shared" si="83"/>
      </c>
      <c r="R278" s="9">
        <f t="shared" si="79"/>
        <v>40000</v>
      </c>
      <c r="T278">
        <f t="shared" si="80"/>
      </c>
      <c r="U278">
        <f t="shared" si="84"/>
        <v>40000</v>
      </c>
      <c r="V278">
        <f t="shared" si="84"/>
      </c>
      <c r="W278">
        <f t="shared" si="84"/>
      </c>
      <c r="X278">
        <f t="shared" si="84"/>
      </c>
      <c r="Y278">
        <f t="shared" si="84"/>
      </c>
      <c r="Z278">
        <f t="shared" si="84"/>
      </c>
      <c r="AA278">
        <f t="shared" si="84"/>
      </c>
      <c r="AB278">
        <f t="shared" si="84"/>
      </c>
      <c r="AC278">
        <f t="shared" si="84"/>
      </c>
      <c r="AD278">
        <f t="shared" si="84"/>
      </c>
      <c r="AE278">
        <f t="shared" si="74"/>
      </c>
      <c r="AF278" s="9">
        <f t="shared" si="75"/>
        <v>40000</v>
      </c>
      <c r="AG278">
        <f t="shared" si="71"/>
        <v>0</v>
      </c>
      <c r="AH278">
        <f t="shared" si="71"/>
        <v>0</v>
      </c>
      <c r="AI278">
        <f t="shared" si="71"/>
        <v>0</v>
      </c>
      <c r="AJ278">
        <f t="shared" si="71"/>
        <v>0</v>
      </c>
      <c r="AK278">
        <f t="shared" si="71"/>
        <v>0</v>
      </c>
      <c r="AL278">
        <f t="shared" si="71"/>
        <v>0</v>
      </c>
      <c r="AM278">
        <f t="shared" si="71"/>
        <v>0</v>
      </c>
      <c r="AN278">
        <f t="shared" si="71"/>
        <v>1</v>
      </c>
      <c r="AO278">
        <f t="shared" si="71"/>
        <v>0</v>
      </c>
      <c r="AP278">
        <f t="shared" si="81"/>
        <v>1</v>
      </c>
      <c r="BL278" s="9">
        <f t="shared" si="76"/>
        <v>36152.687506447946</v>
      </c>
      <c r="BM278" s="9">
        <f t="shared" si="77"/>
        <v>36152.687506447946</v>
      </c>
      <c r="BN278" s="9">
        <f t="shared" si="78"/>
      </c>
      <c r="BU278" s="9"/>
      <c r="BV278" s="9"/>
      <c r="BW278" s="9"/>
      <c r="BX278" s="9"/>
    </row>
    <row r="279" spans="1:76" ht="12.75">
      <c r="A279" s="59">
        <f t="shared" si="82"/>
        <v>224</v>
      </c>
      <c r="B279" s="56" t="s">
        <v>97</v>
      </c>
      <c r="C279" s="56">
        <v>2006</v>
      </c>
      <c r="D279" s="90">
        <v>50000</v>
      </c>
      <c r="E279" s="91"/>
      <c r="F279" s="91"/>
      <c r="G279" s="66"/>
      <c r="H279">
        <f t="shared" si="83"/>
      </c>
      <c r="I279">
        <f t="shared" si="83"/>
      </c>
      <c r="J279">
        <f t="shared" si="83"/>
      </c>
      <c r="K279">
        <f t="shared" si="83"/>
      </c>
      <c r="L279">
        <f t="shared" si="83"/>
      </c>
      <c r="M279">
        <f t="shared" si="83"/>
      </c>
      <c r="N279">
        <f t="shared" si="83"/>
      </c>
      <c r="O279">
        <f t="shared" si="83"/>
      </c>
      <c r="P279">
        <f t="shared" si="83"/>
        <v>50000</v>
      </c>
      <c r="Q279">
        <f t="shared" si="83"/>
      </c>
      <c r="R279" s="9">
        <f t="shared" si="79"/>
        <v>50000</v>
      </c>
      <c r="T279">
        <f t="shared" si="80"/>
      </c>
      <c r="U279">
        <f t="shared" si="84"/>
        <v>50000</v>
      </c>
      <c r="V279">
        <f t="shared" si="84"/>
      </c>
      <c r="W279">
        <f t="shared" si="84"/>
      </c>
      <c r="X279">
        <f t="shared" si="84"/>
      </c>
      <c r="Y279">
        <f t="shared" si="84"/>
      </c>
      <c r="Z279">
        <f t="shared" si="84"/>
      </c>
      <c r="AA279">
        <f t="shared" si="84"/>
      </c>
      <c r="AB279">
        <f t="shared" si="84"/>
      </c>
      <c r="AC279">
        <f t="shared" si="84"/>
      </c>
      <c r="AD279">
        <f t="shared" si="84"/>
      </c>
      <c r="AE279">
        <f t="shared" si="74"/>
      </c>
      <c r="AF279" s="9">
        <f t="shared" si="75"/>
        <v>50000</v>
      </c>
      <c r="AG279">
        <f t="shared" si="71"/>
        <v>0</v>
      </c>
      <c r="AH279">
        <f t="shared" si="71"/>
        <v>0</v>
      </c>
      <c r="AI279">
        <f t="shared" si="71"/>
        <v>0</v>
      </c>
      <c r="AJ279">
        <f t="shared" si="71"/>
        <v>0</v>
      </c>
      <c r="AK279">
        <f t="shared" si="71"/>
        <v>0</v>
      </c>
      <c r="AL279">
        <f t="shared" si="71"/>
        <v>0</v>
      </c>
      <c r="AM279">
        <f t="shared" si="71"/>
        <v>0</v>
      </c>
      <c r="AN279">
        <f t="shared" si="71"/>
        <v>1</v>
      </c>
      <c r="AO279">
        <f t="shared" si="71"/>
        <v>0</v>
      </c>
      <c r="AP279">
        <f t="shared" si="81"/>
        <v>1</v>
      </c>
      <c r="BL279" s="9">
        <f t="shared" si="76"/>
        <v>46152.687506447946</v>
      </c>
      <c r="BM279" s="9">
        <f t="shared" si="77"/>
        <v>46152.687506447946</v>
      </c>
      <c r="BN279" s="9">
        <f t="shared" si="78"/>
      </c>
      <c r="BU279" s="9"/>
      <c r="BV279" s="9"/>
      <c r="BW279" s="9"/>
      <c r="BX279" s="9"/>
    </row>
    <row r="280" spans="1:76" ht="12.75">
      <c r="A280" s="59">
        <f t="shared" si="82"/>
        <v>225</v>
      </c>
      <c r="B280" s="56" t="s">
        <v>97</v>
      </c>
      <c r="C280" s="56">
        <v>2006</v>
      </c>
      <c r="D280" s="90">
        <v>60000</v>
      </c>
      <c r="E280" s="93"/>
      <c r="F280" s="93"/>
      <c r="G280" s="66"/>
      <c r="H280">
        <f aca="true" t="shared" si="85" ref="H280:Q295">IF($B280=H$55,$D280,"")</f>
      </c>
      <c r="I280">
        <f t="shared" si="85"/>
      </c>
      <c r="J280">
        <f t="shared" si="85"/>
      </c>
      <c r="K280">
        <f t="shared" si="85"/>
      </c>
      <c r="L280">
        <f t="shared" si="85"/>
      </c>
      <c r="M280">
        <f t="shared" si="85"/>
      </c>
      <c r="N280">
        <f t="shared" si="85"/>
      </c>
      <c r="O280">
        <f t="shared" si="85"/>
      </c>
      <c r="P280">
        <f t="shared" si="85"/>
        <v>60000</v>
      </c>
      <c r="Q280">
        <f t="shared" si="85"/>
      </c>
      <c r="R280" s="9">
        <f t="shared" si="79"/>
        <v>60000</v>
      </c>
      <c r="T280">
        <f t="shared" si="80"/>
      </c>
      <c r="U280">
        <f aca="true" t="shared" si="86" ref="U280:AD295">IF($C280=U$55,$D280,"")</f>
        <v>60000</v>
      </c>
      <c r="V280">
        <f t="shared" si="86"/>
      </c>
      <c r="W280">
        <f t="shared" si="86"/>
      </c>
      <c r="X280">
        <f t="shared" si="86"/>
      </c>
      <c r="Y280">
        <f t="shared" si="86"/>
      </c>
      <c r="Z280">
        <f t="shared" si="86"/>
      </c>
      <c r="AA280">
        <f t="shared" si="86"/>
      </c>
      <c r="AB280">
        <f t="shared" si="86"/>
      </c>
      <c r="AC280">
        <f t="shared" si="86"/>
      </c>
      <c r="AD280">
        <f t="shared" si="86"/>
      </c>
      <c r="AE280">
        <f t="shared" si="74"/>
      </c>
      <c r="AF280" s="9">
        <f t="shared" si="75"/>
        <v>60000</v>
      </c>
      <c r="AG280">
        <f t="shared" si="71"/>
        <v>0</v>
      </c>
      <c r="AH280">
        <f t="shared" si="71"/>
        <v>0</v>
      </c>
      <c r="AI280">
        <f t="shared" si="71"/>
        <v>0</v>
      </c>
      <c r="AJ280">
        <f t="shared" si="71"/>
        <v>0</v>
      </c>
      <c r="AK280">
        <f t="shared" si="71"/>
        <v>0</v>
      </c>
      <c r="AL280">
        <f t="shared" si="71"/>
        <v>0</v>
      </c>
      <c r="AM280">
        <f t="shared" si="71"/>
        <v>0</v>
      </c>
      <c r="AN280">
        <f t="shared" si="71"/>
        <v>1</v>
      </c>
      <c r="AO280">
        <f t="shared" si="71"/>
        <v>0</v>
      </c>
      <c r="AP280">
        <f t="shared" si="81"/>
        <v>1</v>
      </c>
      <c r="BL280" s="9">
        <f t="shared" si="76"/>
        <v>56152.687506447946</v>
      </c>
      <c r="BM280" s="9">
        <f t="shared" si="77"/>
        <v>56152.687506447946</v>
      </c>
      <c r="BN280" s="9">
        <f t="shared" si="78"/>
      </c>
      <c r="BU280" s="9"/>
      <c r="BV280" s="9"/>
      <c r="BW280" s="9"/>
      <c r="BX280" s="9"/>
    </row>
    <row r="281" spans="1:76" ht="12.75">
      <c r="A281" s="59">
        <f t="shared" si="82"/>
        <v>226</v>
      </c>
      <c r="B281" s="50" t="s">
        <v>110</v>
      </c>
      <c r="C281" s="50">
        <v>1985</v>
      </c>
      <c r="D281" s="94">
        <v>400000</v>
      </c>
      <c r="E281" s="95" t="s">
        <v>109</v>
      </c>
      <c r="F281" s="96">
        <v>0.9</v>
      </c>
      <c r="G281" s="75"/>
      <c r="H281">
        <f t="shared" si="85"/>
      </c>
      <c r="I281">
        <f t="shared" si="85"/>
      </c>
      <c r="J281">
        <f t="shared" si="85"/>
      </c>
      <c r="K281">
        <f t="shared" si="85"/>
      </c>
      <c r="L281">
        <f t="shared" si="85"/>
      </c>
      <c r="M281">
        <f t="shared" si="85"/>
      </c>
      <c r="N281">
        <f t="shared" si="85"/>
      </c>
      <c r="O281">
        <f t="shared" si="85"/>
      </c>
      <c r="P281">
        <f t="shared" si="85"/>
      </c>
      <c r="Q281">
        <f t="shared" si="85"/>
        <v>400000</v>
      </c>
      <c r="R281" s="9">
        <f t="shared" si="79"/>
        <v>400000</v>
      </c>
      <c r="T281">
        <f t="shared" si="80"/>
      </c>
      <c r="U281">
        <f t="shared" si="86"/>
      </c>
      <c r="V281">
        <f t="shared" si="86"/>
      </c>
      <c r="W281">
        <f t="shared" si="86"/>
      </c>
      <c r="X281">
        <f t="shared" si="86"/>
      </c>
      <c r="Y281">
        <f t="shared" si="86"/>
      </c>
      <c r="Z281">
        <f t="shared" si="86"/>
      </c>
      <c r="AA281">
        <f t="shared" si="86"/>
      </c>
      <c r="AB281">
        <f t="shared" si="86"/>
      </c>
      <c r="AC281">
        <f t="shared" si="86"/>
      </c>
      <c r="AD281">
        <f t="shared" si="86"/>
      </c>
      <c r="AE281">
        <f t="shared" si="74"/>
        <v>400000</v>
      </c>
      <c r="AF281" s="9">
        <f t="shared" si="75"/>
        <v>400000</v>
      </c>
      <c r="AG281">
        <f t="shared" si="71"/>
        <v>0</v>
      </c>
      <c r="AH281">
        <f t="shared" si="71"/>
        <v>0</v>
      </c>
      <c r="AI281">
        <f t="shared" si="71"/>
        <v>0</v>
      </c>
      <c r="AJ281">
        <f t="shared" si="71"/>
        <v>0</v>
      </c>
      <c r="AK281">
        <f t="shared" si="71"/>
        <v>0</v>
      </c>
      <c r="AL281">
        <f t="shared" si="71"/>
        <v>0</v>
      </c>
      <c r="AM281">
        <f t="shared" si="71"/>
        <v>0</v>
      </c>
      <c r="AN281">
        <f t="shared" si="71"/>
        <v>0</v>
      </c>
      <c r="AO281">
        <f t="shared" si="71"/>
        <v>1</v>
      </c>
      <c r="AP281">
        <f t="shared" si="81"/>
        <v>22</v>
      </c>
      <c r="BL281" s="9">
        <f t="shared" si="76"/>
        <v>315359.12514185486</v>
      </c>
      <c r="BM281" s="9">
        <f t="shared" si="77"/>
      </c>
      <c r="BN281" s="9">
        <f t="shared" si="78"/>
        <v>315359.12514185486</v>
      </c>
      <c r="BU281" s="9"/>
      <c r="BV281" s="9"/>
      <c r="BW281" s="9"/>
      <c r="BX281" s="9"/>
    </row>
    <row r="282" spans="1:76" ht="12.75">
      <c r="A282" s="59">
        <f t="shared" si="82"/>
        <v>227</v>
      </c>
      <c r="B282" s="50" t="s">
        <v>110</v>
      </c>
      <c r="C282" s="50">
        <v>1985</v>
      </c>
      <c r="D282" s="94">
        <v>300000</v>
      </c>
      <c r="E282" s="95"/>
      <c r="F282" s="95"/>
      <c r="G282" s="66"/>
      <c r="H282">
        <f t="shared" si="85"/>
      </c>
      <c r="I282">
        <f t="shared" si="85"/>
      </c>
      <c r="J282">
        <f t="shared" si="85"/>
      </c>
      <c r="K282">
        <f t="shared" si="85"/>
      </c>
      <c r="L282">
        <f t="shared" si="85"/>
      </c>
      <c r="M282">
        <f t="shared" si="85"/>
      </c>
      <c r="N282">
        <f t="shared" si="85"/>
      </c>
      <c r="O282">
        <f t="shared" si="85"/>
      </c>
      <c r="P282">
        <f t="shared" si="85"/>
      </c>
      <c r="Q282">
        <f t="shared" si="85"/>
        <v>300000</v>
      </c>
      <c r="R282" s="9">
        <f t="shared" si="79"/>
        <v>300000</v>
      </c>
      <c r="T282">
        <f t="shared" si="80"/>
      </c>
      <c r="U282">
        <f t="shared" si="86"/>
      </c>
      <c r="V282">
        <f t="shared" si="86"/>
      </c>
      <c r="W282">
        <f t="shared" si="86"/>
      </c>
      <c r="X282">
        <f t="shared" si="86"/>
      </c>
      <c r="Y282">
        <f t="shared" si="86"/>
      </c>
      <c r="Z282">
        <f t="shared" si="86"/>
      </c>
      <c r="AA282">
        <f t="shared" si="86"/>
      </c>
      <c r="AB282">
        <f t="shared" si="86"/>
      </c>
      <c r="AC282">
        <f t="shared" si="86"/>
      </c>
      <c r="AD282">
        <f t="shared" si="86"/>
      </c>
      <c r="AE282">
        <f t="shared" si="74"/>
        <v>300000</v>
      </c>
      <c r="AF282" s="9">
        <f t="shared" si="75"/>
        <v>300000</v>
      </c>
      <c r="AG282">
        <f t="shared" si="71"/>
        <v>0</v>
      </c>
      <c r="AH282">
        <f t="shared" si="71"/>
        <v>0</v>
      </c>
      <c r="AI282">
        <f t="shared" si="71"/>
        <v>0</v>
      </c>
      <c r="AJ282">
        <f t="shared" si="71"/>
        <v>0</v>
      </c>
      <c r="AK282">
        <f t="shared" si="71"/>
        <v>0</v>
      </c>
      <c r="AL282">
        <f t="shared" si="71"/>
        <v>0</v>
      </c>
      <c r="AM282">
        <f t="shared" si="71"/>
        <v>0</v>
      </c>
      <c r="AN282">
        <f t="shared" si="71"/>
        <v>0</v>
      </c>
      <c r="AO282">
        <f t="shared" si="71"/>
        <v>1</v>
      </c>
      <c r="AP282">
        <f t="shared" si="81"/>
        <v>22</v>
      </c>
      <c r="BL282" s="9">
        <f t="shared" si="76"/>
        <v>215359.12514185486</v>
      </c>
      <c r="BM282" s="9">
        <f t="shared" si="77"/>
      </c>
      <c r="BN282" s="9">
        <f t="shared" si="78"/>
        <v>215359.12514185486</v>
      </c>
      <c r="BU282" s="9"/>
      <c r="BV282" s="9"/>
      <c r="BW282" s="9"/>
      <c r="BX282" s="9"/>
    </row>
    <row r="283" spans="1:76" ht="12.75">
      <c r="A283" s="59">
        <f t="shared" si="82"/>
        <v>228</v>
      </c>
      <c r="B283" s="50" t="s">
        <v>110</v>
      </c>
      <c r="C283" s="50">
        <v>1990</v>
      </c>
      <c r="D283" s="94">
        <v>350000</v>
      </c>
      <c r="E283" s="95"/>
      <c r="F283" s="95"/>
      <c r="G283" s="66"/>
      <c r="H283">
        <f t="shared" si="85"/>
      </c>
      <c r="I283">
        <f t="shared" si="85"/>
      </c>
      <c r="J283">
        <f t="shared" si="85"/>
      </c>
      <c r="K283">
        <f t="shared" si="85"/>
      </c>
      <c r="L283">
        <f t="shared" si="85"/>
      </c>
      <c r="M283">
        <f t="shared" si="85"/>
      </c>
      <c r="N283">
        <f t="shared" si="85"/>
      </c>
      <c r="O283">
        <f t="shared" si="85"/>
      </c>
      <c r="P283">
        <f t="shared" si="85"/>
      </c>
      <c r="Q283">
        <f t="shared" si="85"/>
        <v>350000</v>
      </c>
      <c r="R283" s="9">
        <f t="shared" si="79"/>
        <v>350000</v>
      </c>
      <c r="T283">
        <f t="shared" si="80"/>
      </c>
      <c r="U283">
        <f t="shared" si="86"/>
      </c>
      <c r="V283">
        <f t="shared" si="86"/>
      </c>
      <c r="W283">
        <f t="shared" si="86"/>
      </c>
      <c r="X283">
        <f t="shared" si="86"/>
      </c>
      <c r="Y283">
        <f t="shared" si="86"/>
      </c>
      <c r="Z283">
        <f t="shared" si="86"/>
      </c>
      <c r="AA283">
        <f t="shared" si="86"/>
      </c>
      <c r="AB283">
        <f t="shared" si="86"/>
      </c>
      <c r="AC283">
        <f t="shared" si="86"/>
      </c>
      <c r="AD283">
        <f t="shared" si="86"/>
      </c>
      <c r="AE283">
        <f t="shared" si="74"/>
        <v>350000</v>
      </c>
      <c r="AF283" s="9">
        <f t="shared" si="75"/>
        <v>350000</v>
      </c>
      <c r="AG283">
        <f t="shared" si="71"/>
        <v>0</v>
      </c>
      <c r="AH283">
        <f t="shared" si="71"/>
        <v>0</v>
      </c>
      <c r="AI283">
        <f t="shared" si="71"/>
        <v>0</v>
      </c>
      <c r="AJ283">
        <f t="shared" si="71"/>
        <v>0</v>
      </c>
      <c r="AK283">
        <f t="shared" si="71"/>
        <v>0</v>
      </c>
      <c r="AL283">
        <f t="shared" si="71"/>
        <v>0</v>
      </c>
      <c r="AM283">
        <f t="shared" si="71"/>
        <v>0</v>
      </c>
      <c r="AN283">
        <f t="shared" si="71"/>
        <v>0</v>
      </c>
      <c r="AO283">
        <f t="shared" si="71"/>
        <v>1</v>
      </c>
      <c r="AP283">
        <f t="shared" si="81"/>
        <v>17</v>
      </c>
      <c r="BL283" s="9">
        <f t="shared" si="76"/>
        <v>284595.6876096151</v>
      </c>
      <c r="BM283" s="9">
        <f t="shared" si="77"/>
      </c>
      <c r="BN283" s="9">
        <f t="shared" si="78"/>
        <v>284595.6876096151</v>
      </c>
      <c r="BU283" s="9"/>
      <c r="BV283" s="9"/>
      <c r="BW283" s="9"/>
      <c r="BX283" s="9"/>
    </row>
    <row r="284" spans="1:76" ht="12.75">
      <c r="A284" s="59">
        <f t="shared" si="82"/>
        <v>229</v>
      </c>
      <c r="B284" s="50" t="s">
        <v>110</v>
      </c>
      <c r="C284" s="50">
        <v>1992</v>
      </c>
      <c r="D284" s="94">
        <v>400000</v>
      </c>
      <c r="E284" s="95"/>
      <c r="F284" s="95"/>
      <c r="G284" s="66"/>
      <c r="H284">
        <f t="shared" si="85"/>
      </c>
      <c r="I284">
        <f t="shared" si="85"/>
      </c>
      <c r="J284">
        <f t="shared" si="85"/>
      </c>
      <c r="K284">
        <f t="shared" si="85"/>
      </c>
      <c r="L284">
        <f t="shared" si="85"/>
      </c>
      <c r="M284">
        <f t="shared" si="85"/>
      </c>
      <c r="N284">
        <f t="shared" si="85"/>
      </c>
      <c r="O284">
        <f t="shared" si="85"/>
      </c>
      <c r="P284">
        <f t="shared" si="85"/>
      </c>
      <c r="Q284">
        <f t="shared" si="85"/>
        <v>400000</v>
      </c>
      <c r="R284" s="9">
        <f t="shared" si="79"/>
        <v>400000</v>
      </c>
      <c r="T284">
        <f t="shared" si="80"/>
      </c>
      <c r="U284">
        <f t="shared" si="86"/>
      </c>
      <c r="V284">
        <f t="shared" si="86"/>
      </c>
      <c r="W284">
        <f t="shared" si="86"/>
      </c>
      <c r="X284">
        <f t="shared" si="86"/>
      </c>
      <c r="Y284">
        <f t="shared" si="86"/>
      </c>
      <c r="Z284">
        <f t="shared" si="86"/>
      </c>
      <c r="AA284">
        <f t="shared" si="86"/>
      </c>
      <c r="AB284">
        <f t="shared" si="86"/>
      </c>
      <c r="AC284">
        <f t="shared" si="86"/>
      </c>
      <c r="AD284">
        <f t="shared" si="86"/>
      </c>
      <c r="AE284">
        <f t="shared" si="74"/>
        <v>400000</v>
      </c>
      <c r="AF284" s="9">
        <f t="shared" si="75"/>
        <v>400000</v>
      </c>
      <c r="AG284">
        <f t="shared" si="71"/>
        <v>0</v>
      </c>
      <c r="AH284">
        <f t="shared" si="71"/>
        <v>0</v>
      </c>
      <c r="AI284">
        <f t="shared" si="71"/>
        <v>0</v>
      </c>
      <c r="AJ284">
        <f t="shared" si="71"/>
        <v>0</v>
      </c>
      <c r="AK284">
        <f t="shared" si="71"/>
        <v>0</v>
      </c>
      <c r="AL284">
        <f t="shared" si="71"/>
        <v>0</v>
      </c>
      <c r="AM284">
        <f t="shared" si="71"/>
        <v>0</v>
      </c>
      <c r="AN284">
        <f t="shared" si="71"/>
        <v>0</v>
      </c>
      <c r="AO284">
        <f t="shared" si="71"/>
        <v>1</v>
      </c>
      <c r="AP284">
        <f t="shared" si="81"/>
        <v>15</v>
      </c>
      <c r="BL284" s="9">
        <f t="shared" si="76"/>
        <v>342290.31259671925</v>
      </c>
      <c r="BM284" s="9">
        <f t="shared" si="77"/>
      </c>
      <c r="BN284" s="9">
        <f t="shared" si="78"/>
        <v>342290.31259671925</v>
      </c>
      <c r="BU284" s="9"/>
      <c r="BV284" s="9"/>
      <c r="BW284" s="9"/>
      <c r="BX284" s="9"/>
    </row>
    <row r="285" spans="1:76" ht="12.75">
      <c r="A285" s="59">
        <f t="shared" si="82"/>
        <v>230</v>
      </c>
      <c r="B285" s="50" t="s">
        <v>110</v>
      </c>
      <c r="C285" s="97">
        <v>2000</v>
      </c>
      <c r="D285" s="98">
        <v>130000</v>
      </c>
      <c r="E285" s="95"/>
      <c r="F285" s="95"/>
      <c r="G285" s="66"/>
      <c r="H285">
        <f t="shared" si="85"/>
      </c>
      <c r="I285">
        <f t="shared" si="85"/>
      </c>
      <c r="J285">
        <f t="shared" si="85"/>
      </c>
      <c r="K285">
        <f t="shared" si="85"/>
      </c>
      <c r="L285">
        <f t="shared" si="85"/>
      </c>
      <c r="M285">
        <f t="shared" si="85"/>
      </c>
      <c r="N285">
        <f t="shared" si="85"/>
      </c>
      <c r="O285">
        <f t="shared" si="85"/>
      </c>
      <c r="P285">
        <f t="shared" si="85"/>
      </c>
      <c r="Q285">
        <f t="shared" si="85"/>
        <v>130000</v>
      </c>
      <c r="R285" s="9">
        <f t="shared" si="79"/>
        <v>130000</v>
      </c>
      <c r="T285">
        <f t="shared" si="80"/>
      </c>
      <c r="U285">
        <f t="shared" si="86"/>
      </c>
      <c r="V285">
        <f t="shared" si="86"/>
      </c>
      <c r="W285">
        <f t="shared" si="86"/>
      </c>
      <c r="X285">
        <f t="shared" si="86"/>
      </c>
      <c r="Y285">
        <f t="shared" si="86"/>
      </c>
      <c r="Z285">
        <f t="shared" si="86"/>
      </c>
      <c r="AA285">
        <f t="shared" si="86"/>
        <v>130000</v>
      </c>
      <c r="AB285">
        <f t="shared" si="86"/>
      </c>
      <c r="AC285">
        <f t="shared" si="86"/>
      </c>
      <c r="AD285">
        <f t="shared" si="86"/>
      </c>
      <c r="AE285">
        <f t="shared" si="74"/>
      </c>
      <c r="AF285" s="9">
        <f t="shared" si="75"/>
        <v>130000</v>
      </c>
      <c r="AG285">
        <f t="shared" si="71"/>
        <v>0</v>
      </c>
      <c r="AH285">
        <f t="shared" si="71"/>
        <v>0</v>
      </c>
      <c r="AI285">
        <f t="shared" si="71"/>
        <v>0</v>
      </c>
      <c r="AJ285">
        <f t="shared" si="71"/>
        <v>0</v>
      </c>
      <c r="AK285">
        <f t="shared" si="71"/>
        <v>0</v>
      </c>
      <c r="AL285">
        <f t="shared" si="71"/>
        <v>0</v>
      </c>
      <c r="AM285">
        <f t="shared" si="71"/>
        <v>0</v>
      </c>
      <c r="AN285">
        <f t="shared" si="71"/>
        <v>0</v>
      </c>
      <c r="AO285">
        <f t="shared" si="71"/>
        <v>1</v>
      </c>
      <c r="AP285">
        <f t="shared" si="81"/>
        <v>7</v>
      </c>
      <c r="BL285" s="9">
        <f t="shared" si="76"/>
        <v>103068.81254513565</v>
      </c>
      <c r="BM285" s="9">
        <f t="shared" si="77"/>
      </c>
      <c r="BN285" s="9">
        <f t="shared" si="78"/>
      </c>
      <c r="BU285" s="9"/>
      <c r="BV285" s="9"/>
      <c r="BW285" s="9"/>
      <c r="BX285" s="9"/>
    </row>
    <row r="286" spans="1:76" ht="12.75">
      <c r="A286" s="59">
        <f t="shared" si="82"/>
        <v>231</v>
      </c>
      <c r="B286" s="50" t="s">
        <v>110</v>
      </c>
      <c r="C286" s="50">
        <v>2001</v>
      </c>
      <c r="D286" s="94">
        <v>200000</v>
      </c>
      <c r="E286" s="95"/>
      <c r="F286" s="95"/>
      <c r="G286" s="66"/>
      <c r="H286">
        <f t="shared" si="85"/>
      </c>
      <c r="I286">
        <f t="shared" si="85"/>
      </c>
      <c r="J286">
        <f t="shared" si="85"/>
      </c>
      <c r="K286">
        <f t="shared" si="85"/>
      </c>
      <c r="L286">
        <f t="shared" si="85"/>
      </c>
      <c r="M286">
        <f t="shared" si="85"/>
      </c>
      <c r="N286">
        <f t="shared" si="85"/>
      </c>
      <c r="O286">
        <f t="shared" si="85"/>
      </c>
      <c r="P286">
        <f t="shared" si="85"/>
      </c>
      <c r="Q286">
        <f t="shared" si="85"/>
        <v>200000</v>
      </c>
      <c r="R286" s="9">
        <f t="shared" si="79"/>
        <v>200000</v>
      </c>
      <c r="T286">
        <f t="shared" si="80"/>
      </c>
      <c r="U286">
        <f t="shared" si="86"/>
      </c>
      <c r="V286">
        <f t="shared" si="86"/>
      </c>
      <c r="W286">
        <f t="shared" si="86"/>
      </c>
      <c r="X286">
        <f t="shared" si="86"/>
      </c>
      <c r="Y286">
        <f t="shared" si="86"/>
      </c>
      <c r="Z286">
        <f t="shared" si="86"/>
        <v>200000</v>
      </c>
      <c r="AA286">
        <f t="shared" si="86"/>
      </c>
      <c r="AB286">
        <f t="shared" si="86"/>
      </c>
      <c r="AC286">
        <f t="shared" si="86"/>
      </c>
      <c r="AD286">
        <f t="shared" si="86"/>
      </c>
      <c r="AE286">
        <f t="shared" si="74"/>
      </c>
      <c r="AF286" s="9">
        <f t="shared" si="75"/>
        <v>200000</v>
      </c>
      <c r="AG286">
        <f t="shared" si="71"/>
        <v>0</v>
      </c>
      <c r="AH286">
        <f t="shared" si="71"/>
        <v>0</v>
      </c>
      <c r="AI286">
        <f t="shared" si="71"/>
        <v>0</v>
      </c>
      <c r="AJ286">
        <f t="shared" si="71"/>
        <v>0</v>
      </c>
      <c r="AK286">
        <f t="shared" si="71"/>
        <v>0</v>
      </c>
      <c r="AL286">
        <f t="shared" si="71"/>
        <v>0</v>
      </c>
      <c r="AM286">
        <f t="shared" si="71"/>
        <v>0</v>
      </c>
      <c r="AN286">
        <f t="shared" si="71"/>
        <v>0</v>
      </c>
      <c r="AO286">
        <f t="shared" si="71"/>
        <v>1</v>
      </c>
      <c r="AP286">
        <f t="shared" si="81"/>
        <v>6</v>
      </c>
      <c r="BL286" s="9">
        <f t="shared" si="76"/>
        <v>176916.1250386877</v>
      </c>
      <c r="BM286" s="9">
        <f t="shared" si="77"/>
      </c>
      <c r="BN286" s="9">
        <f t="shared" si="78"/>
        <v>176916.1250386877</v>
      </c>
      <c r="BU286" s="9"/>
      <c r="BV286" s="9"/>
      <c r="BW286" s="9"/>
      <c r="BX286" s="9"/>
    </row>
    <row r="287" spans="1:76" ht="12.75">
      <c r="A287" s="59">
        <f t="shared" si="82"/>
        <v>232</v>
      </c>
      <c r="B287" s="50" t="s">
        <v>110</v>
      </c>
      <c r="C287" s="99">
        <v>2001</v>
      </c>
      <c r="D287" s="94">
        <v>200000</v>
      </c>
      <c r="E287" s="95"/>
      <c r="F287" s="95"/>
      <c r="G287" s="66"/>
      <c r="H287">
        <f t="shared" si="85"/>
      </c>
      <c r="I287">
        <f t="shared" si="85"/>
      </c>
      <c r="J287">
        <f t="shared" si="85"/>
      </c>
      <c r="K287">
        <f t="shared" si="85"/>
      </c>
      <c r="L287">
        <f t="shared" si="85"/>
      </c>
      <c r="M287">
        <f t="shared" si="85"/>
      </c>
      <c r="N287">
        <f t="shared" si="85"/>
      </c>
      <c r="O287">
        <f t="shared" si="85"/>
      </c>
      <c r="P287">
        <f t="shared" si="85"/>
      </c>
      <c r="Q287">
        <f t="shared" si="85"/>
        <v>200000</v>
      </c>
      <c r="R287" s="9">
        <f t="shared" si="79"/>
        <v>200000</v>
      </c>
      <c r="T287">
        <f t="shared" si="80"/>
      </c>
      <c r="U287">
        <f t="shared" si="86"/>
      </c>
      <c r="V287">
        <f t="shared" si="86"/>
      </c>
      <c r="W287">
        <f t="shared" si="86"/>
      </c>
      <c r="X287">
        <f t="shared" si="86"/>
      </c>
      <c r="Y287">
        <f t="shared" si="86"/>
      </c>
      <c r="Z287">
        <f t="shared" si="86"/>
        <v>200000</v>
      </c>
      <c r="AA287">
        <f t="shared" si="86"/>
      </c>
      <c r="AB287">
        <f t="shared" si="86"/>
      </c>
      <c r="AC287">
        <f t="shared" si="86"/>
      </c>
      <c r="AD287">
        <f t="shared" si="86"/>
      </c>
      <c r="AE287">
        <f t="shared" si="74"/>
      </c>
      <c r="AF287" s="9">
        <f t="shared" si="75"/>
        <v>200000</v>
      </c>
      <c r="AG287">
        <f t="shared" si="71"/>
        <v>0</v>
      </c>
      <c r="AH287">
        <f t="shared" si="71"/>
        <v>0</v>
      </c>
      <c r="AI287">
        <f t="shared" si="71"/>
        <v>0</v>
      </c>
      <c r="AJ287">
        <f t="shared" si="71"/>
        <v>0</v>
      </c>
      <c r="AK287">
        <f t="shared" si="71"/>
        <v>0</v>
      </c>
      <c r="AL287">
        <f t="shared" si="71"/>
        <v>0</v>
      </c>
      <c r="AM287">
        <f t="shared" si="71"/>
        <v>0</v>
      </c>
      <c r="AN287">
        <f t="shared" si="71"/>
        <v>0</v>
      </c>
      <c r="AO287">
        <f t="shared" si="71"/>
        <v>1</v>
      </c>
      <c r="AP287">
        <f t="shared" si="81"/>
        <v>6</v>
      </c>
      <c r="BL287" s="9">
        <f t="shared" si="76"/>
        <v>176916.1250386877</v>
      </c>
      <c r="BM287" s="9">
        <f t="shared" si="77"/>
      </c>
      <c r="BN287" s="9">
        <f t="shared" si="78"/>
        <v>176916.1250386877</v>
      </c>
      <c r="BU287" s="9"/>
      <c r="BV287" s="9"/>
      <c r="BW287" s="9"/>
      <c r="BX287" s="9"/>
    </row>
    <row r="288" spans="1:76" ht="12.75">
      <c r="A288" s="59">
        <f t="shared" si="82"/>
        <v>233</v>
      </c>
      <c r="B288" s="50" t="s">
        <v>110</v>
      </c>
      <c r="C288" s="99">
        <v>2001</v>
      </c>
      <c r="D288" s="98">
        <v>300000</v>
      </c>
      <c r="E288" s="95"/>
      <c r="F288" s="95"/>
      <c r="G288" s="66"/>
      <c r="H288">
        <f t="shared" si="85"/>
      </c>
      <c r="I288">
        <f t="shared" si="85"/>
      </c>
      <c r="J288">
        <f t="shared" si="85"/>
      </c>
      <c r="K288">
        <f t="shared" si="85"/>
      </c>
      <c r="L288">
        <f t="shared" si="85"/>
      </c>
      <c r="M288">
        <f t="shared" si="85"/>
      </c>
      <c r="N288">
        <f t="shared" si="85"/>
      </c>
      <c r="O288">
        <f t="shared" si="85"/>
      </c>
      <c r="P288">
        <f t="shared" si="85"/>
      </c>
      <c r="Q288">
        <f t="shared" si="85"/>
        <v>300000</v>
      </c>
      <c r="R288" s="9">
        <f t="shared" si="79"/>
        <v>300000</v>
      </c>
      <c r="T288">
        <f t="shared" si="80"/>
      </c>
      <c r="U288">
        <f t="shared" si="86"/>
      </c>
      <c r="V288">
        <f t="shared" si="86"/>
      </c>
      <c r="W288">
        <f t="shared" si="86"/>
      </c>
      <c r="X288">
        <f t="shared" si="86"/>
      </c>
      <c r="Y288">
        <f t="shared" si="86"/>
      </c>
      <c r="Z288">
        <f t="shared" si="86"/>
        <v>300000</v>
      </c>
      <c r="AA288">
        <f t="shared" si="86"/>
      </c>
      <c r="AB288">
        <f t="shared" si="86"/>
      </c>
      <c r="AC288">
        <f t="shared" si="86"/>
      </c>
      <c r="AD288">
        <f t="shared" si="86"/>
      </c>
      <c r="AE288">
        <f t="shared" si="74"/>
      </c>
      <c r="AF288" s="9">
        <f t="shared" si="75"/>
        <v>300000</v>
      </c>
      <c r="AG288">
        <f t="shared" si="71"/>
        <v>0</v>
      </c>
      <c r="AH288">
        <f t="shared" si="71"/>
        <v>0</v>
      </c>
      <c r="AI288">
        <f t="shared" si="71"/>
        <v>0</v>
      </c>
      <c r="AJ288">
        <f t="shared" si="71"/>
        <v>0</v>
      </c>
      <c r="AK288">
        <f t="shared" si="71"/>
        <v>0</v>
      </c>
      <c r="AL288">
        <f t="shared" si="71"/>
        <v>0</v>
      </c>
      <c r="AM288">
        <f t="shared" si="71"/>
        <v>0</v>
      </c>
      <c r="AN288">
        <f t="shared" si="71"/>
        <v>0</v>
      </c>
      <c r="AO288">
        <f t="shared" si="71"/>
        <v>1</v>
      </c>
      <c r="AP288">
        <f t="shared" si="81"/>
        <v>6</v>
      </c>
      <c r="BL288" s="9">
        <f t="shared" si="76"/>
        <v>276916.12503868766</v>
      </c>
      <c r="BM288" s="9">
        <f t="shared" si="77"/>
      </c>
      <c r="BN288" s="9">
        <f t="shared" si="78"/>
        <v>276916.12503868766</v>
      </c>
      <c r="BU288" s="9"/>
      <c r="BV288" s="9"/>
      <c r="BW288" s="9"/>
      <c r="BX288" s="9"/>
    </row>
    <row r="289" spans="1:76" ht="12.75">
      <c r="A289" s="59">
        <f t="shared" si="82"/>
        <v>234</v>
      </c>
      <c r="B289" s="50" t="s">
        <v>110</v>
      </c>
      <c r="C289" s="50">
        <v>2002</v>
      </c>
      <c r="D289" s="94">
        <v>180000</v>
      </c>
      <c r="E289" s="95"/>
      <c r="F289" s="95"/>
      <c r="G289" s="66"/>
      <c r="H289">
        <f t="shared" si="85"/>
      </c>
      <c r="I289">
        <f t="shared" si="85"/>
      </c>
      <c r="J289">
        <f t="shared" si="85"/>
      </c>
      <c r="K289">
        <f t="shared" si="85"/>
      </c>
      <c r="L289">
        <f t="shared" si="85"/>
      </c>
      <c r="M289">
        <f t="shared" si="85"/>
      </c>
      <c r="N289">
        <f t="shared" si="85"/>
      </c>
      <c r="O289">
        <f t="shared" si="85"/>
      </c>
      <c r="P289">
        <f t="shared" si="85"/>
      </c>
      <c r="Q289">
        <f t="shared" si="85"/>
        <v>180000</v>
      </c>
      <c r="R289" s="9">
        <f t="shared" si="79"/>
        <v>180000</v>
      </c>
      <c r="T289">
        <f t="shared" si="80"/>
      </c>
      <c r="U289">
        <f t="shared" si="86"/>
      </c>
      <c r="V289">
        <f t="shared" si="86"/>
      </c>
      <c r="W289">
        <f t="shared" si="86"/>
      </c>
      <c r="X289">
        <f t="shared" si="86"/>
      </c>
      <c r="Y289">
        <f t="shared" si="86"/>
        <v>180000</v>
      </c>
      <c r="Z289">
        <f t="shared" si="86"/>
      </c>
      <c r="AA289">
        <f t="shared" si="86"/>
      </c>
      <c r="AB289">
        <f t="shared" si="86"/>
      </c>
      <c r="AC289">
        <f t="shared" si="86"/>
      </c>
      <c r="AD289">
        <f t="shared" si="86"/>
      </c>
      <c r="AE289">
        <f t="shared" si="74"/>
      </c>
      <c r="AF289" s="9">
        <f t="shared" si="75"/>
        <v>180000</v>
      </c>
      <c r="AG289">
        <f t="shared" si="71"/>
        <v>0</v>
      </c>
      <c r="AH289">
        <f t="shared" si="71"/>
        <v>0</v>
      </c>
      <c r="AI289">
        <f t="shared" si="71"/>
        <v>0</v>
      </c>
      <c r="AJ289">
        <f t="shared" si="71"/>
        <v>0</v>
      </c>
      <c r="AK289">
        <f t="shared" si="71"/>
        <v>0</v>
      </c>
      <c r="AL289">
        <f t="shared" si="71"/>
        <v>0</v>
      </c>
      <c r="AM289">
        <f t="shared" si="71"/>
        <v>0</v>
      </c>
      <c r="AN289">
        <f t="shared" si="71"/>
        <v>0</v>
      </c>
      <c r="AO289">
        <f t="shared" si="71"/>
        <v>1</v>
      </c>
      <c r="AP289">
        <f t="shared" si="81"/>
        <v>5</v>
      </c>
      <c r="BL289" s="9">
        <f t="shared" si="76"/>
        <v>160763.43753223974</v>
      </c>
      <c r="BM289" s="9">
        <f t="shared" si="77"/>
      </c>
      <c r="BN289" s="9">
        <f t="shared" si="78"/>
        <v>160763.43753223974</v>
      </c>
      <c r="BU289" s="9"/>
      <c r="BV289" s="9"/>
      <c r="BW289" s="9"/>
      <c r="BX289" s="9"/>
    </row>
    <row r="290" spans="1:76" ht="12.75">
      <c r="A290" s="59">
        <f t="shared" si="82"/>
        <v>235</v>
      </c>
      <c r="B290" s="50" t="s">
        <v>110</v>
      </c>
      <c r="C290" s="50">
        <v>2004</v>
      </c>
      <c r="D290" s="94">
        <v>200000</v>
      </c>
      <c r="E290" s="95"/>
      <c r="F290" s="95"/>
      <c r="G290" s="66"/>
      <c r="H290">
        <f t="shared" si="85"/>
      </c>
      <c r="I290">
        <f t="shared" si="85"/>
      </c>
      <c r="J290">
        <f t="shared" si="85"/>
      </c>
      <c r="K290">
        <f t="shared" si="85"/>
      </c>
      <c r="L290">
        <f t="shared" si="85"/>
      </c>
      <c r="M290">
        <f t="shared" si="85"/>
      </c>
      <c r="N290">
        <f t="shared" si="85"/>
      </c>
      <c r="O290">
        <f t="shared" si="85"/>
      </c>
      <c r="P290">
        <f t="shared" si="85"/>
      </c>
      <c r="Q290">
        <f t="shared" si="85"/>
        <v>200000</v>
      </c>
      <c r="R290" s="9">
        <f t="shared" si="79"/>
        <v>200000</v>
      </c>
      <c r="T290">
        <f t="shared" si="80"/>
      </c>
      <c r="U290">
        <f t="shared" si="86"/>
      </c>
      <c r="V290">
        <f t="shared" si="86"/>
      </c>
      <c r="W290">
        <f t="shared" si="86"/>
        <v>200000</v>
      </c>
      <c r="X290">
        <f t="shared" si="86"/>
      </c>
      <c r="Y290">
        <f t="shared" si="86"/>
      </c>
      <c r="Z290">
        <f t="shared" si="86"/>
      </c>
      <c r="AA290">
        <f t="shared" si="86"/>
      </c>
      <c r="AB290">
        <f t="shared" si="86"/>
      </c>
      <c r="AC290">
        <f t="shared" si="86"/>
      </c>
      <c r="AD290">
        <f t="shared" si="86"/>
      </c>
      <c r="AE290">
        <f t="shared" si="74"/>
      </c>
      <c r="AF290" s="9">
        <f t="shared" si="75"/>
        <v>200000</v>
      </c>
      <c r="AG290">
        <f t="shared" si="71"/>
        <v>0</v>
      </c>
      <c r="AH290">
        <f t="shared" si="71"/>
        <v>0</v>
      </c>
      <c r="AI290">
        <f t="shared" si="71"/>
        <v>0</v>
      </c>
      <c r="AJ290">
        <f t="shared" si="71"/>
        <v>0</v>
      </c>
      <c r="AK290">
        <f t="shared" si="71"/>
        <v>0</v>
      </c>
      <c r="AL290">
        <f t="shared" si="71"/>
        <v>0</v>
      </c>
      <c r="AM290">
        <f t="shared" si="71"/>
        <v>0</v>
      </c>
      <c r="AN290">
        <f t="shared" si="71"/>
        <v>0</v>
      </c>
      <c r="AO290">
        <f t="shared" si="71"/>
        <v>1</v>
      </c>
      <c r="AP290">
        <f t="shared" si="81"/>
        <v>3</v>
      </c>
      <c r="BL290" s="9">
        <f t="shared" si="76"/>
        <v>188458.06251934383</v>
      </c>
      <c r="BM290" s="9">
        <f t="shared" si="77"/>
      </c>
      <c r="BN290" s="9">
        <f t="shared" si="78"/>
        <v>188458.06251934383</v>
      </c>
      <c r="BU290" s="9"/>
      <c r="BV290" s="9"/>
      <c r="BW290" s="9"/>
      <c r="BX290" s="9"/>
    </row>
    <row r="291" spans="1:76" ht="12.75">
      <c r="A291" s="59">
        <f t="shared" si="82"/>
        <v>236</v>
      </c>
      <c r="B291" s="50" t="s">
        <v>110</v>
      </c>
      <c r="C291" s="99">
        <v>2004</v>
      </c>
      <c r="D291" s="94">
        <v>200000</v>
      </c>
      <c r="E291" s="95"/>
      <c r="F291" s="95"/>
      <c r="G291" s="66"/>
      <c r="H291">
        <f t="shared" si="85"/>
      </c>
      <c r="I291">
        <f t="shared" si="85"/>
      </c>
      <c r="J291">
        <f t="shared" si="85"/>
      </c>
      <c r="K291">
        <f t="shared" si="85"/>
      </c>
      <c r="L291">
        <f t="shared" si="85"/>
      </c>
      <c r="M291">
        <f t="shared" si="85"/>
      </c>
      <c r="N291">
        <f t="shared" si="85"/>
      </c>
      <c r="O291">
        <f t="shared" si="85"/>
      </c>
      <c r="P291">
        <f t="shared" si="85"/>
      </c>
      <c r="Q291">
        <f t="shared" si="85"/>
        <v>200000</v>
      </c>
      <c r="R291" s="9">
        <f t="shared" si="79"/>
        <v>200000</v>
      </c>
      <c r="T291">
        <f t="shared" si="80"/>
      </c>
      <c r="U291">
        <f t="shared" si="86"/>
      </c>
      <c r="V291">
        <f t="shared" si="86"/>
      </c>
      <c r="W291">
        <f t="shared" si="86"/>
        <v>200000</v>
      </c>
      <c r="X291">
        <f t="shared" si="86"/>
      </c>
      <c r="Y291">
        <f t="shared" si="86"/>
      </c>
      <c r="Z291">
        <f t="shared" si="86"/>
      </c>
      <c r="AA291">
        <f t="shared" si="86"/>
      </c>
      <c r="AB291">
        <f t="shared" si="86"/>
      </c>
      <c r="AC291">
        <f t="shared" si="86"/>
      </c>
      <c r="AD291">
        <f t="shared" si="86"/>
      </c>
      <c r="AE291">
        <f t="shared" si="74"/>
      </c>
      <c r="AF291" s="9">
        <f t="shared" si="75"/>
        <v>200000</v>
      </c>
      <c r="AG291">
        <f t="shared" si="71"/>
        <v>0</v>
      </c>
      <c r="AH291">
        <f t="shared" si="71"/>
        <v>0</v>
      </c>
      <c r="AI291">
        <f t="shared" si="71"/>
        <v>0</v>
      </c>
      <c r="AJ291">
        <f t="shared" si="71"/>
        <v>0</v>
      </c>
      <c r="AK291">
        <f t="shared" si="71"/>
        <v>0</v>
      </c>
      <c r="AL291">
        <f t="shared" si="71"/>
        <v>0</v>
      </c>
      <c r="AM291">
        <f t="shared" si="71"/>
        <v>0</v>
      </c>
      <c r="AN291">
        <f t="shared" si="71"/>
        <v>0</v>
      </c>
      <c r="AO291">
        <f t="shared" si="71"/>
        <v>1</v>
      </c>
      <c r="AP291">
        <f t="shared" si="81"/>
        <v>3</v>
      </c>
      <c r="BL291" s="9">
        <f t="shared" si="76"/>
        <v>188458.06251934383</v>
      </c>
      <c r="BM291" s="9">
        <f t="shared" si="77"/>
      </c>
      <c r="BN291" s="9">
        <f t="shared" si="78"/>
        <v>188458.06251934383</v>
      </c>
      <c r="BU291" s="9"/>
      <c r="BV291" s="9"/>
      <c r="BW291" s="9"/>
      <c r="BX291" s="9"/>
    </row>
    <row r="292" spans="1:76" ht="12.75">
      <c r="A292" s="59">
        <f t="shared" si="82"/>
        <v>237</v>
      </c>
      <c r="B292" s="50" t="s">
        <v>110</v>
      </c>
      <c r="C292" s="50">
        <v>2004</v>
      </c>
      <c r="D292" s="94">
        <v>150000</v>
      </c>
      <c r="E292" s="95"/>
      <c r="F292" s="95"/>
      <c r="G292" s="66"/>
      <c r="H292">
        <f t="shared" si="85"/>
      </c>
      <c r="I292">
        <f t="shared" si="85"/>
      </c>
      <c r="J292">
        <f t="shared" si="85"/>
      </c>
      <c r="K292">
        <f t="shared" si="85"/>
      </c>
      <c r="L292">
        <f t="shared" si="85"/>
      </c>
      <c r="M292">
        <f t="shared" si="85"/>
      </c>
      <c r="N292">
        <f t="shared" si="85"/>
      </c>
      <c r="O292">
        <f t="shared" si="85"/>
      </c>
      <c r="P292">
        <f t="shared" si="85"/>
      </c>
      <c r="Q292">
        <f t="shared" si="85"/>
        <v>150000</v>
      </c>
      <c r="R292" s="9">
        <f t="shared" si="79"/>
        <v>150000</v>
      </c>
      <c r="T292">
        <f t="shared" si="80"/>
      </c>
      <c r="U292">
        <f t="shared" si="86"/>
      </c>
      <c r="V292">
        <f t="shared" si="86"/>
      </c>
      <c r="W292">
        <f t="shared" si="86"/>
        <v>150000</v>
      </c>
      <c r="X292">
        <f t="shared" si="86"/>
      </c>
      <c r="Y292">
        <f t="shared" si="86"/>
      </c>
      <c r="Z292">
        <f t="shared" si="86"/>
      </c>
      <c r="AA292">
        <f t="shared" si="86"/>
      </c>
      <c r="AB292">
        <f t="shared" si="86"/>
      </c>
      <c r="AC292">
        <f t="shared" si="86"/>
      </c>
      <c r="AD292">
        <f t="shared" si="86"/>
      </c>
      <c r="AE292">
        <f t="shared" si="74"/>
      </c>
      <c r="AF292" s="9">
        <f t="shared" si="75"/>
        <v>150000</v>
      </c>
      <c r="AG292">
        <f t="shared" si="71"/>
        <v>0</v>
      </c>
      <c r="AH292">
        <f t="shared" si="71"/>
        <v>0</v>
      </c>
      <c r="AI292">
        <f t="shared" si="71"/>
        <v>0</v>
      </c>
      <c r="AJ292">
        <f t="shared" si="71"/>
        <v>0</v>
      </c>
      <c r="AK292">
        <f t="shared" si="71"/>
        <v>0</v>
      </c>
      <c r="AL292">
        <f t="shared" si="71"/>
        <v>0</v>
      </c>
      <c r="AM292">
        <f t="shared" si="71"/>
        <v>0</v>
      </c>
      <c r="AN292">
        <f t="shared" si="71"/>
        <v>0</v>
      </c>
      <c r="AO292">
        <f t="shared" si="71"/>
        <v>1</v>
      </c>
      <c r="AP292">
        <f t="shared" si="81"/>
        <v>3</v>
      </c>
      <c r="BL292" s="9">
        <f t="shared" si="76"/>
        <v>138458.06251934383</v>
      </c>
      <c r="BM292" s="9">
        <f t="shared" si="77"/>
      </c>
      <c r="BN292" s="9">
        <f t="shared" si="78"/>
        <v>138458.06251934383</v>
      </c>
      <c r="BU292" s="9"/>
      <c r="BV292" s="9"/>
      <c r="BW292" s="9"/>
      <c r="BX292" s="9"/>
    </row>
    <row r="293" spans="1:76" ht="12.75">
      <c r="A293" s="59">
        <f t="shared" si="82"/>
        <v>238</v>
      </c>
      <c r="B293" s="50" t="s">
        <v>110</v>
      </c>
      <c r="C293" s="50">
        <v>2005</v>
      </c>
      <c r="D293" s="94">
        <v>180000</v>
      </c>
      <c r="E293" s="95"/>
      <c r="F293" s="95"/>
      <c r="G293" s="66"/>
      <c r="H293">
        <f t="shared" si="85"/>
      </c>
      <c r="I293">
        <f t="shared" si="85"/>
      </c>
      <c r="J293">
        <f t="shared" si="85"/>
      </c>
      <c r="K293">
        <f t="shared" si="85"/>
      </c>
      <c r="L293">
        <f t="shared" si="85"/>
      </c>
      <c r="M293">
        <f t="shared" si="85"/>
      </c>
      <c r="N293">
        <f t="shared" si="85"/>
      </c>
      <c r="O293">
        <f t="shared" si="85"/>
      </c>
      <c r="P293">
        <f t="shared" si="85"/>
      </c>
      <c r="Q293">
        <f t="shared" si="85"/>
        <v>180000</v>
      </c>
      <c r="R293" s="9">
        <f t="shared" si="79"/>
        <v>180000</v>
      </c>
      <c r="T293">
        <f t="shared" si="80"/>
      </c>
      <c r="U293">
        <f t="shared" si="86"/>
      </c>
      <c r="V293">
        <f t="shared" si="86"/>
        <v>180000</v>
      </c>
      <c r="W293">
        <f t="shared" si="86"/>
      </c>
      <c r="X293">
        <f t="shared" si="86"/>
      </c>
      <c r="Y293">
        <f t="shared" si="86"/>
      </c>
      <c r="Z293">
        <f t="shared" si="86"/>
      </c>
      <c r="AA293">
        <f t="shared" si="86"/>
      </c>
      <c r="AB293">
        <f t="shared" si="86"/>
      </c>
      <c r="AC293">
        <f t="shared" si="86"/>
      </c>
      <c r="AD293">
        <f t="shared" si="86"/>
      </c>
      <c r="AE293">
        <f t="shared" si="74"/>
      </c>
      <c r="AF293" s="9">
        <f t="shared" si="75"/>
        <v>180000</v>
      </c>
      <c r="AG293">
        <f t="shared" si="71"/>
        <v>0</v>
      </c>
      <c r="AH293">
        <f t="shared" si="71"/>
        <v>0</v>
      </c>
      <c r="AI293">
        <f t="shared" si="71"/>
        <v>0</v>
      </c>
      <c r="AJ293">
        <f t="shared" si="71"/>
        <v>0</v>
      </c>
      <c r="AK293">
        <f t="shared" si="71"/>
        <v>0</v>
      </c>
      <c r="AL293">
        <f t="shared" si="71"/>
        <v>0</v>
      </c>
      <c r="AM293">
        <f t="shared" si="71"/>
        <v>0</v>
      </c>
      <c r="AN293">
        <f t="shared" si="71"/>
        <v>0</v>
      </c>
      <c r="AO293">
        <f t="shared" si="71"/>
        <v>1</v>
      </c>
      <c r="AP293">
        <f t="shared" si="81"/>
        <v>2</v>
      </c>
      <c r="BL293" s="9">
        <f t="shared" si="76"/>
        <v>172305.3750128959</v>
      </c>
      <c r="BM293" s="9">
        <f t="shared" si="77"/>
      </c>
      <c r="BN293" s="9">
        <f t="shared" si="78"/>
        <v>172305.3750128959</v>
      </c>
      <c r="BU293" s="9"/>
      <c r="BV293" s="9"/>
      <c r="BW293" s="9"/>
      <c r="BX293" s="9"/>
    </row>
    <row r="294" spans="1:76" ht="12.75">
      <c r="A294" s="59">
        <f t="shared" si="82"/>
        <v>239</v>
      </c>
      <c r="B294" s="50" t="s">
        <v>110</v>
      </c>
      <c r="C294" s="50">
        <v>2005</v>
      </c>
      <c r="D294" s="94">
        <v>180000</v>
      </c>
      <c r="E294" s="95"/>
      <c r="F294" s="95"/>
      <c r="G294" s="66"/>
      <c r="H294">
        <f t="shared" si="85"/>
      </c>
      <c r="I294">
        <f t="shared" si="85"/>
      </c>
      <c r="J294">
        <f t="shared" si="85"/>
      </c>
      <c r="K294">
        <f t="shared" si="85"/>
      </c>
      <c r="L294">
        <f t="shared" si="85"/>
      </c>
      <c r="M294">
        <f t="shared" si="85"/>
      </c>
      <c r="N294">
        <f t="shared" si="85"/>
      </c>
      <c r="O294">
        <f t="shared" si="85"/>
      </c>
      <c r="P294">
        <f t="shared" si="85"/>
      </c>
      <c r="Q294">
        <f t="shared" si="85"/>
        <v>180000</v>
      </c>
      <c r="R294" s="9">
        <f t="shared" si="79"/>
        <v>180000</v>
      </c>
      <c r="T294">
        <f t="shared" si="80"/>
      </c>
      <c r="U294">
        <f t="shared" si="86"/>
      </c>
      <c r="V294">
        <f t="shared" si="86"/>
        <v>180000</v>
      </c>
      <c r="W294">
        <f t="shared" si="86"/>
      </c>
      <c r="X294">
        <f t="shared" si="86"/>
      </c>
      <c r="Y294">
        <f t="shared" si="86"/>
      </c>
      <c r="Z294">
        <f t="shared" si="86"/>
      </c>
      <c r="AA294">
        <f t="shared" si="86"/>
      </c>
      <c r="AB294">
        <f t="shared" si="86"/>
      </c>
      <c r="AC294">
        <f t="shared" si="86"/>
      </c>
      <c r="AD294">
        <f t="shared" si="86"/>
      </c>
      <c r="AE294">
        <f t="shared" si="74"/>
      </c>
      <c r="AF294" s="9">
        <f t="shared" si="75"/>
        <v>180000</v>
      </c>
      <c r="AG294">
        <f t="shared" si="71"/>
        <v>0</v>
      </c>
      <c r="AH294">
        <f t="shared" si="71"/>
        <v>0</v>
      </c>
      <c r="AI294">
        <f aca="true" t="shared" si="87" ref="AH294:AO300">IF($B294=AI$55,1,0)</f>
        <v>0</v>
      </c>
      <c r="AJ294">
        <f t="shared" si="87"/>
        <v>0</v>
      </c>
      <c r="AK294">
        <f t="shared" si="87"/>
        <v>0</v>
      </c>
      <c r="AL294">
        <f t="shared" si="87"/>
        <v>0</v>
      </c>
      <c r="AM294">
        <f t="shared" si="87"/>
        <v>0</v>
      </c>
      <c r="AN294">
        <f t="shared" si="87"/>
        <v>0</v>
      </c>
      <c r="AO294">
        <f t="shared" si="87"/>
        <v>1</v>
      </c>
      <c r="AP294">
        <f t="shared" si="81"/>
        <v>2</v>
      </c>
      <c r="BL294" s="9">
        <f t="shared" si="76"/>
        <v>172305.3750128959</v>
      </c>
      <c r="BM294" s="9">
        <f t="shared" si="77"/>
      </c>
      <c r="BN294" s="9">
        <f t="shared" si="78"/>
        <v>172305.3750128959</v>
      </c>
      <c r="BU294" s="9"/>
      <c r="BV294" s="9"/>
      <c r="BW294" s="9"/>
      <c r="BX294" s="9"/>
    </row>
    <row r="295" spans="1:76" ht="12.75">
      <c r="A295" s="59">
        <f t="shared" si="82"/>
        <v>240</v>
      </c>
      <c r="B295" s="50" t="s">
        <v>110</v>
      </c>
      <c r="C295" s="50">
        <v>2005</v>
      </c>
      <c r="D295" s="94">
        <v>180000</v>
      </c>
      <c r="E295" s="95"/>
      <c r="F295" s="95"/>
      <c r="G295" s="66"/>
      <c r="H295">
        <f t="shared" si="85"/>
      </c>
      <c r="I295">
        <f t="shared" si="85"/>
      </c>
      <c r="J295">
        <f t="shared" si="85"/>
      </c>
      <c r="K295">
        <f t="shared" si="85"/>
      </c>
      <c r="L295">
        <f t="shared" si="85"/>
      </c>
      <c r="M295">
        <f t="shared" si="85"/>
      </c>
      <c r="N295">
        <f t="shared" si="85"/>
      </c>
      <c r="O295">
        <f t="shared" si="85"/>
      </c>
      <c r="P295">
        <f t="shared" si="85"/>
      </c>
      <c r="Q295">
        <f t="shared" si="85"/>
        <v>180000</v>
      </c>
      <c r="R295" s="9">
        <f t="shared" si="79"/>
        <v>180000</v>
      </c>
      <c r="T295">
        <f t="shared" si="80"/>
      </c>
      <c r="U295">
        <f t="shared" si="86"/>
      </c>
      <c r="V295">
        <f t="shared" si="86"/>
        <v>180000</v>
      </c>
      <c r="W295">
        <f t="shared" si="86"/>
      </c>
      <c r="X295">
        <f t="shared" si="86"/>
      </c>
      <c r="Y295">
        <f t="shared" si="86"/>
      </c>
      <c r="Z295">
        <f t="shared" si="86"/>
      </c>
      <c r="AA295">
        <f t="shared" si="86"/>
      </c>
      <c r="AB295">
        <f t="shared" si="86"/>
      </c>
      <c r="AC295">
        <f t="shared" si="86"/>
      </c>
      <c r="AD295">
        <f t="shared" si="86"/>
      </c>
      <c r="AE295">
        <f t="shared" si="74"/>
      </c>
      <c r="AF295" s="9">
        <f t="shared" si="75"/>
        <v>180000</v>
      </c>
      <c r="AG295">
        <f aca="true" t="shared" si="88" ref="AG295:AO310">IF($B295=AG$55,1,0)</f>
        <v>0</v>
      </c>
      <c r="AH295">
        <f t="shared" si="87"/>
        <v>0</v>
      </c>
      <c r="AI295">
        <f t="shared" si="87"/>
        <v>0</v>
      </c>
      <c r="AJ295">
        <f t="shared" si="87"/>
        <v>0</v>
      </c>
      <c r="AK295">
        <f t="shared" si="87"/>
        <v>0</v>
      </c>
      <c r="AL295">
        <f t="shared" si="87"/>
        <v>0</v>
      </c>
      <c r="AM295">
        <f t="shared" si="87"/>
        <v>0</v>
      </c>
      <c r="AN295">
        <f t="shared" si="87"/>
        <v>0</v>
      </c>
      <c r="AO295">
        <f t="shared" si="87"/>
        <v>1</v>
      </c>
      <c r="AP295">
        <f t="shared" si="81"/>
        <v>2</v>
      </c>
      <c r="BL295" s="9">
        <f t="shared" si="76"/>
        <v>172305.3750128959</v>
      </c>
      <c r="BM295" s="9">
        <f t="shared" si="77"/>
      </c>
      <c r="BN295" s="9">
        <f t="shared" si="78"/>
        <v>172305.3750128959</v>
      </c>
      <c r="BU295" s="9"/>
      <c r="BV295" s="9"/>
      <c r="BW295" s="9"/>
      <c r="BX295" s="9"/>
    </row>
    <row r="296" spans="1:76" ht="12.75">
      <c r="A296" s="59">
        <f t="shared" si="82"/>
        <v>241</v>
      </c>
      <c r="B296" s="50" t="s">
        <v>110</v>
      </c>
      <c r="C296" s="50">
        <v>2006</v>
      </c>
      <c r="D296" s="94">
        <v>150000</v>
      </c>
      <c r="E296" s="95"/>
      <c r="F296" s="95"/>
      <c r="G296" s="66"/>
      <c r="H296">
        <f aca="true" t="shared" si="89" ref="H296:Q311">IF($B296=H$55,$D296,"")</f>
      </c>
      <c r="I296">
        <f t="shared" si="89"/>
      </c>
      <c r="J296">
        <f t="shared" si="89"/>
      </c>
      <c r="K296">
        <f t="shared" si="89"/>
      </c>
      <c r="L296">
        <f t="shared" si="89"/>
      </c>
      <c r="M296">
        <f t="shared" si="89"/>
      </c>
      <c r="N296">
        <f t="shared" si="89"/>
      </c>
      <c r="O296">
        <f t="shared" si="89"/>
      </c>
      <c r="P296">
        <f t="shared" si="89"/>
      </c>
      <c r="Q296">
        <f t="shared" si="89"/>
        <v>150000</v>
      </c>
      <c r="R296" s="9">
        <f t="shared" si="79"/>
        <v>150000</v>
      </c>
      <c r="T296">
        <f t="shared" si="80"/>
      </c>
      <c r="U296">
        <f aca="true" t="shared" si="90" ref="U296:AD311">IF($C296=U$55,$D296,"")</f>
        <v>150000</v>
      </c>
      <c r="V296">
        <f t="shared" si="90"/>
      </c>
      <c r="W296">
        <f t="shared" si="90"/>
      </c>
      <c r="X296">
        <f t="shared" si="90"/>
      </c>
      <c r="Y296">
        <f t="shared" si="90"/>
      </c>
      <c r="Z296">
        <f t="shared" si="90"/>
      </c>
      <c r="AA296">
        <f t="shared" si="90"/>
      </c>
      <c r="AB296">
        <f t="shared" si="90"/>
      </c>
      <c r="AC296">
        <f t="shared" si="90"/>
      </c>
      <c r="AD296">
        <f t="shared" si="90"/>
      </c>
      <c r="AE296">
        <f t="shared" si="74"/>
      </c>
      <c r="AF296" s="9">
        <f t="shared" si="75"/>
        <v>150000</v>
      </c>
      <c r="AG296">
        <f t="shared" si="88"/>
        <v>0</v>
      </c>
      <c r="AH296">
        <f t="shared" si="87"/>
        <v>0</v>
      </c>
      <c r="AI296">
        <f t="shared" si="87"/>
        <v>0</v>
      </c>
      <c r="AJ296">
        <f t="shared" si="87"/>
        <v>0</v>
      </c>
      <c r="AK296">
        <f t="shared" si="87"/>
        <v>0</v>
      </c>
      <c r="AL296">
        <f t="shared" si="87"/>
        <v>0</v>
      </c>
      <c r="AM296">
        <f t="shared" si="87"/>
        <v>0</v>
      </c>
      <c r="AN296">
        <f t="shared" si="87"/>
        <v>0</v>
      </c>
      <c r="AO296">
        <f t="shared" si="87"/>
        <v>1</v>
      </c>
      <c r="AP296">
        <f t="shared" si="81"/>
        <v>1</v>
      </c>
      <c r="BL296" s="9">
        <f t="shared" si="76"/>
        <v>146152.68750644795</v>
      </c>
      <c r="BM296" s="9">
        <f t="shared" si="77"/>
      </c>
      <c r="BN296" s="9">
        <f t="shared" si="78"/>
        <v>146152.68750644795</v>
      </c>
      <c r="BU296" s="9"/>
      <c r="BV296" s="9"/>
      <c r="BW296" s="9"/>
      <c r="BX296" s="9"/>
    </row>
    <row r="297" spans="1:76" ht="12.75">
      <c r="A297" s="59">
        <f t="shared" si="82"/>
        <v>242</v>
      </c>
      <c r="B297" s="50" t="s">
        <v>110</v>
      </c>
      <c r="C297" s="50">
        <v>2006</v>
      </c>
      <c r="D297" s="94">
        <v>380000</v>
      </c>
      <c r="E297" s="95"/>
      <c r="F297" s="95"/>
      <c r="G297" s="66"/>
      <c r="H297">
        <f t="shared" si="89"/>
      </c>
      <c r="I297">
        <f t="shared" si="89"/>
      </c>
      <c r="J297">
        <f t="shared" si="89"/>
      </c>
      <c r="K297">
        <f t="shared" si="89"/>
      </c>
      <c r="L297">
        <f t="shared" si="89"/>
      </c>
      <c r="M297">
        <f t="shared" si="89"/>
      </c>
      <c r="N297">
        <f t="shared" si="89"/>
      </c>
      <c r="O297">
        <f t="shared" si="89"/>
      </c>
      <c r="P297">
        <f t="shared" si="89"/>
      </c>
      <c r="Q297">
        <f t="shared" si="89"/>
        <v>380000</v>
      </c>
      <c r="R297" s="9">
        <f t="shared" si="79"/>
        <v>380000</v>
      </c>
      <c r="T297">
        <f t="shared" si="80"/>
      </c>
      <c r="U297">
        <f t="shared" si="90"/>
        <v>380000</v>
      </c>
      <c r="V297">
        <f t="shared" si="90"/>
      </c>
      <c r="W297">
        <f t="shared" si="90"/>
      </c>
      <c r="X297">
        <f t="shared" si="90"/>
      </c>
      <c r="Y297">
        <f t="shared" si="90"/>
      </c>
      <c r="Z297">
        <f t="shared" si="90"/>
      </c>
      <c r="AA297">
        <f t="shared" si="90"/>
      </c>
      <c r="AB297">
        <f t="shared" si="90"/>
      </c>
      <c r="AC297">
        <f t="shared" si="90"/>
      </c>
      <c r="AD297">
        <f t="shared" si="90"/>
      </c>
      <c r="AE297">
        <f t="shared" si="74"/>
      </c>
      <c r="AF297" s="9">
        <f t="shared" si="75"/>
        <v>380000</v>
      </c>
      <c r="AG297">
        <f t="shared" si="88"/>
        <v>0</v>
      </c>
      <c r="AH297">
        <f t="shared" si="87"/>
        <v>0</v>
      </c>
      <c r="AI297">
        <f t="shared" si="87"/>
        <v>0</v>
      </c>
      <c r="AJ297">
        <f t="shared" si="87"/>
        <v>0</v>
      </c>
      <c r="AK297">
        <f t="shared" si="87"/>
        <v>0</v>
      </c>
      <c r="AL297">
        <f t="shared" si="87"/>
        <v>0</v>
      </c>
      <c r="AM297">
        <f t="shared" si="87"/>
        <v>0</v>
      </c>
      <c r="AN297">
        <f t="shared" si="87"/>
        <v>0</v>
      </c>
      <c r="AO297">
        <f t="shared" si="87"/>
        <v>1</v>
      </c>
      <c r="AP297">
        <f t="shared" si="81"/>
        <v>1</v>
      </c>
      <c r="BL297" s="9">
        <f t="shared" si="76"/>
        <v>376152.68750644795</v>
      </c>
      <c r="BM297" s="9">
        <f t="shared" si="77"/>
      </c>
      <c r="BN297" s="9">
        <f t="shared" si="78"/>
        <v>376152.68750644795</v>
      </c>
      <c r="BU297" s="9"/>
      <c r="BV297" s="9"/>
      <c r="BW297" s="9"/>
      <c r="BX297" s="9"/>
    </row>
    <row r="298" spans="1:76" ht="12.75">
      <c r="A298" s="59">
        <f t="shared" si="82"/>
        <v>243</v>
      </c>
      <c r="B298" s="50" t="s">
        <v>110</v>
      </c>
      <c r="C298" s="50">
        <v>2006</v>
      </c>
      <c r="D298" s="94">
        <v>180000</v>
      </c>
      <c r="E298" s="95"/>
      <c r="F298" s="95"/>
      <c r="G298" s="66"/>
      <c r="H298">
        <f t="shared" si="89"/>
      </c>
      <c r="I298">
        <f t="shared" si="89"/>
      </c>
      <c r="J298">
        <f t="shared" si="89"/>
      </c>
      <c r="K298">
        <f t="shared" si="89"/>
      </c>
      <c r="L298">
        <f t="shared" si="89"/>
      </c>
      <c r="M298">
        <f t="shared" si="89"/>
      </c>
      <c r="N298">
        <f t="shared" si="89"/>
      </c>
      <c r="O298">
        <f t="shared" si="89"/>
      </c>
      <c r="P298">
        <f t="shared" si="89"/>
      </c>
      <c r="Q298">
        <f t="shared" si="89"/>
        <v>180000</v>
      </c>
      <c r="R298" s="9">
        <f t="shared" si="79"/>
        <v>180000</v>
      </c>
      <c r="T298">
        <f t="shared" si="80"/>
      </c>
      <c r="U298">
        <f t="shared" si="90"/>
        <v>180000</v>
      </c>
      <c r="V298">
        <f t="shared" si="90"/>
      </c>
      <c r="W298">
        <f t="shared" si="90"/>
      </c>
      <c r="X298">
        <f t="shared" si="90"/>
      </c>
      <c r="Y298">
        <f t="shared" si="90"/>
      </c>
      <c r="Z298">
        <f t="shared" si="90"/>
      </c>
      <c r="AA298">
        <f t="shared" si="90"/>
      </c>
      <c r="AB298">
        <f t="shared" si="90"/>
      </c>
      <c r="AC298">
        <f t="shared" si="90"/>
      </c>
      <c r="AD298">
        <f t="shared" si="90"/>
      </c>
      <c r="AE298">
        <f t="shared" si="74"/>
      </c>
      <c r="AF298" s="9">
        <f t="shared" si="75"/>
        <v>180000</v>
      </c>
      <c r="AG298">
        <f t="shared" si="88"/>
        <v>0</v>
      </c>
      <c r="AH298">
        <f t="shared" si="87"/>
        <v>0</v>
      </c>
      <c r="AI298">
        <f t="shared" si="87"/>
        <v>0</v>
      </c>
      <c r="AJ298">
        <f t="shared" si="87"/>
        <v>0</v>
      </c>
      <c r="AK298">
        <f t="shared" si="87"/>
        <v>0</v>
      </c>
      <c r="AL298">
        <f t="shared" si="87"/>
        <v>0</v>
      </c>
      <c r="AM298">
        <f t="shared" si="87"/>
        <v>0</v>
      </c>
      <c r="AN298">
        <f t="shared" si="87"/>
        <v>0</v>
      </c>
      <c r="AO298">
        <f t="shared" si="87"/>
        <v>1</v>
      </c>
      <c r="AP298">
        <f t="shared" si="81"/>
        <v>1</v>
      </c>
      <c r="BL298" s="9">
        <f t="shared" si="76"/>
        <v>176152.68750644795</v>
      </c>
      <c r="BM298" s="9">
        <f t="shared" si="77"/>
      </c>
      <c r="BN298" s="9">
        <f t="shared" si="78"/>
        <v>176152.68750644795</v>
      </c>
      <c r="BU298" s="9"/>
      <c r="BV298" s="9"/>
      <c r="BW298" s="9"/>
      <c r="BX298" s="9"/>
    </row>
    <row r="299" spans="1:76" ht="12.75">
      <c r="A299" s="59">
        <f t="shared" si="82"/>
        <v>244</v>
      </c>
      <c r="B299" s="50" t="s">
        <v>110</v>
      </c>
      <c r="C299" s="50">
        <v>2006</v>
      </c>
      <c r="D299" s="94">
        <v>115000</v>
      </c>
      <c r="E299" s="95"/>
      <c r="F299" s="95"/>
      <c r="G299" s="66"/>
      <c r="H299">
        <f t="shared" si="89"/>
      </c>
      <c r="I299">
        <f t="shared" si="89"/>
      </c>
      <c r="J299">
        <f t="shared" si="89"/>
      </c>
      <c r="K299">
        <f t="shared" si="89"/>
      </c>
      <c r="L299">
        <f t="shared" si="89"/>
      </c>
      <c r="M299">
        <f t="shared" si="89"/>
      </c>
      <c r="N299">
        <f t="shared" si="89"/>
      </c>
      <c r="O299">
        <f t="shared" si="89"/>
      </c>
      <c r="P299">
        <f t="shared" si="89"/>
      </c>
      <c r="Q299">
        <f t="shared" si="89"/>
        <v>115000</v>
      </c>
      <c r="R299" s="9">
        <f t="shared" si="79"/>
        <v>115000</v>
      </c>
      <c r="T299">
        <f t="shared" si="80"/>
      </c>
      <c r="U299">
        <f t="shared" si="90"/>
        <v>115000</v>
      </c>
      <c r="V299">
        <f t="shared" si="90"/>
      </c>
      <c r="W299">
        <f t="shared" si="90"/>
      </c>
      <c r="X299">
        <f t="shared" si="90"/>
      </c>
      <c r="Y299">
        <f t="shared" si="90"/>
      </c>
      <c r="Z299">
        <f t="shared" si="90"/>
      </c>
      <c r="AA299">
        <f t="shared" si="90"/>
      </c>
      <c r="AB299">
        <f t="shared" si="90"/>
      </c>
      <c r="AC299">
        <f t="shared" si="90"/>
      </c>
      <c r="AD299">
        <f t="shared" si="90"/>
      </c>
      <c r="AE299">
        <f t="shared" si="74"/>
      </c>
      <c r="AF299" s="9">
        <f t="shared" si="75"/>
        <v>115000</v>
      </c>
      <c r="AG299">
        <f t="shared" si="88"/>
        <v>0</v>
      </c>
      <c r="AH299">
        <f t="shared" si="87"/>
        <v>0</v>
      </c>
      <c r="AI299">
        <f t="shared" si="87"/>
        <v>0</v>
      </c>
      <c r="AJ299">
        <f t="shared" si="87"/>
        <v>0</v>
      </c>
      <c r="AK299">
        <f t="shared" si="87"/>
        <v>0</v>
      </c>
      <c r="AL299">
        <f t="shared" si="87"/>
        <v>0</v>
      </c>
      <c r="AM299">
        <f t="shared" si="87"/>
        <v>0</v>
      </c>
      <c r="AN299">
        <f t="shared" si="87"/>
        <v>0</v>
      </c>
      <c r="AO299">
        <f t="shared" si="87"/>
        <v>1</v>
      </c>
      <c r="AP299">
        <f t="shared" si="81"/>
        <v>1</v>
      </c>
      <c r="BL299" s="9">
        <f t="shared" si="76"/>
        <v>111152.68750644795</v>
      </c>
      <c r="BM299" s="9">
        <f t="shared" si="77"/>
      </c>
      <c r="BN299" s="9">
        <f t="shared" si="78"/>
        <v>111152.68750644795</v>
      </c>
      <c r="BU299" s="9"/>
      <c r="BV299" s="9"/>
      <c r="BW299" s="9"/>
      <c r="BX299" s="9"/>
    </row>
    <row r="300" spans="1:76" ht="12.75">
      <c r="A300" s="59">
        <f t="shared" si="82"/>
        <v>245</v>
      </c>
      <c r="B300" s="50" t="s">
        <v>110</v>
      </c>
      <c r="C300" s="50">
        <v>2006</v>
      </c>
      <c r="D300" s="94">
        <v>180000</v>
      </c>
      <c r="E300" s="95"/>
      <c r="F300" s="95"/>
      <c r="G300" s="66"/>
      <c r="H300">
        <f t="shared" si="89"/>
      </c>
      <c r="I300">
        <f t="shared" si="89"/>
      </c>
      <c r="J300">
        <f t="shared" si="89"/>
      </c>
      <c r="K300">
        <f t="shared" si="89"/>
      </c>
      <c r="L300">
        <f t="shared" si="89"/>
      </c>
      <c r="M300">
        <f t="shared" si="89"/>
      </c>
      <c r="N300">
        <f t="shared" si="89"/>
      </c>
      <c r="O300">
        <f t="shared" si="89"/>
      </c>
      <c r="P300">
        <f t="shared" si="89"/>
      </c>
      <c r="Q300">
        <f t="shared" si="89"/>
        <v>180000</v>
      </c>
      <c r="R300" s="9">
        <f t="shared" si="79"/>
        <v>180000</v>
      </c>
      <c r="T300">
        <f t="shared" si="80"/>
      </c>
      <c r="U300">
        <f t="shared" si="90"/>
        <v>180000</v>
      </c>
      <c r="V300">
        <f t="shared" si="90"/>
      </c>
      <c r="W300">
        <f t="shared" si="90"/>
      </c>
      <c r="X300">
        <f t="shared" si="90"/>
      </c>
      <c r="Y300">
        <f t="shared" si="90"/>
      </c>
      <c r="Z300">
        <f t="shared" si="90"/>
      </c>
      <c r="AA300">
        <f t="shared" si="90"/>
      </c>
      <c r="AB300">
        <f t="shared" si="90"/>
      </c>
      <c r="AC300">
        <f t="shared" si="90"/>
      </c>
      <c r="AD300">
        <f t="shared" si="90"/>
      </c>
      <c r="AE300">
        <f t="shared" si="74"/>
      </c>
      <c r="AF300" s="9">
        <f t="shared" si="75"/>
        <v>180000</v>
      </c>
      <c r="AG300">
        <f t="shared" si="88"/>
        <v>0</v>
      </c>
      <c r="AH300">
        <f t="shared" si="87"/>
        <v>0</v>
      </c>
      <c r="AI300">
        <f t="shared" si="87"/>
        <v>0</v>
      </c>
      <c r="AJ300">
        <f t="shared" si="87"/>
        <v>0</v>
      </c>
      <c r="AK300">
        <f t="shared" si="87"/>
        <v>0</v>
      </c>
      <c r="AL300">
        <f t="shared" si="87"/>
        <v>0</v>
      </c>
      <c r="AM300">
        <f t="shared" si="87"/>
        <v>0</v>
      </c>
      <c r="AN300">
        <f t="shared" si="87"/>
        <v>0</v>
      </c>
      <c r="AO300">
        <f t="shared" si="87"/>
        <v>1</v>
      </c>
      <c r="AP300">
        <f t="shared" si="81"/>
        <v>1</v>
      </c>
      <c r="BL300" s="9">
        <f t="shared" si="76"/>
        <v>176152.68750644795</v>
      </c>
      <c r="BM300" s="9">
        <f t="shared" si="77"/>
      </c>
      <c r="BN300" s="9">
        <f t="shared" si="78"/>
        <v>176152.68750644795</v>
      </c>
      <c r="BU300" s="9"/>
      <c r="BV300" s="9"/>
      <c r="BW300" s="9"/>
      <c r="BX300" s="9"/>
    </row>
    <row r="301" spans="1:76" ht="12.75">
      <c r="A301" s="59">
        <f t="shared" si="82"/>
        <v>246</v>
      </c>
      <c r="B301" s="49" t="s">
        <v>95</v>
      </c>
      <c r="C301" s="100" t="s">
        <v>119</v>
      </c>
      <c r="D301" s="101">
        <v>260000</v>
      </c>
      <c r="E301" s="102" t="s">
        <v>105</v>
      </c>
      <c r="F301" s="102"/>
      <c r="G301" s="66"/>
      <c r="H301">
        <f t="shared" si="89"/>
      </c>
      <c r="I301">
        <f t="shared" si="89"/>
        <v>260000</v>
      </c>
      <c r="J301">
        <f t="shared" si="89"/>
      </c>
      <c r="K301">
        <f t="shared" si="89"/>
      </c>
      <c r="L301">
        <f t="shared" si="89"/>
      </c>
      <c r="M301">
        <f t="shared" si="89"/>
      </c>
      <c r="N301">
        <f t="shared" si="89"/>
      </c>
      <c r="O301">
        <f t="shared" si="89"/>
      </c>
      <c r="P301">
        <f t="shared" si="89"/>
      </c>
      <c r="Q301">
        <f t="shared" si="89"/>
      </c>
      <c r="R301" s="9">
        <f t="shared" si="79"/>
        <v>260000</v>
      </c>
      <c r="T301">
        <f t="shared" si="80"/>
      </c>
      <c r="U301">
        <f t="shared" si="90"/>
      </c>
      <c r="V301">
        <f t="shared" si="90"/>
      </c>
      <c r="W301">
        <f t="shared" si="90"/>
      </c>
      <c r="X301">
        <f t="shared" si="90"/>
      </c>
      <c r="Y301">
        <f t="shared" si="90"/>
      </c>
      <c r="Z301">
        <f t="shared" si="90"/>
      </c>
      <c r="AA301">
        <f t="shared" si="90"/>
      </c>
      <c r="AB301">
        <f t="shared" si="90"/>
      </c>
      <c r="AC301">
        <f t="shared" si="90"/>
      </c>
      <c r="AD301">
        <f t="shared" si="90"/>
      </c>
      <c r="AE301">
        <f t="shared" si="74"/>
      </c>
      <c r="AF301" s="9">
        <f t="shared" si="75"/>
      </c>
      <c r="AG301">
        <f t="shared" si="88"/>
        <v>0</v>
      </c>
      <c r="AH301">
        <f t="shared" si="88"/>
        <v>0</v>
      </c>
      <c r="AI301">
        <f t="shared" si="88"/>
        <v>0</v>
      </c>
      <c r="AJ301">
        <f t="shared" si="88"/>
        <v>0</v>
      </c>
      <c r="AK301">
        <f t="shared" si="88"/>
        <v>0</v>
      </c>
      <c r="AL301">
        <f t="shared" si="88"/>
        <v>0</v>
      </c>
      <c r="AM301">
        <f t="shared" si="88"/>
        <v>0</v>
      </c>
      <c r="AN301">
        <f t="shared" si="88"/>
        <v>0</v>
      </c>
      <c r="AO301">
        <f t="shared" si="88"/>
        <v>0</v>
      </c>
      <c r="AP301" t="e">
        <f t="shared" si="81"/>
        <v>#VALUE!</v>
      </c>
      <c r="BL301" s="9"/>
      <c r="BM301" s="9"/>
      <c r="BN301" s="9"/>
      <c r="BU301" s="9"/>
      <c r="BV301" s="9"/>
      <c r="BW301" s="9"/>
      <c r="BX301" s="9"/>
    </row>
    <row r="302" spans="1:76" ht="12.75">
      <c r="A302" s="59">
        <f t="shared" si="82"/>
        <v>247</v>
      </c>
      <c r="B302" s="49" t="s">
        <v>95</v>
      </c>
      <c r="C302" s="100" t="s">
        <v>119</v>
      </c>
      <c r="D302" s="101">
        <v>260000</v>
      </c>
      <c r="E302" s="103">
        <f>AVERAGE(D301:D324)</f>
        <v>234312.5</v>
      </c>
      <c r="F302" s="102"/>
      <c r="G302" s="66"/>
      <c r="H302">
        <f t="shared" si="89"/>
      </c>
      <c r="I302">
        <f t="shared" si="89"/>
        <v>260000</v>
      </c>
      <c r="J302">
        <f t="shared" si="89"/>
      </c>
      <c r="K302">
        <f t="shared" si="89"/>
      </c>
      <c r="L302">
        <f t="shared" si="89"/>
      </c>
      <c r="M302">
        <f t="shared" si="89"/>
      </c>
      <c r="N302">
        <f t="shared" si="89"/>
      </c>
      <c r="O302">
        <f t="shared" si="89"/>
      </c>
      <c r="P302">
        <f t="shared" si="89"/>
      </c>
      <c r="Q302">
        <f t="shared" si="89"/>
      </c>
      <c r="R302" s="9">
        <f t="shared" si="79"/>
        <v>260000</v>
      </c>
      <c r="T302">
        <f t="shared" si="80"/>
      </c>
      <c r="U302">
        <f t="shared" si="90"/>
      </c>
      <c r="V302">
        <f t="shared" si="90"/>
      </c>
      <c r="W302">
        <f t="shared" si="90"/>
      </c>
      <c r="X302">
        <f t="shared" si="90"/>
      </c>
      <c r="Y302">
        <f t="shared" si="90"/>
      </c>
      <c r="Z302">
        <f t="shared" si="90"/>
      </c>
      <c r="AA302">
        <f t="shared" si="90"/>
      </c>
      <c r="AB302">
        <f t="shared" si="90"/>
      </c>
      <c r="AC302">
        <f t="shared" si="90"/>
      </c>
      <c r="AD302">
        <f t="shared" si="90"/>
      </c>
      <c r="AE302">
        <f t="shared" si="74"/>
      </c>
      <c r="AF302" s="9">
        <f t="shared" si="75"/>
      </c>
      <c r="AG302">
        <f t="shared" si="88"/>
        <v>0</v>
      </c>
      <c r="AH302">
        <f t="shared" si="88"/>
        <v>0</v>
      </c>
      <c r="AI302">
        <f t="shared" si="88"/>
        <v>0</v>
      </c>
      <c r="AJ302">
        <f t="shared" si="88"/>
        <v>0</v>
      </c>
      <c r="AK302">
        <f t="shared" si="88"/>
        <v>0</v>
      </c>
      <c r="AL302">
        <f t="shared" si="88"/>
        <v>0</v>
      </c>
      <c r="AM302">
        <f t="shared" si="88"/>
        <v>0</v>
      </c>
      <c r="AN302">
        <f t="shared" si="88"/>
        <v>0</v>
      </c>
      <c r="AO302">
        <f t="shared" si="88"/>
        <v>0</v>
      </c>
      <c r="AP302" t="e">
        <f t="shared" si="81"/>
        <v>#VALUE!</v>
      </c>
      <c r="BL302" s="9"/>
      <c r="BM302" s="9"/>
      <c r="BN302" s="9"/>
      <c r="BU302" s="9"/>
      <c r="BV302" s="9"/>
      <c r="BW302" s="9"/>
      <c r="BX302" s="9"/>
    </row>
    <row r="303" spans="1:76" ht="12.75">
      <c r="A303" s="59">
        <f t="shared" si="82"/>
        <v>248</v>
      </c>
      <c r="B303" s="49" t="s">
        <v>95</v>
      </c>
      <c r="C303" s="100" t="s">
        <v>119</v>
      </c>
      <c r="D303" s="101">
        <v>600000</v>
      </c>
      <c r="E303" s="102">
        <f>STDEV(D301:D324)</f>
        <v>172050.91590294856</v>
      </c>
      <c r="F303" s="102"/>
      <c r="G303" s="66"/>
      <c r="H303">
        <f t="shared" si="89"/>
      </c>
      <c r="I303">
        <f t="shared" si="89"/>
        <v>600000</v>
      </c>
      <c r="J303">
        <f t="shared" si="89"/>
      </c>
      <c r="K303">
        <f t="shared" si="89"/>
      </c>
      <c r="L303">
        <f t="shared" si="89"/>
      </c>
      <c r="M303">
        <f t="shared" si="89"/>
      </c>
      <c r="N303">
        <f t="shared" si="89"/>
      </c>
      <c r="O303">
        <f t="shared" si="89"/>
      </c>
      <c r="P303">
        <f t="shared" si="89"/>
      </c>
      <c r="Q303">
        <f t="shared" si="89"/>
      </c>
      <c r="R303" s="9">
        <f t="shared" si="79"/>
        <v>600000</v>
      </c>
      <c r="T303">
        <f t="shared" si="80"/>
      </c>
      <c r="U303">
        <f t="shared" si="90"/>
      </c>
      <c r="V303">
        <f t="shared" si="90"/>
      </c>
      <c r="W303">
        <f t="shared" si="90"/>
      </c>
      <c r="X303">
        <f t="shared" si="90"/>
      </c>
      <c r="Y303">
        <f t="shared" si="90"/>
      </c>
      <c r="Z303">
        <f t="shared" si="90"/>
      </c>
      <c r="AA303">
        <f t="shared" si="90"/>
      </c>
      <c r="AB303">
        <f t="shared" si="90"/>
      </c>
      <c r="AC303">
        <f t="shared" si="90"/>
      </c>
      <c r="AD303">
        <f t="shared" si="90"/>
      </c>
      <c r="AE303">
        <f t="shared" si="74"/>
      </c>
      <c r="AF303" s="9">
        <f t="shared" si="75"/>
      </c>
      <c r="AG303">
        <f t="shared" si="88"/>
        <v>0</v>
      </c>
      <c r="AH303">
        <f t="shared" si="88"/>
        <v>0</v>
      </c>
      <c r="AI303">
        <f t="shared" si="88"/>
        <v>0</v>
      </c>
      <c r="AJ303">
        <f t="shared" si="88"/>
        <v>0</v>
      </c>
      <c r="AK303">
        <f t="shared" si="88"/>
        <v>0</v>
      </c>
      <c r="AL303">
        <f t="shared" si="88"/>
        <v>0</v>
      </c>
      <c r="AM303">
        <f t="shared" si="88"/>
        <v>0</v>
      </c>
      <c r="AN303">
        <f t="shared" si="88"/>
        <v>0</v>
      </c>
      <c r="AO303">
        <f t="shared" si="88"/>
        <v>0</v>
      </c>
      <c r="AP303" t="e">
        <f t="shared" si="81"/>
        <v>#VALUE!</v>
      </c>
      <c r="BL303" s="9"/>
      <c r="BM303" s="9"/>
      <c r="BN303" s="9"/>
      <c r="BU303" s="9"/>
      <c r="BV303" s="9"/>
      <c r="BW303" s="9"/>
      <c r="BX303" s="9"/>
    </row>
    <row r="304" spans="1:76" ht="12.75">
      <c r="A304" s="59">
        <f t="shared" si="82"/>
        <v>249</v>
      </c>
      <c r="B304" s="49" t="s">
        <v>95</v>
      </c>
      <c r="C304" s="100" t="s">
        <v>119</v>
      </c>
      <c r="D304" s="101">
        <v>210000</v>
      </c>
      <c r="E304" s="104" t="s">
        <v>111</v>
      </c>
      <c r="F304" s="102"/>
      <c r="G304" s="66"/>
      <c r="H304">
        <f t="shared" si="89"/>
      </c>
      <c r="I304">
        <f t="shared" si="89"/>
        <v>210000</v>
      </c>
      <c r="J304">
        <f t="shared" si="89"/>
      </c>
      <c r="K304">
        <f t="shared" si="89"/>
      </c>
      <c r="L304">
        <f t="shared" si="89"/>
      </c>
      <c r="M304">
        <f t="shared" si="89"/>
      </c>
      <c r="N304">
        <f t="shared" si="89"/>
      </c>
      <c r="O304">
        <f t="shared" si="89"/>
      </c>
      <c r="P304">
        <f t="shared" si="89"/>
      </c>
      <c r="Q304">
        <f t="shared" si="89"/>
      </c>
      <c r="R304" s="9">
        <f t="shared" si="79"/>
        <v>210000</v>
      </c>
      <c r="T304">
        <f t="shared" si="80"/>
      </c>
      <c r="U304">
        <f t="shared" si="90"/>
      </c>
      <c r="V304">
        <f t="shared" si="90"/>
      </c>
      <c r="W304">
        <f t="shared" si="90"/>
      </c>
      <c r="X304">
        <f t="shared" si="90"/>
      </c>
      <c r="Y304">
        <f t="shared" si="90"/>
      </c>
      <c r="Z304">
        <f t="shared" si="90"/>
      </c>
      <c r="AA304">
        <f t="shared" si="90"/>
      </c>
      <c r="AB304">
        <f t="shared" si="90"/>
      </c>
      <c r="AC304">
        <f t="shared" si="90"/>
      </c>
      <c r="AD304">
        <f t="shared" si="90"/>
      </c>
      <c r="AE304">
        <f t="shared" si="74"/>
      </c>
      <c r="AF304" s="9">
        <f t="shared" si="75"/>
      </c>
      <c r="AG304">
        <f t="shared" si="88"/>
        <v>0</v>
      </c>
      <c r="AH304">
        <f t="shared" si="88"/>
        <v>0</v>
      </c>
      <c r="AI304">
        <f t="shared" si="88"/>
        <v>0</v>
      </c>
      <c r="AJ304">
        <f t="shared" si="88"/>
        <v>0</v>
      </c>
      <c r="AK304">
        <f t="shared" si="88"/>
        <v>0</v>
      </c>
      <c r="AL304">
        <f t="shared" si="88"/>
        <v>0</v>
      </c>
      <c r="AM304">
        <f t="shared" si="88"/>
        <v>0</v>
      </c>
      <c r="AN304">
        <f t="shared" si="88"/>
        <v>0</v>
      </c>
      <c r="AO304">
        <f t="shared" si="88"/>
        <v>0</v>
      </c>
      <c r="AP304" t="e">
        <f t="shared" si="81"/>
        <v>#VALUE!</v>
      </c>
      <c r="BL304" s="9"/>
      <c r="BM304" s="9"/>
      <c r="BN304" s="9"/>
      <c r="BU304" s="9"/>
      <c r="BV304" s="9"/>
      <c r="BW304" s="9"/>
      <c r="BX304" s="9"/>
    </row>
    <row r="305" spans="1:76" ht="12.75">
      <c r="A305" s="59">
        <f t="shared" si="82"/>
        <v>250</v>
      </c>
      <c r="B305" s="49" t="s">
        <v>95</v>
      </c>
      <c r="C305" s="100" t="s">
        <v>119</v>
      </c>
      <c r="D305" s="101">
        <v>260000</v>
      </c>
      <c r="E305" s="102">
        <f>E302-2*E303</f>
        <v>-109789.33180589712</v>
      </c>
      <c r="F305" s="102"/>
      <c r="G305" s="66"/>
      <c r="H305">
        <f t="shared" si="89"/>
      </c>
      <c r="I305">
        <f t="shared" si="89"/>
        <v>260000</v>
      </c>
      <c r="J305">
        <f t="shared" si="89"/>
      </c>
      <c r="K305">
        <f t="shared" si="89"/>
      </c>
      <c r="L305">
        <f t="shared" si="89"/>
      </c>
      <c r="M305">
        <f t="shared" si="89"/>
      </c>
      <c r="N305">
        <f t="shared" si="89"/>
      </c>
      <c r="O305">
        <f t="shared" si="89"/>
      </c>
      <c r="P305">
        <f t="shared" si="89"/>
      </c>
      <c r="Q305">
        <f t="shared" si="89"/>
      </c>
      <c r="R305" s="9">
        <f t="shared" si="79"/>
        <v>260000</v>
      </c>
      <c r="T305">
        <f t="shared" si="80"/>
      </c>
      <c r="U305">
        <f t="shared" si="90"/>
      </c>
      <c r="V305">
        <f t="shared" si="90"/>
      </c>
      <c r="W305">
        <f t="shared" si="90"/>
      </c>
      <c r="X305">
        <f t="shared" si="90"/>
      </c>
      <c r="Y305">
        <f t="shared" si="90"/>
      </c>
      <c r="Z305">
        <f t="shared" si="90"/>
      </c>
      <c r="AA305">
        <f t="shared" si="90"/>
      </c>
      <c r="AB305">
        <f t="shared" si="90"/>
      </c>
      <c r="AC305">
        <f t="shared" si="90"/>
      </c>
      <c r="AD305">
        <f t="shared" si="90"/>
      </c>
      <c r="AE305">
        <f t="shared" si="74"/>
      </c>
      <c r="AF305" s="9">
        <f t="shared" si="75"/>
      </c>
      <c r="AG305">
        <f t="shared" si="88"/>
        <v>0</v>
      </c>
      <c r="AH305">
        <f t="shared" si="88"/>
        <v>0</v>
      </c>
      <c r="AI305">
        <f t="shared" si="88"/>
        <v>0</v>
      </c>
      <c r="AJ305">
        <f t="shared" si="88"/>
        <v>0</v>
      </c>
      <c r="AK305">
        <f t="shared" si="88"/>
        <v>0</v>
      </c>
      <c r="AL305">
        <f t="shared" si="88"/>
        <v>0</v>
      </c>
      <c r="AM305">
        <f t="shared" si="88"/>
        <v>0</v>
      </c>
      <c r="AN305">
        <f t="shared" si="88"/>
        <v>0</v>
      </c>
      <c r="AO305">
        <f t="shared" si="88"/>
        <v>0</v>
      </c>
      <c r="AP305" t="e">
        <f t="shared" si="81"/>
        <v>#VALUE!</v>
      </c>
      <c r="BL305" s="9"/>
      <c r="BM305" s="9"/>
      <c r="BN305" s="9"/>
      <c r="BU305" s="9"/>
      <c r="BV305" s="9"/>
      <c r="BW305" s="9"/>
      <c r="BX305" s="9"/>
    </row>
    <row r="306" spans="1:76" ht="12.75">
      <c r="A306" s="59">
        <f t="shared" si="82"/>
        <v>251</v>
      </c>
      <c r="B306" s="49" t="s">
        <v>95</v>
      </c>
      <c r="C306" s="100" t="s">
        <v>119</v>
      </c>
      <c r="D306" s="101">
        <v>500000</v>
      </c>
      <c r="E306" s="102" t="s">
        <v>112</v>
      </c>
      <c r="F306" s="102"/>
      <c r="G306" s="66"/>
      <c r="H306">
        <f t="shared" si="89"/>
      </c>
      <c r="I306">
        <f t="shared" si="89"/>
        <v>500000</v>
      </c>
      <c r="J306">
        <f t="shared" si="89"/>
      </c>
      <c r="K306">
        <f t="shared" si="89"/>
      </c>
      <c r="L306">
        <f t="shared" si="89"/>
      </c>
      <c r="M306">
        <f t="shared" si="89"/>
      </c>
      <c r="N306">
        <f t="shared" si="89"/>
      </c>
      <c r="O306">
        <f t="shared" si="89"/>
      </c>
      <c r="P306">
        <f t="shared" si="89"/>
      </c>
      <c r="Q306">
        <f t="shared" si="89"/>
      </c>
      <c r="R306" s="9">
        <f t="shared" si="79"/>
        <v>500000</v>
      </c>
      <c r="T306">
        <f t="shared" si="80"/>
      </c>
      <c r="U306">
        <f t="shared" si="90"/>
      </c>
      <c r="V306">
        <f t="shared" si="90"/>
      </c>
      <c r="W306">
        <f t="shared" si="90"/>
      </c>
      <c r="X306">
        <f t="shared" si="90"/>
      </c>
      <c r="Y306">
        <f t="shared" si="90"/>
      </c>
      <c r="Z306">
        <f t="shared" si="90"/>
      </c>
      <c r="AA306">
        <f t="shared" si="90"/>
      </c>
      <c r="AB306">
        <f t="shared" si="90"/>
      </c>
      <c r="AC306">
        <f t="shared" si="90"/>
      </c>
      <c r="AD306">
        <f t="shared" si="90"/>
      </c>
      <c r="AE306">
        <f t="shared" si="74"/>
      </c>
      <c r="AF306" s="9">
        <f t="shared" si="75"/>
      </c>
      <c r="AG306">
        <f t="shared" si="88"/>
        <v>0</v>
      </c>
      <c r="AH306">
        <f t="shared" si="88"/>
        <v>0</v>
      </c>
      <c r="AI306">
        <f t="shared" si="88"/>
        <v>0</v>
      </c>
      <c r="AJ306">
        <f t="shared" si="88"/>
        <v>0</v>
      </c>
      <c r="AK306">
        <f t="shared" si="88"/>
        <v>0</v>
      </c>
      <c r="AL306">
        <f t="shared" si="88"/>
        <v>0</v>
      </c>
      <c r="AM306">
        <f t="shared" si="88"/>
        <v>0</v>
      </c>
      <c r="AN306">
        <f t="shared" si="88"/>
        <v>0</v>
      </c>
      <c r="AO306">
        <f t="shared" si="88"/>
        <v>0</v>
      </c>
      <c r="AP306" t="e">
        <f t="shared" si="81"/>
        <v>#VALUE!</v>
      </c>
      <c r="BL306" s="9"/>
      <c r="BM306" s="9"/>
      <c r="BN306" s="9"/>
      <c r="BU306" s="9"/>
      <c r="BV306" s="9"/>
      <c r="BW306" s="9"/>
      <c r="BX306" s="9"/>
    </row>
    <row r="307" spans="1:76" ht="12.75">
      <c r="A307" s="59">
        <f t="shared" si="82"/>
        <v>252</v>
      </c>
      <c r="B307" s="49" t="s">
        <v>95</v>
      </c>
      <c r="C307" s="100" t="s">
        <v>119</v>
      </c>
      <c r="D307" s="101">
        <v>210000</v>
      </c>
      <c r="E307" s="102">
        <f>E302+2*E303</f>
        <v>578414.3318058972</v>
      </c>
      <c r="F307" s="102"/>
      <c r="G307" s="66"/>
      <c r="H307">
        <f t="shared" si="89"/>
      </c>
      <c r="I307">
        <f t="shared" si="89"/>
        <v>210000</v>
      </c>
      <c r="J307">
        <f t="shared" si="89"/>
      </c>
      <c r="K307">
        <f t="shared" si="89"/>
      </c>
      <c r="L307">
        <f t="shared" si="89"/>
      </c>
      <c r="M307">
        <f t="shared" si="89"/>
      </c>
      <c r="N307">
        <f t="shared" si="89"/>
      </c>
      <c r="O307">
        <f t="shared" si="89"/>
      </c>
      <c r="P307">
        <f t="shared" si="89"/>
      </c>
      <c r="Q307">
        <f t="shared" si="89"/>
      </c>
      <c r="R307" s="9">
        <f t="shared" si="79"/>
        <v>210000</v>
      </c>
      <c r="T307">
        <f t="shared" si="80"/>
      </c>
      <c r="U307">
        <f t="shared" si="90"/>
      </c>
      <c r="V307">
        <f t="shared" si="90"/>
      </c>
      <c r="W307">
        <f t="shared" si="90"/>
      </c>
      <c r="X307">
        <f t="shared" si="90"/>
      </c>
      <c r="Y307">
        <f t="shared" si="90"/>
      </c>
      <c r="Z307">
        <f t="shared" si="90"/>
      </c>
      <c r="AA307">
        <f t="shared" si="90"/>
      </c>
      <c r="AB307">
        <f t="shared" si="90"/>
      </c>
      <c r="AC307">
        <f t="shared" si="90"/>
      </c>
      <c r="AD307">
        <f t="shared" si="90"/>
      </c>
      <c r="AE307">
        <f t="shared" si="74"/>
      </c>
      <c r="AF307" s="9">
        <f t="shared" si="75"/>
      </c>
      <c r="AG307">
        <f t="shared" si="88"/>
        <v>0</v>
      </c>
      <c r="AH307">
        <f t="shared" si="88"/>
        <v>0</v>
      </c>
      <c r="AI307">
        <f t="shared" si="88"/>
        <v>0</v>
      </c>
      <c r="AJ307">
        <f t="shared" si="88"/>
        <v>0</v>
      </c>
      <c r="AK307">
        <f t="shared" si="88"/>
        <v>0</v>
      </c>
      <c r="AL307">
        <f t="shared" si="88"/>
        <v>0</v>
      </c>
      <c r="AM307">
        <f t="shared" si="88"/>
        <v>0</v>
      </c>
      <c r="AN307">
        <f t="shared" si="88"/>
        <v>0</v>
      </c>
      <c r="AO307">
        <f t="shared" si="88"/>
        <v>0</v>
      </c>
      <c r="AP307" t="e">
        <f t="shared" si="81"/>
        <v>#VALUE!</v>
      </c>
      <c r="BL307" s="9"/>
      <c r="BM307" s="9"/>
      <c r="BN307" s="9"/>
      <c r="BU307" s="9"/>
      <c r="BV307" s="9"/>
      <c r="BW307" s="9"/>
      <c r="BX307" s="9"/>
    </row>
    <row r="308" spans="1:76" ht="12.75">
      <c r="A308" s="59">
        <f t="shared" si="82"/>
        <v>253</v>
      </c>
      <c r="B308" s="49" t="s">
        <v>95</v>
      </c>
      <c r="C308" s="100" t="s">
        <v>119</v>
      </c>
      <c r="D308" s="101">
        <v>500000</v>
      </c>
      <c r="E308" s="102"/>
      <c r="F308" s="102"/>
      <c r="G308" s="66"/>
      <c r="H308">
        <f t="shared" si="89"/>
      </c>
      <c r="I308">
        <f t="shared" si="89"/>
        <v>500000</v>
      </c>
      <c r="J308">
        <f t="shared" si="89"/>
      </c>
      <c r="K308">
        <f t="shared" si="89"/>
      </c>
      <c r="L308">
        <f t="shared" si="89"/>
      </c>
      <c r="M308">
        <f t="shared" si="89"/>
      </c>
      <c r="N308">
        <f t="shared" si="89"/>
      </c>
      <c r="O308">
        <f t="shared" si="89"/>
      </c>
      <c r="P308">
        <f t="shared" si="89"/>
      </c>
      <c r="Q308">
        <f t="shared" si="89"/>
      </c>
      <c r="R308" s="9">
        <f t="shared" si="79"/>
        <v>500000</v>
      </c>
      <c r="T308">
        <f t="shared" si="80"/>
      </c>
      <c r="U308">
        <f t="shared" si="90"/>
      </c>
      <c r="V308">
        <f t="shared" si="90"/>
      </c>
      <c r="W308">
        <f t="shared" si="90"/>
      </c>
      <c r="X308">
        <f t="shared" si="90"/>
      </c>
      <c r="Y308">
        <f t="shared" si="90"/>
      </c>
      <c r="Z308">
        <f t="shared" si="90"/>
      </c>
      <c r="AA308">
        <f t="shared" si="90"/>
      </c>
      <c r="AB308">
        <f t="shared" si="90"/>
      </c>
      <c r="AC308">
        <f t="shared" si="90"/>
      </c>
      <c r="AD308">
        <f t="shared" si="90"/>
      </c>
      <c r="AE308">
        <f t="shared" si="74"/>
      </c>
      <c r="AF308" s="9">
        <f t="shared" si="75"/>
      </c>
      <c r="AG308">
        <f t="shared" si="88"/>
        <v>0</v>
      </c>
      <c r="AH308">
        <f t="shared" si="88"/>
        <v>0</v>
      </c>
      <c r="AI308">
        <f t="shared" si="88"/>
        <v>0</v>
      </c>
      <c r="AJ308">
        <f t="shared" si="88"/>
        <v>0</v>
      </c>
      <c r="AK308">
        <f t="shared" si="88"/>
        <v>0</v>
      </c>
      <c r="AL308">
        <f t="shared" si="88"/>
        <v>0</v>
      </c>
      <c r="AM308">
        <f t="shared" si="88"/>
        <v>0</v>
      </c>
      <c r="AN308">
        <f t="shared" si="88"/>
        <v>0</v>
      </c>
      <c r="AO308">
        <f t="shared" si="88"/>
        <v>0</v>
      </c>
      <c r="AP308" t="e">
        <f t="shared" si="81"/>
        <v>#VALUE!</v>
      </c>
      <c r="BL308" s="9"/>
      <c r="BM308" s="9"/>
      <c r="BN308" s="9"/>
      <c r="BU308" s="9"/>
      <c r="BV308" s="9"/>
      <c r="BW308" s="9"/>
      <c r="BX308" s="9"/>
    </row>
    <row r="309" spans="1:76" ht="12.75">
      <c r="A309" s="59">
        <f t="shared" si="82"/>
        <v>254</v>
      </c>
      <c r="B309" s="49" t="s">
        <v>95</v>
      </c>
      <c r="C309" s="100" t="s">
        <v>119</v>
      </c>
      <c r="D309" s="101">
        <v>210000</v>
      </c>
      <c r="E309" s="102"/>
      <c r="F309" s="102"/>
      <c r="G309" s="66"/>
      <c r="H309">
        <f t="shared" si="89"/>
      </c>
      <c r="I309">
        <f t="shared" si="89"/>
        <v>210000</v>
      </c>
      <c r="J309">
        <f t="shared" si="89"/>
      </c>
      <c r="K309">
        <f t="shared" si="89"/>
      </c>
      <c r="L309">
        <f t="shared" si="89"/>
      </c>
      <c r="M309">
        <f t="shared" si="89"/>
      </c>
      <c r="N309">
        <f t="shared" si="89"/>
      </c>
      <c r="O309">
        <f t="shared" si="89"/>
      </c>
      <c r="P309">
        <f t="shared" si="89"/>
      </c>
      <c r="Q309">
        <f t="shared" si="89"/>
      </c>
      <c r="R309" s="9">
        <f t="shared" si="79"/>
        <v>210000</v>
      </c>
      <c r="T309">
        <f t="shared" si="80"/>
      </c>
      <c r="U309">
        <f t="shared" si="90"/>
      </c>
      <c r="V309">
        <f t="shared" si="90"/>
      </c>
      <c r="W309">
        <f t="shared" si="90"/>
      </c>
      <c r="X309">
        <f t="shared" si="90"/>
      </c>
      <c r="Y309">
        <f t="shared" si="90"/>
      </c>
      <c r="Z309">
        <f t="shared" si="90"/>
      </c>
      <c r="AA309">
        <f t="shared" si="90"/>
      </c>
      <c r="AB309">
        <f t="shared" si="90"/>
      </c>
      <c r="AC309">
        <f t="shared" si="90"/>
      </c>
      <c r="AD309">
        <f t="shared" si="90"/>
      </c>
      <c r="AE309">
        <f t="shared" si="74"/>
      </c>
      <c r="AF309" s="9">
        <f t="shared" si="75"/>
      </c>
      <c r="AG309">
        <f t="shared" si="88"/>
        <v>0</v>
      </c>
      <c r="AH309">
        <f t="shared" si="88"/>
        <v>0</v>
      </c>
      <c r="AI309">
        <f t="shared" si="88"/>
        <v>0</v>
      </c>
      <c r="AJ309">
        <f t="shared" si="88"/>
        <v>0</v>
      </c>
      <c r="AK309">
        <f t="shared" si="88"/>
        <v>0</v>
      </c>
      <c r="AL309">
        <f t="shared" si="88"/>
        <v>0</v>
      </c>
      <c r="AM309">
        <f t="shared" si="88"/>
        <v>0</v>
      </c>
      <c r="AN309">
        <f t="shared" si="88"/>
        <v>0</v>
      </c>
      <c r="AO309">
        <f t="shared" si="88"/>
        <v>0</v>
      </c>
      <c r="AP309" t="e">
        <f t="shared" si="81"/>
        <v>#VALUE!</v>
      </c>
      <c r="BL309" s="9"/>
      <c r="BM309" s="9"/>
      <c r="BN309" s="9"/>
      <c r="BU309" s="9"/>
      <c r="BV309" s="9"/>
      <c r="BW309" s="9"/>
      <c r="BX309" s="9"/>
    </row>
    <row r="310" spans="1:76" ht="12.75">
      <c r="A310" s="59">
        <f t="shared" si="82"/>
        <v>255</v>
      </c>
      <c r="B310" s="49" t="s">
        <v>95</v>
      </c>
      <c r="C310" s="100" t="s">
        <v>119</v>
      </c>
      <c r="D310" s="101">
        <v>210000</v>
      </c>
      <c r="E310" s="102"/>
      <c r="F310" s="102"/>
      <c r="G310" s="66"/>
      <c r="H310">
        <f t="shared" si="89"/>
      </c>
      <c r="I310">
        <f t="shared" si="89"/>
        <v>210000</v>
      </c>
      <c r="J310">
        <f t="shared" si="89"/>
      </c>
      <c r="K310">
        <f t="shared" si="89"/>
      </c>
      <c r="L310">
        <f t="shared" si="89"/>
      </c>
      <c r="M310">
        <f t="shared" si="89"/>
      </c>
      <c r="N310">
        <f t="shared" si="89"/>
      </c>
      <c r="O310">
        <f t="shared" si="89"/>
      </c>
      <c r="P310">
        <f t="shared" si="89"/>
      </c>
      <c r="Q310">
        <f t="shared" si="89"/>
      </c>
      <c r="R310" s="9">
        <f t="shared" si="79"/>
        <v>210000</v>
      </c>
      <c r="T310">
        <f t="shared" si="80"/>
      </c>
      <c r="U310">
        <f t="shared" si="90"/>
      </c>
      <c r="V310">
        <f t="shared" si="90"/>
      </c>
      <c r="W310">
        <f t="shared" si="90"/>
      </c>
      <c r="X310">
        <f t="shared" si="90"/>
      </c>
      <c r="Y310">
        <f t="shared" si="90"/>
      </c>
      <c r="Z310">
        <f t="shared" si="90"/>
      </c>
      <c r="AA310">
        <f t="shared" si="90"/>
      </c>
      <c r="AB310">
        <f t="shared" si="90"/>
      </c>
      <c r="AC310">
        <f t="shared" si="90"/>
      </c>
      <c r="AD310">
        <f t="shared" si="90"/>
      </c>
      <c r="AE310">
        <f t="shared" si="74"/>
      </c>
      <c r="AF310" s="9">
        <f t="shared" si="75"/>
      </c>
      <c r="AG310">
        <f t="shared" si="88"/>
        <v>0</v>
      </c>
      <c r="AH310">
        <f t="shared" si="88"/>
        <v>0</v>
      </c>
      <c r="AI310">
        <f t="shared" si="88"/>
        <v>0</v>
      </c>
      <c r="AJ310">
        <f t="shared" si="88"/>
        <v>0</v>
      </c>
      <c r="AK310">
        <f t="shared" si="88"/>
        <v>0</v>
      </c>
      <c r="AL310">
        <f t="shared" si="88"/>
        <v>0</v>
      </c>
      <c r="AM310">
        <f t="shared" si="88"/>
        <v>0</v>
      </c>
      <c r="AN310">
        <f t="shared" si="88"/>
        <v>0</v>
      </c>
      <c r="AO310">
        <f t="shared" si="88"/>
        <v>0</v>
      </c>
      <c r="AP310" t="e">
        <f t="shared" si="81"/>
        <v>#VALUE!</v>
      </c>
      <c r="BL310" s="9"/>
      <c r="BM310" s="9"/>
      <c r="BN310" s="9"/>
      <c r="BU310" s="9"/>
      <c r="BV310" s="9"/>
      <c r="BW310" s="9"/>
      <c r="BX310" s="9"/>
    </row>
    <row r="311" spans="1:76" ht="12.75">
      <c r="A311" s="59">
        <f t="shared" si="82"/>
        <v>256</v>
      </c>
      <c r="B311" s="49" t="s">
        <v>95</v>
      </c>
      <c r="C311" s="100" t="s">
        <v>119</v>
      </c>
      <c r="D311" s="101">
        <v>500000</v>
      </c>
      <c r="E311" s="102"/>
      <c r="F311" s="102"/>
      <c r="G311" s="66"/>
      <c r="H311">
        <f t="shared" si="89"/>
      </c>
      <c r="I311">
        <f t="shared" si="89"/>
        <v>500000</v>
      </c>
      <c r="J311">
        <f t="shared" si="89"/>
      </c>
      <c r="K311">
        <f t="shared" si="89"/>
      </c>
      <c r="L311">
        <f t="shared" si="89"/>
      </c>
      <c r="M311">
        <f t="shared" si="89"/>
      </c>
      <c r="N311">
        <f t="shared" si="89"/>
      </c>
      <c r="O311">
        <f t="shared" si="89"/>
      </c>
      <c r="P311">
        <f t="shared" si="89"/>
      </c>
      <c r="Q311">
        <f t="shared" si="89"/>
      </c>
      <c r="R311" s="9">
        <f t="shared" si="79"/>
        <v>500000</v>
      </c>
      <c r="T311">
        <f t="shared" si="80"/>
      </c>
      <c r="U311">
        <f t="shared" si="90"/>
      </c>
      <c r="V311">
        <f t="shared" si="90"/>
      </c>
      <c r="W311">
        <f t="shared" si="90"/>
      </c>
      <c r="X311">
        <f t="shared" si="90"/>
      </c>
      <c r="Y311">
        <f t="shared" si="90"/>
      </c>
      <c r="Z311">
        <f t="shared" si="90"/>
      </c>
      <c r="AA311">
        <f t="shared" si="90"/>
      </c>
      <c r="AB311">
        <f t="shared" si="90"/>
      </c>
      <c r="AC311">
        <f t="shared" si="90"/>
      </c>
      <c r="AD311">
        <f t="shared" si="90"/>
      </c>
      <c r="AE311">
        <f t="shared" si="74"/>
      </c>
      <c r="AF311" s="9">
        <f t="shared" si="75"/>
      </c>
      <c r="AG311">
        <f aca="true" t="shared" si="91" ref="AG311:AO324">IF($B311=AG$55,1,0)</f>
        <v>0</v>
      </c>
      <c r="AH311">
        <f t="shared" si="91"/>
        <v>0</v>
      </c>
      <c r="AI311">
        <f t="shared" si="91"/>
        <v>0</v>
      </c>
      <c r="AJ311">
        <f t="shared" si="91"/>
        <v>0</v>
      </c>
      <c r="AK311">
        <f t="shared" si="91"/>
        <v>0</v>
      </c>
      <c r="AL311">
        <f t="shared" si="91"/>
        <v>0</v>
      </c>
      <c r="AM311">
        <f t="shared" si="91"/>
        <v>0</v>
      </c>
      <c r="AN311">
        <f t="shared" si="91"/>
        <v>0</v>
      </c>
      <c r="AO311">
        <f t="shared" si="91"/>
        <v>0</v>
      </c>
      <c r="AP311" t="e">
        <f t="shared" si="81"/>
        <v>#VALUE!</v>
      </c>
      <c r="BL311" s="9"/>
      <c r="BM311" s="9"/>
      <c r="BN311" s="9"/>
      <c r="BU311" s="9"/>
      <c r="BV311" s="9"/>
      <c r="BW311" s="9"/>
      <c r="BX311" s="9"/>
    </row>
    <row r="312" spans="1:76" ht="12.75">
      <c r="A312" s="59">
        <f t="shared" si="82"/>
        <v>257</v>
      </c>
      <c r="B312" s="49" t="s">
        <v>95</v>
      </c>
      <c r="C312" s="100" t="s">
        <v>119</v>
      </c>
      <c r="D312" s="101">
        <v>600000</v>
      </c>
      <c r="E312" s="102"/>
      <c r="F312" s="102"/>
      <c r="G312" s="66"/>
      <c r="H312">
        <f aca="true" t="shared" si="92" ref="H312:Q324">IF($B312=H$55,$D312,"")</f>
      </c>
      <c r="I312">
        <f t="shared" si="92"/>
        <v>600000</v>
      </c>
      <c r="J312">
        <f t="shared" si="92"/>
      </c>
      <c r="K312">
        <f t="shared" si="92"/>
      </c>
      <c r="L312">
        <f t="shared" si="92"/>
      </c>
      <c r="M312">
        <f t="shared" si="92"/>
      </c>
      <c r="N312">
        <f t="shared" si="92"/>
      </c>
      <c r="O312">
        <f t="shared" si="92"/>
      </c>
      <c r="P312">
        <f t="shared" si="92"/>
      </c>
      <c r="Q312">
        <f t="shared" si="92"/>
      </c>
      <c r="R312" s="9">
        <f t="shared" si="79"/>
        <v>600000</v>
      </c>
      <c r="T312">
        <f t="shared" si="80"/>
      </c>
      <c r="U312">
        <f aca="true" t="shared" si="93" ref="U312:AD324">IF($C312=U$55,$D312,"")</f>
      </c>
      <c r="V312">
        <f t="shared" si="93"/>
      </c>
      <c r="W312">
        <f t="shared" si="93"/>
      </c>
      <c r="X312">
        <f t="shared" si="93"/>
      </c>
      <c r="Y312">
        <f t="shared" si="93"/>
      </c>
      <c r="Z312">
        <f t="shared" si="93"/>
      </c>
      <c r="AA312">
        <f t="shared" si="93"/>
      </c>
      <c r="AB312">
        <f t="shared" si="93"/>
      </c>
      <c r="AC312">
        <f t="shared" si="93"/>
      </c>
      <c r="AD312">
        <f t="shared" si="93"/>
      </c>
      <c r="AE312">
        <f aca="true" t="shared" si="94" ref="AE312:AE324">IF($C312&lt;1997,$D312,"")</f>
      </c>
      <c r="AF312" s="9">
        <f aca="true" t="shared" si="95" ref="AF312:AF324">IF(C312=".","",D312)</f>
      </c>
      <c r="AG312">
        <f t="shared" si="91"/>
        <v>0</v>
      </c>
      <c r="AH312">
        <f t="shared" si="91"/>
        <v>0</v>
      </c>
      <c r="AI312">
        <f t="shared" si="91"/>
        <v>0</v>
      </c>
      <c r="AJ312">
        <f t="shared" si="91"/>
        <v>0</v>
      </c>
      <c r="AK312">
        <f t="shared" si="91"/>
        <v>0</v>
      </c>
      <c r="AL312">
        <f t="shared" si="91"/>
        <v>0</v>
      </c>
      <c r="AM312">
        <f t="shared" si="91"/>
        <v>0</v>
      </c>
      <c r="AN312">
        <f t="shared" si="91"/>
        <v>0</v>
      </c>
      <c r="AO312">
        <f t="shared" si="91"/>
        <v>0</v>
      </c>
      <c r="AP312" t="e">
        <f t="shared" si="81"/>
        <v>#VALUE!</v>
      </c>
      <c r="BL312" s="9"/>
      <c r="BM312" s="9"/>
      <c r="BN312" s="9"/>
      <c r="BU312" s="9"/>
      <c r="BV312" s="9"/>
      <c r="BW312" s="9"/>
      <c r="BX312" s="9"/>
    </row>
    <row r="313" spans="1:76" ht="12.75">
      <c r="A313" s="59">
        <f t="shared" si="82"/>
        <v>258</v>
      </c>
      <c r="B313" s="49" t="s">
        <v>95</v>
      </c>
      <c r="C313" s="100" t="s">
        <v>119</v>
      </c>
      <c r="D313" s="101">
        <v>85000</v>
      </c>
      <c r="E313" s="102"/>
      <c r="F313" s="102"/>
      <c r="G313" s="66"/>
      <c r="H313">
        <f t="shared" si="92"/>
      </c>
      <c r="I313">
        <f t="shared" si="92"/>
        <v>85000</v>
      </c>
      <c r="J313">
        <f t="shared" si="92"/>
      </c>
      <c r="K313">
        <f t="shared" si="92"/>
      </c>
      <c r="L313">
        <f t="shared" si="92"/>
      </c>
      <c r="M313">
        <f t="shared" si="92"/>
      </c>
      <c r="N313">
        <f t="shared" si="92"/>
      </c>
      <c r="O313">
        <f t="shared" si="92"/>
      </c>
      <c r="P313">
        <f t="shared" si="92"/>
      </c>
      <c r="Q313">
        <f t="shared" si="92"/>
      </c>
      <c r="R313" s="9">
        <f aca="true" t="shared" si="96" ref="R313:R324">D313</f>
        <v>85000</v>
      </c>
      <c r="T313">
        <f aca="true" t="shared" si="97" ref="T313:T324">IF($C313=T$55,$D313,"")</f>
      </c>
      <c r="U313">
        <f t="shared" si="93"/>
      </c>
      <c r="V313">
        <f t="shared" si="93"/>
      </c>
      <c r="W313">
        <f t="shared" si="93"/>
      </c>
      <c r="X313">
        <f t="shared" si="93"/>
      </c>
      <c r="Y313">
        <f t="shared" si="93"/>
      </c>
      <c r="Z313">
        <f t="shared" si="93"/>
      </c>
      <c r="AA313">
        <f t="shared" si="93"/>
      </c>
      <c r="AB313">
        <f t="shared" si="93"/>
      </c>
      <c r="AC313">
        <f t="shared" si="93"/>
      </c>
      <c r="AD313">
        <f t="shared" si="93"/>
      </c>
      <c r="AE313">
        <f t="shared" si="94"/>
      </c>
      <c r="AF313" s="9">
        <f t="shared" si="95"/>
      </c>
      <c r="AG313">
        <f t="shared" si="91"/>
        <v>0</v>
      </c>
      <c r="AH313">
        <f t="shared" si="91"/>
        <v>0</v>
      </c>
      <c r="AI313">
        <f t="shared" si="91"/>
        <v>0</v>
      </c>
      <c r="AJ313">
        <f t="shared" si="91"/>
        <v>0</v>
      </c>
      <c r="AK313">
        <f t="shared" si="91"/>
        <v>0</v>
      </c>
      <c r="AL313">
        <f t="shared" si="91"/>
        <v>0</v>
      </c>
      <c r="AM313">
        <f t="shared" si="91"/>
        <v>0</v>
      </c>
      <c r="AN313">
        <f t="shared" si="91"/>
        <v>0</v>
      </c>
      <c r="AO313">
        <f t="shared" si="91"/>
        <v>0</v>
      </c>
      <c r="AP313" t="e">
        <f aca="true" t="shared" si="98" ref="AP313:AP324">2007-C313</f>
        <v>#VALUE!</v>
      </c>
      <c r="BL313" s="9"/>
      <c r="BM313" s="9"/>
      <c r="BN313" s="9"/>
      <c r="BU313" s="9"/>
      <c r="BV313" s="9"/>
      <c r="BW313" s="9"/>
      <c r="BX313" s="9"/>
    </row>
    <row r="314" spans="1:76" ht="12.75">
      <c r="A314" s="59">
        <f aca="true" t="shared" si="99" ref="A314:A324">A313+1</f>
        <v>259</v>
      </c>
      <c r="B314" s="49" t="s">
        <v>95</v>
      </c>
      <c r="C314" s="100" t="s">
        <v>119</v>
      </c>
      <c r="D314" s="101">
        <v>70000</v>
      </c>
      <c r="E314" s="102"/>
      <c r="F314" s="102"/>
      <c r="G314" s="66"/>
      <c r="H314">
        <f t="shared" si="92"/>
      </c>
      <c r="I314">
        <f t="shared" si="92"/>
        <v>70000</v>
      </c>
      <c r="J314">
        <f t="shared" si="92"/>
      </c>
      <c r="K314">
        <f t="shared" si="92"/>
      </c>
      <c r="L314">
        <f t="shared" si="92"/>
      </c>
      <c r="M314">
        <f t="shared" si="92"/>
      </c>
      <c r="N314">
        <f t="shared" si="92"/>
      </c>
      <c r="O314">
        <f t="shared" si="92"/>
      </c>
      <c r="P314">
        <f t="shared" si="92"/>
      </c>
      <c r="Q314">
        <f t="shared" si="92"/>
      </c>
      <c r="R314" s="9">
        <f t="shared" si="96"/>
        <v>70000</v>
      </c>
      <c r="T314">
        <f t="shared" si="97"/>
      </c>
      <c r="U314">
        <f t="shared" si="93"/>
      </c>
      <c r="V314">
        <f t="shared" si="93"/>
      </c>
      <c r="W314">
        <f t="shared" si="93"/>
      </c>
      <c r="X314">
        <f t="shared" si="93"/>
      </c>
      <c r="Y314">
        <f t="shared" si="93"/>
      </c>
      <c r="Z314">
        <f t="shared" si="93"/>
      </c>
      <c r="AA314">
        <f t="shared" si="93"/>
      </c>
      <c r="AB314">
        <f t="shared" si="93"/>
      </c>
      <c r="AC314">
        <f t="shared" si="93"/>
      </c>
      <c r="AD314">
        <f t="shared" si="93"/>
      </c>
      <c r="AE314">
        <f t="shared" si="94"/>
      </c>
      <c r="AF314" s="9">
        <f t="shared" si="95"/>
      </c>
      <c r="AG314">
        <f t="shared" si="91"/>
        <v>0</v>
      </c>
      <c r="AH314">
        <f t="shared" si="91"/>
        <v>0</v>
      </c>
      <c r="AI314">
        <f t="shared" si="91"/>
        <v>0</v>
      </c>
      <c r="AJ314">
        <f t="shared" si="91"/>
        <v>0</v>
      </c>
      <c r="AK314">
        <f t="shared" si="91"/>
        <v>0</v>
      </c>
      <c r="AL314">
        <f t="shared" si="91"/>
        <v>0</v>
      </c>
      <c r="AM314">
        <f t="shared" si="91"/>
        <v>0</v>
      </c>
      <c r="AN314">
        <f t="shared" si="91"/>
        <v>0</v>
      </c>
      <c r="AO314">
        <f t="shared" si="91"/>
        <v>0</v>
      </c>
      <c r="AP314" t="e">
        <f t="shared" si="98"/>
        <v>#VALUE!</v>
      </c>
      <c r="BL314" s="9"/>
      <c r="BM314" s="9"/>
      <c r="BN314" s="9"/>
      <c r="BU314" s="9"/>
      <c r="BV314" s="9"/>
      <c r="BW314" s="9"/>
      <c r="BX314" s="9"/>
    </row>
    <row r="315" spans="1:76" ht="12.75">
      <c r="A315" s="59">
        <f t="shared" si="99"/>
        <v>260</v>
      </c>
      <c r="B315" s="49" t="s">
        <v>95</v>
      </c>
      <c r="C315" s="100" t="s">
        <v>119</v>
      </c>
      <c r="D315" s="101">
        <v>110000</v>
      </c>
      <c r="E315" s="102"/>
      <c r="F315" s="102"/>
      <c r="G315" s="66"/>
      <c r="H315">
        <f t="shared" si="92"/>
      </c>
      <c r="I315">
        <f t="shared" si="92"/>
        <v>110000</v>
      </c>
      <c r="J315">
        <f t="shared" si="92"/>
      </c>
      <c r="K315">
        <f t="shared" si="92"/>
      </c>
      <c r="L315">
        <f t="shared" si="92"/>
      </c>
      <c r="M315">
        <f t="shared" si="92"/>
      </c>
      <c r="N315">
        <f t="shared" si="92"/>
      </c>
      <c r="O315">
        <f t="shared" si="92"/>
      </c>
      <c r="P315">
        <f t="shared" si="92"/>
      </c>
      <c r="Q315">
        <f t="shared" si="92"/>
      </c>
      <c r="R315" s="9">
        <f t="shared" si="96"/>
        <v>110000</v>
      </c>
      <c r="T315">
        <f t="shared" si="97"/>
      </c>
      <c r="U315">
        <f t="shared" si="93"/>
      </c>
      <c r="V315">
        <f t="shared" si="93"/>
      </c>
      <c r="W315">
        <f t="shared" si="93"/>
      </c>
      <c r="X315">
        <f t="shared" si="93"/>
      </c>
      <c r="Y315">
        <f t="shared" si="93"/>
      </c>
      <c r="Z315">
        <f t="shared" si="93"/>
      </c>
      <c r="AA315">
        <f t="shared" si="93"/>
      </c>
      <c r="AB315">
        <f t="shared" si="93"/>
      </c>
      <c r="AC315">
        <f t="shared" si="93"/>
      </c>
      <c r="AD315">
        <f t="shared" si="93"/>
      </c>
      <c r="AE315">
        <f t="shared" si="94"/>
      </c>
      <c r="AF315" s="9">
        <f t="shared" si="95"/>
      </c>
      <c r="AG315">
        <f t="shared" si="91"/>
        <v>0</v>
      </c>
      <c r="AH315">
        <f t="shared" si="91"/>
        <v>0</v>
      </c>
      <c r="AI315">
        <f t="shared" si="91"/>
        <v>0</v>
      </c>
      <c r="AJ315">
        <f t="shared" si="91"/>
        <v>0</v>
      </c>
      <c r="AK315">
        <f t="shared" si="91"/>
        <v>0</v>
      </c>
      <c r="AL315">
        <f t="shared" si="91"/>
        <v>0</v>
      </c>
      <c r="AM315">
        <f t="shared" si="91"/>
        <v>0</v>
      </c>
      <c r="AN315">
        <f t="shared" si="91"/>
        <v>0</v>
      </c>
      <c r="AO315">
        <f t="shared" si="91"/>
        <v>0</v>
      </c>
      <c r="AP315" t="e">
        <f t="shared" si="98"/>
        <v>#VALUE!</v>
      </c>
      <c r="BL315" s="9"/>
      <c r="BM315" s="9"/>
      <c r="BN315" s="9"/>
      <c r="BU315" s="9"/>
      <c r="BV315" s="9"/>
      <c r="BW315" s="9"/>
      <c r="BX315" s="9"/>
    </row>
    <row r="316" spans="1:76" ht="12.75">
      <c r="A316" s="59">
        <f t="shared" si="99"/>
        <v>261</v>
      </c>
      <c r="B316" s="49" t="s">
        <v>95</v>
      </c>
      <c r="C316" s="100" t="s">
        <v>119</v>
      </c>
      <c r="D316" s="101">
        <v>137000</v>
      </c>
      <c r="E316" s="102"/>
      <c r="F316" s="102"/>
      <c r="G316" s="66"/>
      <c r="H316">
        <f t="shared" si="92"/>
      </c>
      <c r="I316">
        <f t="shared" si="92"/>
        <v>137000</v>
      </c>
      <c r="J316">
        <f t="shared" si="92"/>
      </c>
      <c r="K316">
        <f t="shared" si="92"/>
      </c>
      <c r="L316">
        <f t="shared" si="92"/>
      </c>
      <c r="M316">
        <f t="shared" si="92"/>
      </c>
      <c r="N316">
        <f t="shared" si="92"/>
      </c>
      <c r="O316">
        <f t="shared" si="92"/>
      </c>
      <c r="P316">
        <f t="shared" si="92"/>
      </c>
      <c r="Q316">
        <f t="shared" si="92"/>
      </c>
      <c r="R316" s="9">
        <f t="shared" si="96"/>
        <v>137000</v>
      </c>
      <c r="T316">
        <f t="shared" si="97"/>
      </c>
      <c r="U316">
        <f t="shared" si="93"/>
      </c>
      <c r="V316">
        <f t="shared" si="93"/>
      </c>
      <c r="W316">
        <f t="shared" si="93"/>
      </c>
      <c r="X316">
        <f t="shared" si="93"/>
      </c>
      <c r="Y316">
        <f t="shared" si="93"/>
      </c>
      <c r="Z316">
        <f t="shared" si="93"/>
      </c>
      <c r="AA316">
        <f t="shared" si="93"/>
      </c>
      <c r="AB316">
        <f t="shared" si="93"/>
      </c>
      <c r="AC316">
        <f t="shared" si="93"/>
      </c>
      <c r="AD316">
        <f t="shared" si="93"/>
      </c>
      <c r="AE316">
        <f t="shared" si="94"/>
      </c>
      <c r="AF316" s="9">
        <f t="shared" si="95"/>
      </c>
      <c r="AG316">
        <f t="shared" si="91"/>
        <v>0</v>
      </c>
      <c r="AH316">
        <f t="shared" si="91"/>
        <v>0</v>
      </c>
      <c r="AI316">
        <f t="shared" si="91"/>
        <v>0</v>
      </c>
      <c r="AJ316">
        <f t="shared" si="91"/>
        <v>0</v>
      </c>
      <c r="AK316">
        <f t="shared" si="91"/>
        <v>0</v>
      </c>
      <c r="AL316">
        <f t="shared" si="91"/>
        <v>0</v>
      </c>
      <c r="AM316">
        <f t="shared" si="91"/>
        <v>0</v>
      </c>
      <c r="AN316">
        <f t="shared" si="91"/>
        <v>0</v>
      </c>
      <c r="AO316">
        <f t="shared" si="91"/>
        <v>0</v>
      </c>
      <c r="AP316" t="e">
        <f t="shared" si="98"/>
        <v>#VALUE!</v>
      </c>
      <c r="BL316" s="9"/>
      <c r="BM316" s="9"/>
      <c r="BN316" s="9"/>
      <c r="BU316" s="9"/>
      <c r="BV316" s="9"/>
      <c r="BW316" s="9"/>
      <c r="BX316" s="9"/>
    </row>
    <row r="317" spans="1:76" ht="12.75">
      <c r="A317" s="59">
        <f t="shared" si="99"/>
        <v>262</v>
      </c>
      <c r="B317" s="49" t="s">
        <v>95</v>
      </c>
      <c r="C317" s="100" t="s">
        <v>119</v>
      </c>
      <c r="D317" s="101">
        <v>127500</v>
      </c>
      <c r="E317" s="102"/>
      <c r="F317" s="102"/>
      <c r="G317" s="66"/>
      <c r="H317">
        <f t="shared" si="92"/>
      </c>
      <c r="I317">
        <f t="shared" si="92"/>
        <v>127500</v>
      </c>
      <c r="J317">
        <f t="shared" si="92"/>
      </c>
      <c r="K317">
        <f t="shared" si="92"/>
      </c>
      <c r="L317">
        <f t="shared" si="92"/>
      </c>
      <c r="M317">
        <f t="shared" si="92"/>
      </c>
      <c r="N317">
        <f t="shared" si="92"/>
      </c>
      <c r="O317">
        <f t="shared" si="92"/>
      </c>
      <c r="P317">
        <f t="shared" si="92"/>
      </c>
      <c r="Q317">
        <f t="shared" si="92"/>
      </c>
      <c r="R317" s="9">
        <f t="shared" si="96"/>
        <v>127500</v>
      </c>
      <c r="T317">
        <f t="shared" si="97"/>
      </c>
      <c r="U317">
        <f t="shared" si="93"/>
      </c>
      <c r="V317">
        <f t="shared" si="93"/>
      </c>
      <c r="W317">
        <f t="shared" si="93"/>
      </c>
      <c r="X317">
        <f t="shared" si="93"/>
      </c>
      <c r="Y317">
        <f t="shared" si="93"/>
      </c>
      <c r="Z317">
        <f t="shared" si="93"/>
      </c>
      <c r="AA317">
        <f t="shared" si="93"/>
      </c>
      <c r="AB317">
        <f t="shared" si="93"/>
      </c>
      <c r="AC317">
        <f t="shared" si="93"/>
      </c>
      <c r="AD317">
        <f t="shared" si="93"/>
      </c>
      <c r="AE317">
        <f t="shared" si="94"/>
      </c>
      <c r="AF317" s="9">
        <f t="shared" si="95"/>
      </c>
      <c r="AG317">
        <f t="shared" si="91"/>
        <v>0</v>
      </c>
      <c r="AH317">
        <f t="shared" si="91"/>
        <v>0</v>
      </c>
      <c r="AI317">
        <f t="shared" si="91"/>
        <v>0</v>
      </c>
      <c r="AJ317">
        <f t="shared" si="91"/>
        <v>0</v>
      </c>
      <c r="AK317">
        <f t="shared" si="91"/>
        <v>0</v>
      </c>
      <c r="AL317">
        <f t="shared" si="91"/>
        <v>0</v>
      </c>
      <c r="AM317">
        <f t="shared" si="91"/>
        <v>0</v>
      </c>
      <c r="AN317">
        <f t="shared" si="91"/>
        <v>0</v>
      </c>
      <c r="AO317">
        <f t="shared" si="91"/>
        <v>0</v>
      </c>
      <c r="AP317" t="e">
        <f t="shared" si="98"/>
        <v>#VALUE!</v>
      </c>
      <c r="BL317" s="9"/>
      <c r="BM317" s="9"/>
      <c r="BN317" s="9"/>
      <c r="BU317" s="9"/>
      <c r="BV317" s="9"/>
      <c r="BW317" s="9"/>
      <c r="BX317" s="9"/>
    </row>
    <row r="318" spans="1:76" ht="12.75">
      <c r="A318" s="59">
        <f t="shared" si="99"/>
        <v>263</v>
      </c>
      <c r="B318" s="49" t="s">
        <v>95</v>
      </c>
      <c r="C318" s="100" t="s">
        <v>119</v>
      </c>
      <c r="D318" s="101">
        <v>142500</v>
      </c>
      <c r="E318" s="102"/>
      <c r="F318" s="102"/>
      <c r="G318" s="66"/>
      <c r="H318">
        <f t="shared" si="92"/>
      </c>
      <c r="I318">
        <f t="shared" si="92"/>
        <v>142500</v>
      </c>
      <c r="J318">
        <f t="shared" si="92"/>
      </c>
      <c r="K318">
        <f t="shared" si="92"/>
      </c>
      <c r="L318">
        <f t="shared" si="92"/>
      </c>
      <c r="M318">
        <f t="shared" si="92"/>
      </c>
      <c r="N318">
        <f t="shared" si="92"/>
      </c>
      <c r="O318">
        <f t="shared" si="92"/>
      </c>
      <c r="P318">
        <f t="shared" si="92"/>
      </c>
      <c r="Q318">
        <f t="shared" si="92"/>
      </c>
      <c r="R318" s="9">
        <f t="shared" si="96"/>
        <v>142500</v>
      </c>
      <c r="T318">
        <f t="shared" si="97"/>
      </c>
      <c r="U318">
        <f t="shared" si="93"/>
      </c>
      <c r="V318">
        <f t="shared" si="93"/>
      </c>
      <c r="W318">
        <f t="shared" si="93"/>
      </c>
      <c r="X318">
        <f t="shared" si="93"/>
      </c>
      <c r="Y318">
        <f t="shared" si="93"/>
      </c>
      <c r="Z318">
        <f t="shared" si="93"/>
      </c>
      <c r="AA318">
        <f t="shared" si="93"/>
      </c>
      <c r="AB318">
        <f t="shared" si="93"/>
      </c>
      <c r="AC318">
        <f t="shared" si="93"/>
      </c>
      <c r="AD318">
        <f t="shared" si="93"/>
      </c>
      <c r="AE318">
        <f t="shared" si="94"/>
      </c>
      <c r="AF318" s="9">
        <f t="shared" si="95"/>
      </c>
      <c r="AG318">
        <f t="shared" si="91"/>
        <v>0</v>
      </c>
      <c r="AH318">
        <f t="shared" si="91"/>
        <v>0</v>
      </c>
      <c r="AI318">
        <f t="shared" si="91"/>
        <v>0</v>
      </c>
      <c r="AJ318">
        <f t="shared" si="91"/>
        <v>0</v>
      </c>
      <c r="AK318">
        <f t="shared" si="91"/>
        <v>0</v>
      </c>
      <c r="AL318">
        <f t="shared" si="91"/>
        <v>0</v>
      </c>
      <c r="AM318">
        <f t="shared" si="91"/>
        <v>0</v>
      </c>
      <c r="AN318">
        <f t="shared" si="91"/>
        <v>0</v>
      </c>
      <c r="AO318">
        <f t="shared" si="91"/>
        <v>0</v>
      </c>
      <c r="AP318" t="e">
        <f t="shared" si="98"/>
        <v>#VALUE!</v>
      </c>
      <c r="BL318" s="9"/>
      <c r="BM318" s="9"/>
      <c r="BN318" s="9"/>
      <c r="BU318" s="9"/>
      <c r="BV318" s="9"/>
      <c r="BW318" s="9"/>
      <c r="BX318" s="9"/>
    </row>
    <row r="319" spans="1:76" ht="12.75">
      <c r="A319" s="59">
        <f t="shared" si="99"/>
        <v>264</v>
      </c>
      <c r="B319" s="49" t="s">
        <v>95</v>
      </c>
      <c r="C319" s="100" t="s">
        <v>119</v>
      </c>
      <c r="D319" s="101">
        <v>117500</v>
      </c>
      <c r="E319" s="102"/>
      <c r="F319" s="102"/>
      <c r="G319" s="66"/>
      <c r="H319">
        <f t="shared" si="92"/>
      </c>
      <c r="I319">
        <f t="shared" si="92"/>
        <v>117500</v>
      </c>
      <c r="J319">
        <f t="shared" si="92"/>
      </c>
      <c r="K319">
        <f t="shared" si="92"/>
      </c>
      <c r="L319">
        <f t="shared" si="92"/>
      </c>
      <c r="M319">
        <f t="shared" si="92"/>
      </c>
      <c r="N319">
        <f t="shared" si="92"/>
      </c>
      <c r="O319">
        <f t="shared" si="92"/>
      </c>
      <c r="P319">
        <f t="shared" si="92"/>
      </c>
      <c r="Q319">
        <f t="shared" si="92"/>
      </c>
      <c r="R319" s="9">
        <f t="shared" si="96"/>
        <v>117500</v>
      </c>
      <c r="T319">
        <f t="shared" si="97"/>
      </c>
      <c r="U319">
        <f t="shared" si="93"/>
      </c>
      <c r="V319">
        <f t="shared" si="93"/>
      </c>
      <c r="W319">
        <f t="shared" si="93"/>
      </c>
      <c r="X319">
        <f t="shared" si="93"/>
      </c>
      <c r="Y319">
        <f t="shared" si="93"/>
      </c>
      <c r="Z319">
        <f t="shared" si="93"/>
      </c>
      <c r="AA319">
        <f t="shared" si="93"/>
      </c>
      <c r="AB319">
        <f t="shared" si="93"/>
      </c>
      <c r="AC319">
        <f t="shared" si="93"/>
      </c>
      <c r="AD319">
        <f t="shared" si="93"/>
      </c>
      <c r="AE319">
        <f t="shared" si="94"/>
      </c>
      <c r="AF319" s="9">
        <f t="shared" si="95"/>
      </c>
      <c r="AG319">
        <f t="shared" si="91"/>
        <v>0</v>
      </c>
      <c r="AH319">
        <f t="shared" si="91"/>
        <v>0</v>
      </c>
      <c r="AI319">
        <f t="shared" si="91"/>
        <v>0</v>
      </c>
      <c r="AJ319">
        <f t="shared" si="91"/>
        <v>0</v>
      </c>
      <c r="AK319">
        <f t="shared" si="91"/>
        <v>0</v>
      </c>
      <c r="AL319">
        <f t="shared" si="91"/>
        <v>0</v>
      </c>
      <c r="AM319">
        <f t="shared" si="91"/>
        <v>0</v>
      </c>
      <c r="AN319">
        <f t="shared" si="91"/>
        <v>0</v>
      </c>
      <c r="AO319">
        <f t="shared" si="91"/>
        <v>0</v>
      </c>
      <c r="AP319" t="e">
        <f t="shared" si="98"/>
        <v>#VALUE!</v>
      </c>
      <c r="BL319" s="9"/>
      <c r="BM319" s="9"/>
      <c r="BN319" s="9"/>
      <c r="BU319" s="9"/>
      <c r="BV319" s="9"/>
      <c r="BW319" s="9"/>
      <c r="BX319" s="9"/>
    </row>
    <row r="320" spans="1:76" ht="12.75">
      <c r="A320" s="59">
        <f t="shared" si="99"/>
        <v>265</v>
      </c>
      <c r="B320" s="49" t="s">
        <v>95</v>
      </c>
      <c r="C320" s="100" t="s">
        <v>119</v>
      </c>
      <c r="D320" s="101">
        <v>77500</v>
      </c>
      <c r="E320" s="102"/>
      <c r="F320" s="102"/>
      <c r="G320" s="66"/>
      <c r="H320">
        <f t="shared" si="92"/>
      </c>
      <c r="I320">
        <f t="shared" si="92"/>
        <v>77500</v>
      </c>
      <c r="J320">
        <f t="shared" si="92"/>
      </c>
      <c r="K320">
        <f t="shared" si="92"/>
      </c>
      <c r="L320">
        <f t="shared" si="92"/>
      </c>
      <c r="M320">
        <f t="shared" si="92"/>
      </c>
      <c r="N320">
        <f t="shared" si="92"/>
      </c>
      <c r="O320">
        <f t="shared" si="92"/>
      </c>
      <c r="P320">
        <f t="shared" si="92"/>
      </c>
      <c r="Q320">
        <f t="shared" si="92"/>
      </c>
      <c r="R320" s="9">
        <f t="shared" si="96"/>
        <v>77500</v>
      </c>
      <c r="T320">
        <f t="shared" si="97"/>
      </c>
      <c r="U320">
        <f t="shared" si="93"/>
      </c>
      <c r="V320">
        <f t="shared" si="93"/>
      </c>
      <c r="W320">
        <f t="shared" si="93"/>
      </c>
      <c r="X320">
        <f t="shared" si="93"/>
      </c>
      <c r="Y320">
        <f t="shared" si="93"/>
      </c>
      <c r="Z320">
        <f t="shared" si="93"/>
      </c>
      <c r="AA320">
        <f t="shared" si="93"/>
      </c>
      <c r="AB320">
        <f t="shared" si="93"/>
      </c>
      <c r="AC320">
        <f t="shared" si="93"/>
      </c>
      <c r="AD320">
        <f t="shared" si="93"/>
      </c>
      <c r="AE320">
        <f t="shared" si="94"/>
      </c>
      <c r="AF320" s="9">
        <f t="shared" si="95"/>
      </c>
      <c r="AG320">
        <f t="shared" si="91"/>
        <v>0</v>
      </c>
      <c r="AH320">
        <f t="shared" si="91"/>
        <v>0</v>
      </c>
      <c r="AI320">
        <f t="shared" si="91"/>
        <v>0</v>
      </c>
      <c r="AJ320">
        <f t="shared" si="91"/>
        <v>0</v>
      </c>
      <c r="AK320">
        <f t="shared" si="91"/>
        <v>0</v>
      </c>
      <c r="AL320">
        <f t="shared" si="91"/>
        <v>0</v>
      </c>
      <c r="AM320">
        <f t="shared" si="91"/>
        <v>0</v>
      </c>
      <c r="AN320">
        <f t="shared" si="91"/>
        <v>0</v>
      </c>
      <c r="AO320">
        <f t="shared" si="91"/>
        <v>0</v>
      </c>
      <c r="AP320" t="e">
        <f t="shared" si="98"/>
        <v>#VALUE!</v>
      </c>
      <c r="BL320" s="9"/>
      <c r="BM320" s="9"/>
      <c r="BN320" s="9"/>
      <c r="BU320" s="9"/>
      <c r="BV320" s="9"/>
      <c r="BW320" s="9"/>
      <c r="BX320" s="9"/>
    </row>
    <row r="321" spans="1:76" ht="12.75">
      <c r="A321" s="59">
        <f t="shared" si="99"/>
        <v>266</v>
      </c>
      <c r="B321" s="49" t="s">
        <v>95</v>
      </c>
      <c r="C321" s="100" t="s">
        <v>119</v>
      </c>
      <c r="D321" s="101">
        <v>135000</v>
      </c>
      <c r="E321" s="102"/>
      <c r="F321" s="102"/>
      <c r="G321" s="66"/>
      <c r="H321">
        <f t="shared" si="92"/>
      </c>
      <c r="I321">
        <f t="shared" si="92"/>
        <v>135000</v>
      </c>
      <c r="J321">
        <f t="shared" si="92"/>
      </c>
      <c r="K321">
        <f t="shared" si="92"/>
      </c>
      <c r="L321">
        <f t="shared" si="92"/>
      </c>
      <c r="M321">
        <f t="shared" si="92"/>
      </c>
      <c r="N321">
        <f t="shared" si="92"/>
      </c>
      <c r="O321">
        <f t="shared" si="92"/>
      </c>
      <c r="P321">
        <f t="shared" si="92"/>
      </c>
      <c r="Q321">
        <f t="shared" si="92"/>
      </c>
      <c r="R321" s="9">
        <f t="shared" si="96"/>
        <v>135000</v>
      </c>
      <c r="T321">
        <f t="shared" si="97"/>
      </c>
      <c r="U321">
        <f t="shared" si="93"/>
      </c>
      <c r="V321">
        <f t="shared" si="93"/>
      </c>
      <c r="W321">
        <f t="shared" si="93"/>
      </c>
      <c r="X321">
        <f t="shared" si="93"/>
      </c>
      <c r="Y321">
        <f t="shared" si="93"/>
      </c>
      <c r="Z321">
        <f t="shared" si="93"/>
      </c>
      <c r="AA321">
        <f t="shared" si="93"/>
      </c>
      <c r="AB321">
        <f t="shared" si="93"/>
      </c>
      <c r="AC321">
        <f t="shared" si="93"/>
      </c>
      <c r="AD321">
        <f t="shared" si="93"/>
      </c>
      <c r="AE321">
        <f t="shared" si="94"/>
      </c>
      <c r="AF321" s="9">
        <f t="shared" si="95"/>
      </c>
      <c r="AG321">
        <f t="shared" si="91"/>
        <v>0</v>
      </c>
      <c r="AH321">
        <f t="shared" si="91"/>
        <v>0</v>
      </c>
      <c r="AI321">
        <f t="shared" si="91"/>
        <v>0</v>
      </c>
      <c r="AJ321">
        <f t="shared" si="91"/>
        <v>0</v>
      </c>
      <c r="AK321">
        <f t="shared" si="91"/>
        <v>0</v>
      </c>
      <c r="AL321">
        <f t="shared" si="91"/>
        <v>0</v>
      </c>
      <c r="AM321">
        <f t="shared" si="91"/>
        <v>0</v>
      </c>
      <c r="AN321">
        <f t="shared" si="91"/>
        <v>0</v>
      </c>
      <c r="AO321">
        <f t="shared" si="91"/>
        <v>0</v>
      </c>
      <c r="AP321" t="e">
        <f t="shared" si="98"/>
        <v>#VALUE!</v>
      </c>
      <c r="BL321" s="9"/>
      <c r="BM321" s="9"/>
      <c r="BN321" s="9"/>
      <c r="BU321" s="9"/>
      <c r="BV321" s="9"/>
      <c r="BW321" s="9"/>
      <c r="BX321" s="9"/>
    </row>
    <row r="322" spans="1:76" ht="12.75">
      <c r="A322" s="59">
        <f t="shared" si="99"/>
        <v>267</v>
      </c>
      <c r="B322" s="49" t="s">
        <v>95</v>
      </c>
      <c r="C322" s="100" t="s">
        <v>119</v>
      </c>
      <c r="D322" s="101">
        <v>79000</v>
      </c>
      <c r="E322" s="102"/>
      <c r="F322" s="102"/>
      <c r="G322" s="66"/>
      <c r="H322">
        <f t="shared" si="92"/>
      </c>
      <c r="I322">
        <f t="shared" si="92"/>
        <v>79000</v>
      </c>
      <c r="J322">
        <f t="shared" si="92"/>
      </c>
      <c r="K322">
        <f t="shared" si="92"/>
      </c>
      <c r="L322">
        <f t="shared" si="92"/>
      </c>
      <c r="M322">
        <f t="shared" si="92"/>
      </c>
      <c r="N322">
        <f t="shared" si="92"/>
      </c>
      <c r="O322">
        <f t="shared" si="92"/>
      </c>
      <c r="P322">
        <f t="shared" si="92"/>
      </c>
      <c r="Q322">
        <f t="shared" si="92"/>
      </c>
      <c r="R322" s="9">
        <f t="shared" si="96"/>
        <v>79000</v>
      </c>
      <c r="T322">
        <f t="shared" si="97"/>
      </c>
      <c r="U322">
        <f t="shared" si="93"/>
      </c>
      <c r="V322">
        <f t="shared" si="93"/>
      </c>
      <c r="W322">
        <f t="shared" si="93"/>
      </c>
      <c r="X322">
        <f t="shared" si="93"/>
      </c>
      <c r="Y322">
        <f t="shared" si="93"/>
      </c>
      <c r="Z322">
        <f t="shared" si="93"/>
      </c>
      <c r="AA322">
        <f t="shared" si="93"/>
      </c>
      <c r="AB322">
        <f t="shared" si="93"/>
      </c>
      <c r="AC322">
        <f t="shared" si="93"/>
      </c>
      <c r="AD322">
        <f t="shared" si="93"/>
      </c>
      <c r="AE322">
        <f t="shared" si="94"/>
      </c>
      <c r="AF322" s="9">
        <f t="shared" si="95"/>
      </c>
      <c r="AG322">
        <f t="shared" si="91"/>
        <v>0</v>
      </c>
      <c r="AH322">
        <f t="shared" si="91"/>
        <v>0</v>
      </c>
      <c r="AI322">
        <f t="shared" si="91"/>
        <v>0</v>
      </c>
      <c r="AJ322">
        <f t="shared" si="91"/>
        <v>0</v>
      </c>
      <c r="AK322">
        <f t="shared" si="91"/>
        <v>0</v>
      </c>
      <c r="AL322">
        <f t="shared" si="91"/>
        <v>0</v>
      </c>
      <c r="AM322">
        <f t="shared" si="91"/>
        <v>0</v>
      </c>
      <c r="AN322">
        <f t="shared" si="91"/>
        <v>0</v>
      </c>
      <c r="AO322">
        <f t="shared" si="91"/>
        <v>0</v>
      </c>
      <c r="AP322" t="e">
        <f t="shared" si="98"/>
        <v>#VALUE!</v>
      </c>
      <c r="BL322" s="9"/>
      <c r="BM322" s="9"/>
      <c r="BN322" s="9"/>
      <c r="BU322" s="9"/>
      <c r="BV322" s="9"/>
      <c r="BW322" s="9"/>
      <c r="BX322" s="9"/>
    </row>
    <row r="323" spans="1:76" ht="12.75">
      <c r="A323" s="59">
        <f t="shared" si="99"/>
        <v>268</v>
      </c>
      <c r="B323" s="49" t="s">
        <v>95</v>
      </c>
      <c r="C323" s="100" t="s">
        <v>119</v>
      </c>
      <c r="D323" s="101">
        <v>130000</v>
      </c>
      <c r="E323" s="102"/>
      <c r="F323" s="102"/>
      <c r="G323" s="66"/>
      <c r="H323">
        <f t="shared" si="92"/>
      </c>
      <c r="I323">
        <f t="shared" si="92"/>
        <v>130000</v>
      </c>
      <c r="J323">
        <f t="shared" si="92"/>
      </c>
      <c r="K323">
        <f t="shared" si="92"/>
      </c>
      <c r="L323">
        <f t="shared" si="92"/>
      </c>
      <c r="M323">
        <f t="shared" si="92"/>
      </c>
      <c r="N323">
        <f t="shared" si="92"/>
      </c>
      <c r="O323">
        <f t="shared" si="92"/>
      </c>
      <c r="P323">
        <f t="shared" si="92"/>
      </c>
      <c r="Q323">
        <f t="shared" si="92"/>
      </c>
      <c r="R323" s="9">
        <f t="shared" si="96"/>
        <v>130000</v>
      </c>
      <c r="T323">
        <f t="shared" si="97"/>
      </c>
      <c r="U323">
        <f t="shared" si="93"/>
      </c>
      <c r="V323">
        <f t="shared" si="93"/>
      </c>
      <c r="W323">
        <f t="shared" si="93"/>
      </c>
      <c r="X323">
        <f t="shared" si="93"/>
      </c>
      <c r="Y323">
        <f t="shared" si="93"/>
      </c>
      <c r="Z323">
        <f t="shared" si="93"/>
      </c>
      <c r="AA323">
        <f t="shared" si="93"/>
      </c>
      <c r="AB323">
        <f t="shared" si="93"/>
      </c>
      <c r="AC323">
        <f t="shared" si="93"/>
      </c>
      <c r="AD323">
        <f t="shared" si="93"/>
      </c>
      <c r="AE323">
        <f t="shared" si="94"/>
      </c>
      <c r="AF323" s="9">
        <f t="shared" si="95"/>
      </c>
      <c r="AG323">
        <f t="shared" si="91"/>
        <v>0</v>
      </c>
      <c r="AH323">
        <f t="shared" si="91"/>
        <v>0</v>
      </c>
      <c r="AI323">
        <f t="shared" si="91"/>
        <v>0</v>
      </c>
      <c r="AJ323">
        <f t="shared" si="91"/>
        <v>0</v>
      </c>
      <c r="AK323">
        <f t="shared" si="91"/>
        <v>0</v>
      </c>
      <c r="AL323">
        <f t="shared" si="91"/>
        <v>0</v>
      </c>
      <c r="AM323">
        <f t="shared" si="91"/>
        <v>0</v>
      </c>
      <c r="AN323">
        <f t="shared" si="91"/>
        <v>0</v>
      </c>
      <c r="AO323">
        <f t="shared" si="91"/>
        <v>0</v>
      </c>
      <c r="AP323" t="e">
        <f t="shared" si="98"/>
        <v>#VALUE!</v>
      </c>
      <c r="BL323" s="9"/>
      <c r="BM323" s="9"/>
      <c r="BN323" s="9"/>
      <c r="BU323" s="9"/>
      <c r="BV323" s="9"/>
      <c r="BW323" s="9"/>
      <c r="BX323" s="9"/>
    </row>
    <row r="324" spans="1:76" ht="12.75">
      <c r="A324" s="59">
        <f t="shared" si="99"/>
        <v>269</v>
      </c>
      <c r="B324" s="49" t="s">
        <v>95</v>
      </c>
      <c r="C324" s="100" t="s">
        <v>119</v>
      </c>
      <c r="D324" s="101">
        <v>92500</v>
      </c>
      <c r="E324" s="102"/>
      <c r="F324" s="102"/>
      <c r="G324" s="66"/>
      <c r="H324">
        <f t="shared" si="92"/>
      </c>
      <c r="I324">
        <f t="shared" si="92"/>
        <v>92500</v>
      </c>
      <c r="J324">
        <f t="shared" si="92"/>
      </c>
      <c r="K324">
        <f t="shared" si="92"/>
      </c>
      <c r="L324">
        <f t="shared" si="92"/>
      </c>
      <c r="M324">
        <f t="shared" si="92"/>
      </c>
      <c r="N324">
        <f t="shared" si="92"/>
      </c>
      <c r="O324">
        <f t="shared" si="92"/>
      </c>
      <c r="P324">
        <f t="shared" si="92"/>
      </c>
      <c r="Q324">
        <f t="shared" si="92"/>
      </c>
      <c r="R324" s="9">
        <f t="shared" si="96"/>
        <v>92500</v>
      </c>
      <c r="T324">
        <f t="shared" si="97"/>
      </c>
      <c r="U324">
        <f t="shared" si="93"/>
      </c>
      <c r="V324">
        <f t="shared" si="93"/>
      </c>
      <c r="W324">
        <f t="shared" si="93"/>
      </c>
      <c r="X324">
        <f t="shared" si="93"/>
      </c>
      <c r="Y324">
        <f t="shared" si="93"/>
      </c>
      <c r="Z324">
        <f t="shared" si="93"/>
      </c>
      <c r="AA324">
        <f t="shared" si="93"/>
      </c>
      <c r="AB324">
        <f t="shared" si="93"/>
      </c>
      <c r="AC324">
        <f t="shared" si="93"/>
      </c>
      <c r="AD324">
        <f t="shared" si="93"/>
      </c>
      <c r="AE324">
        <f t="shared" si="94"/>
      </c>
      <c r="AF324" s="9">
        <f t="shared" si="95"/>
      </c>
      <c r="AG324">
        <f t="shared" si="91"/>
        <v>0</v>
      </c>
      <c r="AH324">
        <f t="shared" si="91"/>
        <v>0</v>
      </c>
      <c r="AI324">
        <f t="shared" si="91"/>
        <v>0</v>
      </c>
      <c r="AJ324">
        <f t="shared" si="91"/>
        <v>0</v>
      </c>
      <c r="AK324">
        <f t="shared" si="91"/>
        <v>0</v>
      </c>
      <c r="AL324">
        <f t="shared" si="91"/>
        <v>0</v>
      </c>
      <c r="AM324">
        <f t="shared" si="91"/>
        <v>0</v>
      </c>
      <c r="AN324">
        <f t="shared" si="91"/>
        <v>0</v>
      </c>
      <c r="AO324">
        <f t="shared" si="91"/>
        <v>0</v>
      </c>
      <c r="AP324" t="e">
        <f t="shared" si="98"/>
        <v>#VALUE!</v>
      </c>
      <c r="BL324" s="9"/>
      <c r="BM324" s="9"/>
      <c r="BN324" s="9"/>
      <c r="BU324" s="9"/>
      <c r="BV324" s="9"/>
      <c r="BW324" s="9"/>
      <c r="BX324" s="9"/>
    </row>
    <row r="325" spans="5:76" ht="12.75">
      <c r="E325" s="105"/>
      <c r="F325" s="105"/>
      <c r="G325" s="106"/>
      <c r="BL325" s="9"/>
      <c r="BM325" s="9"/>
      <c r="BN325" s="9"/>
      <c r="BU325" s="9"/>
      <c r="BV325" s="9"/>
      <c r="BW325" s="9"/>
      <c r="BX325" s="9"/>
    </row>
    <row r="326" spans="5:76" ht="12.75">
      <c r="E326" s="105"/>
      <c r="F326" s="105"/>
      <c r="G326" s="106"/>
      <c r="BL326" s="9"/>
      <c r="BM326" s="9"/>
      <c r="BN326" s="9"/>
      <c r="BU326" s="9"/>
      <c r="BV326" s="9"/>
      <c r="BW326" s="9"/>
      <c r="BX326" s="9"/>
    </row>
    <row r="327" spans="1:76" ht="12.75">
      <c r="A327" s="59">
        <f aca="true" t="shared" si="100" ref="A327:A356">A326+1</f>
        <v>1</v>
      </c>
      <c r="B327" s="51" t="s">
        <v>268</v>
      </c>
      <c r="C327" s="51">
        <v>2006</v>
      </c>
      <c r="D327" s="187">
        <v>95000</v>
      </c>
      <c r="E327" s="188">
        <f aca="true" t="shared" si="101" ref="E327:E356">D327/1165</f>
        <v>81.54506437768241</v>
      </c>
      <c r="F327" s="4">
        <f>AVERAGE(E327:E356)</f>
        <v>114.02002861230328</v>
      </c>
      <c r="G327" s="51" t="s">
        <v>269</v>
      </c>
      <c r="H327" s="66"/>
      <c r="BL327" s="9">
        <f aca="true" t="shared" si="102" ref="BL327:BL356">D327-AP327*$AV$52</f>
        <v>95000</v>
      </c>
      <c r="BM327" s="9">
        <f aca="true" t="shared" si="103" ref="BM327:BM356">IF(BL327&lt;$BO$52,BL327,"")</f>
        <v>95000</v>
      </c>
      <c r="BN327" s="9">
        <f aca="true" t="shared" si="104" ref="BN327:BN356">IF(BL327&gt;$BO$52,BL327,"")</f>
      </c>
      <c r="BU327" s="9"/>
      <c r="BV327" s="9"/>
      <c r="BW327" s="9"/>
      <c r="BX327" s="9"/>
    </row>
    <row r="328" spans="1:76" ht="12.75">
      <c r="A328" s="59">
        <f t="shared" si="100"/>
        <v>2</v>
      </c>
      <c r="B328" s="51" t="s">
        <v>268</v>
      </c>
      <c r="C328" s="51">
        <v>2006</v>
      </c>
      <c r="D328" s="187">
        <v>180000</v>
      </c>
      <c r="E328" s="188">
        <f t="shared" si="101"/>
        <v>154.50643776824035</v>
      </c>
      <c r="G328" s="51" t="s">
        <v>269</v>
      </c>
      <c r="H328" s="66"/>
      <c r="BL328" s="9">
        <f t="shared" si="102"/>
        <v>180000</v>
      </c>
      <c r="BM328" s="9">
        <f t="shared" si="103"/>
      </c>
      <c r="BN328" s="9">
        <f t="shared" si="104"/>
        <v>180000</v>
      </c>
      <c r="BU328" s="9"/>
      <c r="BV328" s="9"/>
      <c r="BW328" s="9"/>
      <c r="BX328" s="9"/>
    </row>
    <row r="329" spans="1:76" ht="12.75">
      <c r="A329" s="59">
        <f t="shared" si="100"/>
        <v>3</v>
      </c>
      <c r="B329" s="51" t="s">
        <v>268</v>
      </c>
      <c r="C329" s="51">
        <v>2006</v>
      </c>
      <c r="D329" s="51">
        <v>100000</v>
      </c>
      <c r="E329" s="188">
        <f t="shared" si="101"/>
        <v>85.83690987124463</v>
      </c>
      <c r="G329" s="51" t="s">
        <v>269</v>
      </c>
      <c r="H329" s="66"/>
      <c r="BL329" s="9">
        <f t="shared" si="102"/>
        <v>100000</v>
      </c>
      <c r="BM329" s="9">
        <f t="shared" si="103"/>
        <v>100000</v>
      </c>
      <c r="BN329" s="9">
        <f t="shared" si="104"/>
      </c>
      <c r="BU329" s="9"/>
      <c r="BV329" s="9"/>
      <c r="BW329" s="9"/>
      <c r="BX329" s="9"/>
    </row>
    <row r="330" spans="1:76" ht="12.75">
      <c r="A330" s="59">
        <f t="shared" si="100"/>
        <v>4</v>
      </c>
      <c r="B330" s="51" t="s">
        <v>268</v>
      </c>
      <c r="C330" s="51">
        <v>2006</v>
      </c>
      <c r="D330" s="51">
        <v>90000</v>
      </c>
      <c r="E330" s="188">
        <f t="shared" si="101"/>
        <v>77.25321888412017</v>
      </c>
      <c r="G330" s="51" t="s">
        <v>269</v>
      </c>
      <c r="H330" s="66"/>
      <c r="BL330" s="9">
        <f t="shared" si="102"/>
        <v>90000</v>
      </c>
      <c r="BM330" s="9">
        <f t="shared" si="103"/>
        <v>90000</v>
      </c>
      <c r="BN330" s="9">
        <f t="shared" si="104"/>
      </c>
      <c r="BU330" s="9"/>
      <c r="BV330" s="9"/>
      <c r="BW330" s="9"/>
      <c r="BX330" s="9"/>
    </row>
    <row r="331" spans="1:76" ht="12.75">
      <c r="A331" s="59">
        <f t="shared" si="100"/>
        <v>5</v>
      </c>
      <c r="B331" s="51" t="s">
        <v>268</v>
      </c>
      <c r="C331" s="51">
        <v>2006</v>
      </c>
      <c r="D331" s="51">
        <v>80000</v>
      </c>
      <c r="E331" s="188">
        <f t="shared" si="101"/>
        <v>68.6695278969957</v>
      </c>
      <c r="G331" s="51" t="s">
        <v>269</v>
      </c>
      <c r="H331" s="66"/>
      <c r="BL331" s="9">
        <f t="shared" si="102"/>
        <v>80000</v>
      </c>
      <c r="BM331" s="9">
        <f t="shared" si="103"/>
        <v>80000</v>
      </c>
      <c r="BN331" s="9">
        <f t="shared" si="104"/>
      </c>
      <c r="BU331" s="9"/>
      <c r="BV331" s="9"/>
      <c r="BW331" s="9"/>
      <c r="BX331" s="9"/>
    </row>
    <row r="332" spans="1:76" ht="12.75">
      <c r="A332" s="59">
        <f t="shared" si="100"/>
        <v>6</v>
      </c>
      <c r="B332" s="51" t="s">
        <v>268</v>
      </c>
      <c r="C332" s="51">
        <v>2006</v>
      </c>
      <c r="D332" s="51">
        <v>70000</v>
      </c>
      <c r="E332" s="188">
        <f t="shared" si="101"/>
        <v>60.08583690987125</v>
      </c>
      <c r="G332" s="51" t="s">
        <v>269</v>
      </c>
      <c r="H332" s="66"/>
      <c r="BL332" s="9">
        <f t="shared" si="102"/>
        <v>70000</v>
      </c>
      <c r="BM332" s="9">
        <f t="shared" si="103"/>
        <v>70000</v>
      </c>
      <c r="BN332" s="9">
        <f t="shared" si="104"/>
      </c>
      <c r="BU332" s="9"/>
      <c r="BV332" s="9"/>
      <c r="BW332" s="9"/>
      <c r="BX332" s="9"/>
    </row>
    <row r="333" spans="1:76" ht="12.75">
      <c r="A333" s="59">
        <f t="shared" si="100"/>
        <v>7</v>
      </c>
      <c r="B333" s="51" t="s">
        <v>268</v>
      </c>
      <c r="C333" s="51">
        <v>2006</v>
      </c>
      <c r="D333" s="51">
        <v>90000</v>
      </c>
      <c r="E333" s="188">
        <f t="shared" si="101"/>
        <v>77.25321888412017</v>
      </c>
      <c r="G333" s="51" t="s">
        <v>269</v>
      </c>
      <c r="H333" s="66"/>
      <c r="BL333" s="9">
        <f t="shared" si="102"/>
        <v>90000</v>
      </c>
      <c r="BM333" s="9">
        <f t="shared" si="103"/>
        <v>90000</v>
      </c>
      <c r="BN333" s="9">
        <f t="shared" si="104"/>
      </c>
      <c r="BU333" s="9"/>
      <c r="BV333" s="9"/>
      <c r="BW333" s="9"/>
      <c r="BX333" s="9"/>
    </row>
    <row r="334" spans="1:76" ht="12.75">
      <c r="A334" s="59">
        <f t="shared" si="100"/>
        <v>8</v>
      </c>
      <c r="B334" s="51" t="s">
        <v>268</v>
      </c>
      <c r="C334" s="51">
        <v>2006</v>
      </c>
      <c r="D334" s="51">
        <v>100000</v>
      </c>
      <c r="E334" s="188">
        <f t="shared" si="101"/>
        <v>85.83690987124463</v>
      </c>
      <c r="G334" s="51" t="s">
        <v>269</v>
      </c>
      <c r="H334" s="66"/>
      <c r="BL334" s="9">
        <f t="shared" si="102"/>
        <v>100000</v>
      </c>
      <c r="BM334" s="9">
        <f t="shared" si="103"/>
        <v>100000</v>
      </c>
      <c r="BN334" s="9">
        <f t="shared" si="104"/>
      </c>
      <c r="BU334" s="9"/>
      <c r="BV334" s="9"/>
      <c r="BW334" s="9"/>
      <c r="BX334" s="9"/>
    </row>
    <row r="335" spans="1:76" ht="12.75">
      <c r="A335" s="59">
        <f t="shared" si="100"/>
        <v>9</v>
      </c>
      <c r="B335" s="51" t="s">
        <v>268</v>
      </c>
      <c r="C335" s="51">
        <v>2006</v>
      </c>
      <c r="D335" s="51">
        <v>120000</v>
      </c>
      <c r="E335" s="188">
        <f t="shared" si="101"/>
        <v>103.00429184549357</v>
      </c>
      <c r="G335" s="51" t="s">
        <v>269</v>
      </c>
      <c r="H335" s="66"/>
      <c r="BL335" s="9">
        <f t="shared" si="102"/>
        <v>120000</v>
      </c>
      <c r="BM335" s="9">
        <f t="shared" si="103"/>
      </c>
      <c r="BN335" s="9">
        <f t="shared" si="104"/>
        <v>120000</v>
      </c>
      <c r="BU335" s="9"/>
      <c r="BV335" s="9"/>
      <c r="BW335" s="9"/>
      <c r="BX335" s="9"/>
    </row>
    <row r="336" spans="1:76" ht="12.75">
      <c r="A336" s="59">
        <f t="shared" si="100"/>
        <v>10</v>
      </c>
      <c r="B336" s="51" t="s">
        <v>268</v>
      </c>
      <c r="C336" s="51">
        <v>2006</v>
      </c>
      <c r="D336" s="51">
        <v>110000</v>
      </c>
      <c r="E336" s="188">
        <f t="shared" si="101"/>
        <v>94.4206008583691</v>
      </c>
      <c r="G336" s="51" t="s">
        <v>269</v>
      </c>
      <c r="H336" s="66"/>
      <c r="BL336" s="9">
        <f t="shared" si="102"/>
        <v>110000</v>
      </c>
      <c r="BM336" s="9">
        <f t="shared" si="103"/>
      </c>
      <c r="BN336" s="9">
        <f t="shared" si="104"/>
        <v>110000</v>
      </c>
      <c r="BU336" s="9"/>
      <c r="BV336" s="9"/>
      <c r="BW336" s="9"/>
      <c r="BX336" s="9"/>
    </row>
    <row r="337" spans="1:76" ht="12.75">
      <c r="A337" s="59">
        <f t="shared" si="100"/>
        <v>11</v>
      </c>
      <c r="B337" s="51" t="s">
        <v>268</v>
      </c>
      <c r="C337" s="51">
        <v>2006</v>
      </c>
      <c r="D337" s="51">
        <v>110000</v>
      </c>
      <c r="E337" s="188">
        <f t="shared" si="101"/>
        <v>94.4206008583691</v>
      </c>
      <c r="G337" s="51" t="s">
        <v>269</v>
      </c>
      <c r="H337" s="66"/>
      <c r="BL337" s="9">
        <f t="shared" si="102"/>
        <v>110000</v>
      </c>
      <c r="BM337" s="9">
        <f t="shared" si="103"/>
      </c>
      <c r="BN337" s="9">
        <f t="shared" si="104"/>
        <v>110000</v>
      </c>
      <c r="BU337" s="9"/>
      <c r="BV337" s="9"/>
      <c r="BW337" s="9"/>
      <c r="BX337" s="9"/>
    </row>
    <row r="338" spans="1:76" ht="12.75">
      <c r="A338" s="59">
        <f t="shared" si="100"/>
        <v>12</v>
      </c>
      <c r="B338" s="51" t="s">
        <v>268</v>
      </c>
      <c r="C338" s="51">
        <v>2006</v>
      </c>
      <c r="D338" s="51">
        <v>120000</v>
      </c>
      <c r="E338" s="188">
        <f t="shared" si="101"/>
        <v>103.00429184549357</v>
      </c>
      <c r="G338" s="51" t="s">
        <v>269</v>
      </c>
      <c r="H338" s="66"/>
      <c r="BL338" s="9">
        <f t="shared" si="102"/>
        <v>120000</v>
      </c>
      <c r="BM338" s="9">
        <f t="shared" si="103"/>
      </c>
      <c r="BN338" s="9">
        <f t="shared" si="104"/>
        <v>120000</v>
      </c>
      <c r="BU338" s="9"/>
      <c r="BV338" s="9"/>
      <c r="BW338" s="9"/>
      <c r="BX338" s="9"/>
    </row>
    <row r="339" spans="1:76" ht="12.75">
      <c r="A339" s="59">
        <f t="shared" si="100"/>
        <v>13</v>
      </c>
      <c r="B339" s="51" t="s">
        <v>268</v>
      </c>
      <c r="C339" s="51">
        <v>2006</v>
      </c>
      <c r="D339" s="51">
        <v>150000</v>
      </c>
      <c r="E339" s="188">
        <f t="shared" si="101"/>
        <v>128.75536480686696</v>
      </c>
      <c r="G339" s="51" t="s">
        <v>269</v>
      </c>
      <c r="H339" s="66"/>
      <c r="BL339" s="9">
        <f t="shared" si="102"/>
        <v>150000</v>
      </c>
      <c r="BM339" s="9">
        <f t="shared" si="103"/>
      </c>
      <c r="BN339" s="9">
        <f t="shared" si="104"/>
        <v>150000</v>
      </c>
      <c r="BU339" s="9"/>
      <c r="BV339" s="9"/>
      <c r="BW339" s="9"/>
      <c r="BX339" s="9"/>
    </row>
    <row r="340" spans="1:76" ht="12.75">
      <c r="A340" s="59">
        <f t="shared" si="100"/>
        <v>14</v>
      </c>
      <c r="B340" s="51" t="s">
        <v>268</v>
      </c>
      <c r="C340" s="51">
        <v>2006</v>
      </c>
      <c r="D340" s="51">
        <v>150000</v>
      </c>
      <c r="E340" s="188">
        <f t="shared" si="101"/>
        <v>128.75536480686696</v>
      </c>
      <c r="G340" s="51" t="s">
        <v>269</v>
      </c>
      <c r="H340" s="66"/>
      <c r="BL340" s="9">
        <f t="shared" si="102"/>
        <v>150000</v>
      </c>
      <c r="BM340" s="9">
        <f t="shared" si="103"/>
      </c>
      <c r="BN340" s="9">
        <f t="shared" si="104"/>
        <v>150000</v>
      </c>
      <c r="BU340" s="9"/>
      <c r="BV340" s="9"/>
      <c r="BW340" s="9"/>
      <c r="BX340" s="9"/>
    </row>
    <row r="341" spans="1:76" ht="12.75">
      <c r="A341" s="59">
        <f t="shared" si="100"/>
        <v>15</v>
      </c>
      <c r="B341" s="51" t="s">
        <v>268</v>
      </c>
      <c r="C341" s="51">
        <v>2006</v>
      </c>
      <c r="D341" s="51">
        <v>115000</v>
      </c>
      <c r="E341" s="188">
        <f t="shared" si="101"/>
        <v>98.71244635193133</v>
      </c>
      <c r="G341" s="51" t="s">
        <v>269</v>
      </c>
      <c r="H341" s="66"/>
      <c r="BL341" s="9">
        <f t="shared" si="102"/>
        <v>115000</v>
      </c>
      <c r="BM341" s="9">
        <f t="shared" si="103"/>
      </c>
      <c r="BN341" s="9">
        <f t="shared" si="104"/>
        <v>115000</v>
      </c>
      <c r="BU341" s="9"/>
      <c r="BV341" s="9"/>
      <c r="BW341" s="9"/>
      <c r="BX341" s="9"/>
    </row>
    <row r="342" spans="1:76" ht="12.75">
      <c r="A342" s="59">
        <f t="shared" si="100"/>
        <v>16</v>
      </c>
      <c r="B342" s="51" t="s">
        <v>268</v>
      </c>
      <c r="C342" s="51">
        <v>2006</v>
      </c>
      <c r="D342" s="51">
        <v>115000</v>
      </c>
      <c r="E342" s="188">
        <f t="shared" si="101"/>
        <v>98.71244635193133</v>
      </c>
      <c r="G342" s="51" t="s">
        <v>269</v>
      </c>
      <c r="H342" s="66"/>
      <c r="BL342" s="9">
        <f t="shared" si="102"/>
        <v>115000</v>
      </c>
      <c r="BM342" s="9">
        <f t="shared" si="103"/>
      </c>
      <c r="BN342" s="9">
        <f t="shared" si="104"/>
        <v>115000</v>
      </c>
      <c r="BU342" s="9"/>
      <c r="BV342" s="9"/>
      <c r="BW342" s="9"/>
      <c r="BX342" s="9"/>
    </row>
    <row r="343" spans="1:76" ht="12.75">
      <c r="A343" s="59">
        <f t="shared" si="100"/>
        <v>17</v>
      </c>
      <c r="B343" s="51" t="s">
        <v>268</v>
      </c>
      <c r="C343" s="51">
        <v>2006</v>
      </c>
      <c r="D343" s="51">
        <v>115000</v>
      </c>
      <c r="E343" s="188">
        <f t="shared" si="101"/>
        <v>98.71244635193133</v>
      </c>
      <c r="G343" s="51" t="s">
        <v>269</v>
      </c>
      <c r="H343" s="66"/>
      <c r="BL343" s="9">
        <f t="shared" si="102"/>
        <v>115000</v>
      </c>
      <c r="BM343" s="9">
        <f t="shared" si="103"/>
      </c>
      <c r="BN343" s="9">
        <f t="shared" si="104"/>
        <v>115000</v>
      </c>
      <c r="BU343" s="9"/>
      <c r="BV343" s="9"/>
      <c r="BW343" s="9"/>
      <c r="BX343" s="9"/>
    </row>
    <row r="344" spans="1:76" ht="12.75">
      <c r="A344" s="59">
        <f t="shared" si="100"/>
        <v>18</v>
      </c>
      <c r="B344" s="51" t="s">
        <v>268</v>
      </c>
      <c r="C344" s="51">
        <v>2006</v>
      </c>
      <c r="D344" s="51">
        <v>120000</v>
      </c>
      <c r="E344" s="188">
        <f t="shared" si="101"/>
        <v>103.00429184549357</v>
      </c>
      <c r="G344" s="51" t="s">
        <v>269</v>
      </c>
      <c r="H344" s="66"/>
      <c r="BL344" s="9">
        <f t="shared" si="102"/>
        <v>120000</v>
      </c>
      <c r="BM344" s="9">
        <f t="shared" si="103"/>
      </c>
      <c r="BN344" s="9">
        <f t="shared" si="104"/>
        <v>120000</v>
      </c>
      <c r="BU344" s="9"/>
      <c r="BV344" s="9"/>
      <c r="BW344" s="9"/>
      <c r="BX344" s="9"/>
    </row>
    <row r="345" spans="1:76" ht="12.75">
      <c r="A345" s="59">
        <f t="shared" si="100"/>
        <v>19</v>
      </c>
      <c r="B345" s="51" t="s">
        <v>268</v>
      </c>
      <c r="C345" s="51">
        <v>2006</v>
      </c>
      <c r="D345" s="51">
        <v>115000</v>
      </c>
      <c r="E345" s="188">
        <f t="shared" si="101"/>
        <v>98.71244635193133</v>
      </c>
      <c r="G345" s="51" t="s">
        <v>269</v>
      </c>
      <c r="H345" s="66"/>
      <c r="BL345" s="9">
        <f t="shared" si="102"/>
        <v>115000</v>
      </c>
      <c r="BM345" s="9">
        <f t="shared" si="103"/>
      </c>
      <c r="BN345" s="9">
        <f t="shared" si="104"/>
        <v>115000</v>
      </c>
      <c r="BU345" s="9"/>
      <c r="BV345" s="9"/>
      <c r="BW345" s="9"/>
      <c r="BX345" s="9"/>
    </row>
    <row r="346" spans="1:76" ht="12.75">
      <c r="A346" s="59">
        <f t="shared" si="100"/>
        <v>20</v>
      </c>
      <c r="B346" s="51" t="s">
        <v>268</v>
      </c>
      <c r="C346" s="51">
        <v>2006</v>
      </c>
      <c r="D346" s="51">
        <v>115000</v>
      </c>
      <c r="E346" s="188">
        <f t="shared" si="101"/>
        <v>98.71244635193133</v>
      </c>
      <c r="G346" s="51" t="s">
        <v>269</v>
      </c>
      <c r="H346" s="66"/>
      <c r="BL346" s="9">
        <f t="shared" si="102"/>
        <v>115000</v>
      </c>
      <c r="BM346" s="9">
        <f t="shared" si="103"/>
      </c>
      <c r="BN346" s="9">
        <f t="shared" si="104"/>
        <v>115000</v>
      </c>
      <c r="BU346" s="9"/>
      <c r="BV346" s="9"/>
      <c r="BW346" s="9"/>
      <c r="BX346" s="9"/>
    </row>
    <row r="347" spans="1:76" ht="12.75">
      <c r="A347" s="59">
        <f t="shared" si="100"/>
        <v>21</v>
      </c>
      <c r="B347" s="51" t="s">
        <v>268</v>
      </c>
      <c r="C347" s="51">
        <v>2006</v>
      </c>
      <c r="D347" s="51">
        <v>125000</v>
      </c>
      <c r="E347" s="188">
        <f t="shared" si="101"/>
        <v>107.29613733905579</v>
      </c>
      <c r="G347" s="51" t="s">
        <v>269</v>
      </c>
      <c r="H347" s="66"/>
      <c r="BL347" s="9">
        <f t="shared" si="102"/>
        <v>125000</v>
      </c>
      <c r="BM347" s="9">
        <f t="shared" si="103"/>
      </c>
      <c r="BN347" s="9">
        <f t="shared" si="104"/>
        <v>125000</v>
      </c>
      <c r="BU347" s="9"/>
      <c r="BV347" s="9"/>
      <c r="BW347" s="9"/>
      <c r="BX347" s="9"/>
    </row>
    <row r="348" spans="1:76" ht="12.75">
      <c r="A348" s="59">
        <f t="shared" si="100"/>
        <v>22</v>
      </c>
      <c r="B348" s="51" t="s">
        <v>268</v>
      </c>
      <c r="C348" s="51">
        <v>2006</v>
      </c>
      <c r="D348" s="51">
        <v>125000</v>
      </c>
      <c r="E348" s="188">
        <f t="shared" si="101"/>
        <v>107.29613733905579</v>
      </c>
      <c r="G348" s="51" t="s">
        <v>269</v>
      </c>
      <c r="H348" s="66"/>
      <c r="BL348" s="9">
        <f t="shared" si="102"/>
        <v>125000</v>
      </c>
      <c r="BM348" s="9">
        <f t="shared" si="103"/>
      </c>
      <c r="BN348" s="9">
        <f t="shared" si="104"/>
        <v>125000</v>
      </c>
      <c r="BU348" s="9"/>
      <c r="BV348" s="9"/>
      <c r="BW348" s="9"/>
      <c r="BX348" s="9"/>
    </row>
    <row r="349" spans="1:76" ht="12.75">
      <c r="A349" s="59">
        <f t="shared" si="100"/>
        <v>23</v>
      </c>
      <c r="B349" s="51" t="s">
        <v>268</v>
      </c>
      <c r="C349" s="51">
        <v>2006</v>
      </c>
      <c r="D349" s="51">
        <v>125000</v>
      </c>
      <c r="E349" s="188">
        <f t="shared" si="101"/>
        <v>107.29613733905579</v>
      </c>
      <c r="G349" s="51" t="s">
        <v>269</v>
      </c>
      <c r="H349" s="66"/>
      <c r="BL349" s="9">
        <f t="shared" si="102"/>
        <v>125000</v>
      </c>
      <c r="BM349" s="9">
        <f t="shared" si="103"/>
      </c>
      <c r="BN349" s="9">
        <f t="shared" si="104"/>
        <v>125000</v>
      </c>
      <c r="BU349" s="9"/>
      <c r="BV349" s="9"/>
      <c r="BW349" s="9"/>
      <c r="BX349" s="9"/>
    </row>
    <row r="350" spans="1:76" ht="12.75">
      <c r="A350" s="59">
        <f t="shared" si="100"/>
        <v>24</v>
      </c>
      <c r="B350" s="51" t="s">
        <v>268</v>
      </c>
      <c r="C350" s="51">
        <v>2006</v>
      </c>
      <c r="D350" s="51">
        <v>125000</v>
      </c>
      <c r="E350" s="188">
        <f t="shared" si="101"/>
        <v>107.29613733905579</v>
      </c>
      <c r="G350" s="51" t="s">
        <v>269</v>
      </c>
      <c r="H350" s="66"/>
      <c r="BL350" s="9">
        <f t="shared" si="102"/>
        <v>125000</v>
      </c>
      <c r="BM350" s="9">
        <f t="shared" si="103"/>
      </c>
      <c r="BN350" s="9">
        <f t="shared" si="104"/>
        <v>125000</v>
      </c>
      <c r="BU350" s="9"/>
      <c r="BV350" s="9"/>
      <c r="BW350" s="9"/>
      <c r="BX350" s="9"/>
    </row>
    <row r="351" spans="1:76" ht="12.75">
      <c r="A351" s="59">
        <f t="shared" si="100"/>
        <v>25</v>
      </c>
      <c r="B351" s="51" t="s">
        <v>268</v>
      </c>
      <c r="C351" s="51">
        <v>2006</v>
      </c>
      <c r="D351" s="51">
        <v>125000</v>
      </c>
      <c r="E351" s="188">
        <f t="shared" si="101"/>
        <v>107.29613733905579</v>
      </c>
      <c r="G351" s="51" t="s">
        <v>269</v>
      </c>
      <c r="H351" s="66"/>
      <c r="BL351" s="9">
        <f t="shared" si="102"/>
        <v>125000</v>
      </c>
      <c r="BM351" s="9">
        <f t="shared" si="103"/>
      </c>
      <c r="BN351" s="9">
        <f t="shared" si="104"/>
        <v>125000</v>
      </c>
      <c r="BU351" s="9"/>
      <c r="BV351" s="9"/>
      <c r="BW351" s="9"/>
      <c r="BX351" s="9"/>
    </row>
    <row r="352" spans="1:76" ht="12.75">
      <c r="A352" s="59">
        <f t="shared" si="100"/>
        <v>26</v>
      </c>
      <c r="B352" s="51" t="s">
        <v>268</v>
      </c>
      <c r="C352" s="51">
        <v>2006</v>
      </c>
      <c r="D352" s="51">
        <v>400000</v>
      </c>
      <c r="E352" s="188">
        <f t="shared" si="101"/>
        <v>343.3476394849785</v>
      </c>
      <c r="G352" s="51" t="s">
        <v>269</v>
      </c>
      <c r="H352" s="66"/>
      <c r="BL352" s="9">
        <f t="shared" si="102"/>
        <v>400000</v>
      </c>
      <c r="BM352" s="9">
        <f t="shared" si="103"/>
      </c>
      <c r="BN352" s="9">
        <f t="shared" si="104"/>
        <v>400000</v>
      </c>
      <c r="BU352" s="9"/>
      <c r="BV352" s="9"/>
      <c r="BW352" s="9"/>
      <c r="BX352" s="9"/>
    </row>
    <row r="353" spans="1:76" ht="12.75">
      <c r="A353" s="59">
        <f t="shared" si="100"/>
        <v>27</v>
      </c>
      <c r="B353" s="51" t="s">
        <v>268</v>
      </c>
      <c r="C353" s="51">
        <v>2006</v>
      </c>
      <c r="D353" s="51">
        <v>175000</v>
      </c>
      <c r="E353" s="188">
        <f t="shared" si="101"/>
        <v>150.21459227467813</v>
      </c>
      <c r="G353" s="51" t="s">
        <v>269</v>
      </c>
      <c r="H353" s="66"/>
      <c r="BL353" s="9">
        <f t="shared" si="102"/>
        <v>175000</v>
      </c>
      <c r="BM353" s="9">
        <f t="shared" si="103"/>
      </c>
      <c r="BN353" s="9">
        <f t="shared" si="104"/>
        <v>175000</v>
      </c>
      <c r="BU353" s="9"/>
      <c r="BV353" s="9"/>
      <c r="BW353" s="9"/>
      <c r="BX353" s="9"/>
    </row>
    <row r="354" spans="1:76" ht="12.75">
      <c r="A354" s="59">
        <f t="shared" si="100"/>
        <v>28</v>
      </c>
      <c r="B354" s="51" t="s">
        <v>268</v>
      </c>
      <c r="C354" s="51">
        <v>2006</v>
      </c>
      <c r="D354" s="51">
        <v>175000</v>
      </c>
      <c r="E354" s="188">
        <f t="shared" si="101"/>
        <v>150.21459227467813</v>
      </c>
      <c r="G354" s="51" t="s">
        <v>269</v>
      </c>
      <c r="H354" s="66"/>
      <c r="BL354" s="9">
        <f t="shared" si="102"/>
        <v>175000</v>
      </c>
      <c r="BM354" s="9">
        <f t="shared" si="103"/>
      </c>
      <c r="BN354" s="9">
        <f t="shared" si="104"/>
        <v>175000</v>
      </c>
      <c r="BU354" s="9"/>
      <c r="BV354" s="9"/>
      <c r="BW354" s="9"/>
      <c r="BX354" s="9"/>
    </row>
    <row r="355" spans="1:76" ht="12.75">
      <c r="A355" s="59">
        <f t="shared" si="100"/>
        <v>29</v>
      </c>
      <c r="B355" s="51" t="s">
        <v>268</v>
      </c>
      <c r="C355" s="51">
        <v>2006</v>
      </c>
      <c r="D355" s="51">
        <v>175000</v>
      </c>
      <c r="E355" s="188">
        <f t="shared" si="101"/>
        <v>150.21459227467813</v>
      </c>
      <c r="G355" s="51" t="s">
        <v>269</v>
      </c>
      <c r="H355" s="66"/>
      <c r="BL355" s="9">
        <f t="shared" si="102"/>
        <v>175000</v>
      </c>
      <c r="BM355" s="9">
        <f t="shared" si="103"/>
      </c>
      <c r="BN355" s="9">
        <f t="shared" si="104"/>
        <v>175000</v>
      </c>
      <c r="BU355" s="9"/>
      <c r="BV355" s="9"/>
      <c r="BW355" s="9"/>
      <c r="BX355" s="9"/>
    </row>
    <row r="356" spans="1:76" ht="12.75">
      <c r="A356" s="59">
        <f t="shared" si="100"/>
        <v>30</v>
      </c>
      <c r="B356" s="51" t="s">
        <v>268</v>
      </c>
      <c r="C356" s="51">
        <v>2006</v>
      </c>
      <c r="D356" s="51">
        <v>175000</v>
      </c>
      <c r="E356" s="188">
        <f t="shared" si="101"/>
        <v>150.21459227467813</v>
      </c>
      <c r="G356" s="51" t="s">
        <v>269</v>
      </c>
      <c r="H356" s="66"/>
      <c r="BL356" s="9">
        <f t="shared" si="102"/>
        <v>175000</v>
      </c>
      <c r="BM356" s="9">
        <f t="shared" si="103"/>
      </c>
      <c r="BN356" s="9">
        <f t="shared" si="104"/>
        <v>175000</v>
      </c>
      <c r="BU356" s="9"/>
      <c r="BV356" s="9"/>
      <c r="BW356" s="9"/>
      <c r="BX356" s="9"/>
    </row>
    <row r="357" spans="5:75" ht="12.75">
      <c r="E357" s="105"/>
      <c r="F357" s="105"/>
      <c r="G357" s="106"/>
      <c r="BU357" s="9"/>
      <c r="BW357" s="9"/>
    </row>
    <row r="358" spans="5:7" ht="12.75">
      <c r="E358" s="105"/>
      <c r="F358" s="105"/>
      <c r="G358" s="106"/>
    </row>
    <row r="359" spans="5:7" ht="12.75">
      <c r="E359" s="105"/>
      <c r="F359" s="105"/>
      <c r="G359" s="106"/>
    </row>
    <row r="360" spans="5:7" ht="12.75">
      <c r="E360" s="105"/>
      <c r="F360" s="105"/>
      <c r="G360" s="106"/>
    </row>
    <row r="361" spans="5:7" ht="12.75">
      <c r="E361" s="105"/>
      <c r="F361" s="105"/>
      <c r="G361" s="106"/>
    </row>
    <row r="362" spans="5:7" ht="12.75">
      <c r="E362" s="105"/>
      <c r="F362" s="105"/>
      <c r="G362" s="106"/>
    </row>
    <row r="363" spans="5:7" ht="12.75">
      <c r="E363" s="105"/>
      <c r="F363" s="105"/>
      <c r="G363" s="106"/>
    </row>
    <row r="364" spans="5:7" ht="12.75">
      <c r="E364" s="105"/>
      <c r="F364" s="105"/>
      <c r="G364" s="106"/>
    </row>
    <row r="365" spans="5:7" ht="12.75">
      <c r="E365" s="105"/>
      <c r="F365" s="105"/>
      <c r="G365" s="106"/>
    </row>
    <row r="366" spans="5:7" ht="12.75">
      <c r="E366" s="105"/>
      <c r="F366" s="105"/>
      <c r="G366" s="106"/>
    </row>
    <row r="367" spans="5:7" ht="12.75">
      <c r="E367" s="105"/>
      <c r="F367" s="105"/>
      <c r="G367" s="106"/>
    </row>
    <row r="368" spans="5:7" ht="12.75">
      <c r="E368" s="105"/>
      <c r="F368" s="105"/>
      <c r="G368" s="106"/>
    </row>
    <row r="369" spans="5:7" ht="12.75">
      <c r="E369" s="105"/>
      <c r="F369" s="105"/>
      <c r="G369" s="106"/>
    </row>
    <row r="370" spans="5:7" ht="12.75">
      <c r="E370" s="105"/>
      <c r="F370" s="105"/>
      <c r="G370" s="106"/>
    </row>
    <row r="371" spans="5:7" ht="12.75">
      <c r="E371" s="105"/>
      <c r="F371" s="105"/>
      <c r="G371" s="106"/>
    </row>
    <row r="372" spans="5:7" ht="12.75">
      <c r="E372" s="105"/>
      <c r="F372" s="105"/>
      <c r="G372" s="106"/>
    </row>
    <row r="373" spans="5:7" ht="12.75">
      <c r="E373" s="105"/>
      <c r="F373" s="105"/>
      <c r="G373" s="106"/>
    </row>
    <row r="374" spans="5:7" ht="12.75">
      <c r="E374" s="105"/>
      <c r="F374" s="105"/>
      <c r="G374" s="106"/>
    </row>
    <row r="375" spans="5:7" ht="12.75">
      <c r="E375" s="105"/>
      <c r="F375" s="105"/>
      <c r="G375" s="106"/>
    </row>
    <row r="376" spans="5:7" ht="12.75">
      <c r="E376" s="105"/>
      <c r="F376" s="105"/>
      <c r="G376" s="106"/>
    </row>
    <row r="377" spans="5:7" ht="12.75">
      <c r="E377" s="105"/>
      <c r="F377" s="105"/>
      <c r="G377" s="106"/>
    </row>
    <row r="378" spans="5:7" ht="12.75">
      <c r="E378" s="105"/>
      <c r="F378" s="105"/>
      <c r="G378" s="106"/>
    </row>
    <row r="379" spans="5:7" ht="12.75">
      <c r="E379" s="105"/>
      <c r="F379" s="105"/>
      <c r="G379" s="106"/>
    </row>
    <row r="380" spans="5:7" ht="12.75">
      <c r="E380" s="105"/>
      <c r="F380" s="105"/>
      <c r="G380" s="106"/>
    </row>
    <row r="381" spans="5:7" ht="12.75">
      <c r="E381" s="105"/>
      <c r="F381" s="105"/>
      <c r="G381" s="106"/>
    </row>
    <row r="382" spans="5:7" ht="12.75">
      <c r="E382" s="105"/>
      <c r="F382" s="105"/>
      <c r="G382" s="106"/>
    </row>
    <row r="383" spans="5:7" ht="12.75">
      <c r="E383" s="105"/>
      <c r="F383" s="105"/>
      <c r="G383" s="106"/>
    </row>
    <row r="384" spans="5:7" ht="12.75">
      <c r="E384" s="105"/>
      <c r="F384" s="105"/>
      <c r="G384" s="106"/>
    </row>
    <row r="385" spans="5:7" ht="12.75">
      <c r="E385" s="105"/>
      <c r="F385" s="105"/>
      <c r="G385" s="106"/>
    </row>
    <row r="386" spans="5:7" ht="12.75">
      <c r="E386" s="105"/>
      <c r="F386" s="105"/>
      <c r="G386" s="106"/>
    </row>
    <row r="387" spans="5:7" ht="12.75">
      <c r="E387" s="105"/>
      <c r="F387" s="105"/>
      <c r="G387" s="106"/>
    </row>
    <row r="388" spans="5:7" ht="12.75">
      <c r="E388" s="105"/>
      <c r="F388" s="105"/>
      <c r="G388" s="106"/>
    </row>
    <row r="389" spans="5:7" ht="12.75">
      <c r="E389" s="105"/>
      <c r="F389" s="105"/>
      <c r="G389" s="106"/>
    </row>
    <row r="390" spans="5:7" ht="12.75">
      <c r="E390" s="105"/>
      <c r="F390" s="105"/>
      <c r="G390" s="106"/>
    </row>
    <row r="391" spans="5:7" ht="12.75">
      <c r="E391" s="105"/>
      <c r="F391" s="105"/>
      <c r="G391" s="106"/>
    </row>
    <row r="392" spans="5:7" ht="12.75">
      <c r="E392" s="105"/>
      <c r="F392" s="105"/>
      <c r="G392" s="106"/>
    </row>
    <row r="393" spans="5:7" ht="12.75">
      <c r="E393" s="105"/>
      <c r="F393" s="105"/>
      <c r="G393" s="106"/>
    </row>
    <row r="394" spans="5:7" ht="12.75">
      <c r="E394" s="105"/>
      <c r="F394" s="105"/>
      <c r="G394" s="106"/>
    </row>
    <row r="395" spans="5:7" ht="12.75">
      <c r="E395" s="105"/>
      <c r="F395" s="105"/>
      <c r="G395" s="106"/>
    </row>
    <row r="396" spans="5:7" ht="12.75">
      <c r="E396" s="105"/>
      <c r="F396" s="105"/>
      <c r="G396" s="106"/>
    </row>
    <row r="397" spans="5:7" ht="12.75">
      <c r="E397" s="105"/>
      <c r="F397" s="105"/>
      <c r="G397" s="106"/>
    </row>
    <row r="398" spans="5:7" ht="12.75">
      <c r="E398" s="105"/>
      <c r="F398" s="105"/>
      <c r="G398" s="106"/>
    </row>
    <row r="399" spans="5:7" ht="12.75">
      <c r="E399" s="105"/>
      <c r="F399" s="105"/>
      <c r="G399" s="106"/>
    </row>
    <row r="400" spans="5:7" ht="12.75">
      <c r="E400" s="105"/>
      <c r="F400" s="105"/>
      <c r="G400" s="106"/>
    </row>
    <row r="401" spans="5:7" ht="12.75">
      <c r="E401" s="105"/>
      <c r="F401" s="105"/>
      <c r="G401" s="106"/>
    </row>
    <row r="402" spans="5:7" ht="12.75">
      <c r="E402" s="105"/>
      <c r="F402" s="105"/>
      <c r="G402" s="106"/>
    </row>
    <row r="403" spans="5:7" ht="12.75">
      <c r="E403" s="105"/>
      <c r="F403" s="105"/>
      <c r="G403" s="106"/>
    </row>
    <row r="404" spans="5:7" ht="12.75">
      <c r="E404" s="105"/>
      <c r="F404" s="105"/>
      <c r="G404" s="106"/>
    </row>
    <row r="405" spans="5:7" ht="12.75">
      <c r="E405" s="105"/>
      <c r="F405" s="105"/>
      <c r="G405" s="106"/>
    </row>
    <row r="406" spans="5:7" ht="12.75">
      <c r="E406" s="105"/>
      <c r="F406" s="105"/>
      <c r="G406" s="106"/>
    </row>
    <row r="407" spans="5:7" ht="12.75">
      <c r="E407" s="105"/>
      <c r="F407" s="105"/>
      <c r="G407" s="106"/>
    </row>
    <row r="408" spans="5:7" ht="12.75">
      <c r="E408" s="105"/>
      <c r="F408" s="105"/>
      <c r="G408" s="106"/>
    </row>
    <row r="409" spans="5:7" ht="12.75">
      <c r="E409" s="105"/>
      <c r="F409" s="105"/>
      <c r="G409" s="106"/>
    </row>
    <row r="410" spans="5:7" ht="12.75">
      <c r="E410" s="105"/>
      <c r="F410" s="105"/>
      <c r="G410" s="106"/>
    </row>
    <row r="411" spans="5:7" ht="12.75">
      <c r="E411" s="105"/>
      <c r="F411" s="105"/>
      <c r="G411" s="106"/>
    </row>
    <row r="412" spans="5:7" ht="12.75">
      <c r="E412" s="105"/>
      <c r="F412" s="105"/>
      <c r="G412" s="106"/>
    </row>
    <row r="413" spans="5:7" ht="12.75">
      <c r="E413" s="105"/>
      <c r="F413" s="105"/>
      <c r="G413" s="106"/>
    </row>
    <row r="414" spans="5:7" ht="12.75">
      <c r="E414" s="105"/>
      <c r="F414" s="105"/>
      <c r="G414" s="106"/>
    </row>
    <row r="415" spans="5:7" ht="12.75">
      <c r="E415" s="105"/>
      <c r="F415" s="105"/>
      <c r="G415" s="106"/>
    </row>
    <row r="416" spans="5:7" ht="12.75">
      <c r="E416" s="105"/>
      <c r="F416" s="105"/>
      <c r="G416" s="106"/>
    </row>
    <row r="417" spans="5:7" ht="12.75">
      <c r="E417" s="105"/>
      <c r="F417" s="105"/>
      <c r="G417" s="106"/>
    </row>
    <row r="418" spans="5:7" ht="12.75">
      <c r="E418" s="105"/>
      <c r="F418" s="105"/>
      <c r="G418" s="106"/>
    </row>
    <row r="419" spans="5:7" ht="12.75">
      <c r="E419" s="105"/>
      <c r="F419" s="105"/>
      <c r="G419" s="106"/>
    </row>
    <row r="420" spans="5:7" ht="12.75">
      <c r="E420" s="105"/>
      <c r="F420" s="105"/>
      <c r="G420" s="106"/>
    </row>
    <row r="421" spans="5:7" ht="12.75">
      <c r="E421" s="105"/>
      <c r="F421" s="105"/>
      <c r="G421" s="106"/>
    </row>
    <row r="422" spans="5:7" ht="12.75">
      <c r="E422" s="105"/>
      <c r="F422" s="105"/>
      <c r="G422" s="106"/>
    </row>
    <row r="423" spans="5:7" ht="12.75">
      <c r="E423" s="105"/>
      <c r="F423" s="105"/>
      <c r="G423" s="106"/>
    </row>
    <row r="424" spans="5:7" ht="12.75">
      <c r="E424" s="105"/>
      <c r="F424" s="105"/>
      <c r="G424" s="106"/>
    </row>
    <row r="425" spans="5:7" ht="12.75">
      <c r="E425" s="105"/>
      <c r="F425" s="105"/>
      <c r="G425" s="106"/>
    </row>
    <row r="426" spans="5:7" ht="12.75">
      <c r="E426" s="105"/>
      <c r="F426" s="105"/>
      <c r="G426" s="106"/>
    </row>
    <row r="427" spans="5:7" ht="12.75">
      <c r="E427" s="105"/>
      <c r="F427" s="105"/>
      <c r="G427" s="106"/>
    </row>
    <row r="428" spans="5:7" ht="12.75">
      <c r="E428" s="105"/>
      <c r="F428" s="105"/>
      <c r="G428" s="106"/>
    </row>
    <row r="429" spans="5:7" ht="12.75">
      <c r="E429" s="105"/>
      <c r="F429" s="105"/>
      <c r="G429" s="106"/>
    </row>
    <row r="430" spans="5:7" ht="12.75">
      <c r="E430" s="105"/>
      <c r="F430" s="105"/>
      <c r="G430" s="106"/>
    </row>
    <row r="431" spans="5:7" ht="12.75">
      <c r="E431" s="105"/>
      <c r="F431" s="105"/>
      <c r="G431" s="106"/>
    </row>
    <row r="432" spans="5:7" ht="12.75">
      <c r="E432" s="105"/>
      <c r="F432" s="105"/>
      <c r="G432" s="106"/>
    </row>
    <row r="433" spans="5:7" ht="12.75">
      <c r="E433" s="105"/>
      <c r="F433" s="105"/>
      <c r="G433" s="106"/>
    </row>
    <row r="434" spans="5:7" ht="12.75">
      <c r="E434" s="105"/>
      <c r="F434" s="105"/>
      <c r="G434" s="106"/>
    </row>
    <row r="435" spans="5:7" ht="12.75">
      <c r="E435" s="105"/>
      <c r="F435" s="105"/>
      <c r="G435" s="106"/>
    </row>
    <row r="436" spans="5:7" ht="12.75">
      <c r="E436" s="105"/>
      <c r="F436" s="105"/>
      <c r="G436" s="106"/>
    </row>
    <row r="437" spans="5:7" ht="12.75">
      <c r="E437" s="105"/>
      <c r="F437" s="105"/>
      <c r="G437" s="106"/>
    </row>
    <row r="438" spans="5:7" ht="12.75">
      <c r="E438" s="105"/>
      <c r="F438" s="105"/>
      <c r="G438" s="106"/>
    </row>
    <row r="439" spans="5:7" ht="12.75">
      <c r="E439" s="105"/>
      <c r="F439" s="105"/>
      <c r="G439" s="106"/>
    </row>
    <row r="440" spans="5:7" ht="12.75">
      <c r="E440" s="105"/>
      <c r="F440" s="105"/>
      <c r="G440" s="106"/>
    </row>
    <row r="441" spans="5:7" ht="12.75">
      <c r="E441" s="105"/>
      <c r="F441" s="105"/>
      <c r="G441" s="106"/>
    </row>
    <row r="442" spans="5:7" ht="12.75">
      <c r="E442" s="105"/>
      <c r="F442" s="105"/>
      <c r="G442" s="106"/>
    </row>
    <row r="443" spans="5:7" ht="12.75">
      <c r="E443" s="105"/>
      <c r="F443" s="105"/>
      <c r="G443" s="106"/>
    </row>
    <row r="444" spans="5:7" ht="12.75">
      <c r="E444" s="105"/>
      <c r="F444" s="105"/>
      <c r="G444" s="106"/>
    </row>
    <row r="445" spans="5:7" ht="12.75">
      <c r="E445" s="105"/>
      <c r="F445" s="105"/>
      <c r="G445" s="106"/>
    </row>
    <row r="446" spans="5:7" ht="12.75">
      <c r="E446" s="105"/>
      <c r="F446" s="105"/>
      <c r="G446" s="106"/>
    </row>
    <row r="447" spans="5:7" ht="12.75">
      <c r="E447" s="105"/>
      <c r="F447" s="105"/>
      <c r="G447" s="106"/>
    </row>
    <row r="448" spans="5:7" ht="12.75">
      <c r="E448" s="105"/>
      <c r="F448" s="105"/>
      <c r="G448" s="106"/>
    </row>
    <row r="449" spans="5:7" ht="12.75">
      <c r="E449" s="105"/>
      <c r="F449" s="105"/>
      <c r="G449" s="106"/>
    </row>
    <row r="450" spans="5:7" ht="12.75">
      <c r="E450" s="105"/>
      <c r="F450" s="105"/>
      <c r="G450" s="106"/>
    </row>
    <row r="451" spans="5:7" ht="12.75">
      <c r="E451" s="105"/>
      <c r="F451" s="105"/>
      <c r="G451" s="106"/>
    </row>
    <row r="452" spans="5:7" ht="12.75">
      <c r="E452" s="105"/>
      <c r="F452" s="105"/>
      <c r="G452" s="106"/>
    </row>
    <row r="453" spans="5:7" ht="12.75">
      <c r="E453" s="105"/>
      <c r="F453" s="105"/>
      <c r="G453" s="106"/>
    </row>
    <row r="454" spans="5:7" ht="12.75">
      <c r="E454" s="105"/>
      <c r="F454" s="105"/>
      <c r="G454" s="106"/>
    </row>
    <row r="455" spans="5:7" ht="12.75">
      <c r="E455" s="105"/>
      <c r="F455" s="105"/>
      <c r="G455" s="106"/>
    </row>
    <row r="456" spans="5:7" ht="12.75">
      <c r="E456" s="105"/>
      <c r="F456" s="105"/>
      <c r="G456" s="106"/>
    </row>
    <row r="457" spans="5:7" ht="12.75">
      <c r="E457" s="105"/>
      <c r="F457" s="105"/>
      <c r="G457" s="106"/>
    </row>
    <row r="458" spans="5:7" ht="12.75">
      <c r="E458" s="105"/>
      <c r="F458" s="105"/>
      <c r="G458" s="106"/>
    </row>
    <row r="459" spans="5:7" ht="12.75">
      <c r="E459" s="105"/>
      <c r="F459" s="105"/>
      <c r="G459" s="106"/>
    </row>
    <row r="460" spans="5:7" ht="12.75">
      <c r="E460" s="105"/>
      <c r="F460" s="105"/>
      <c r="G460" s="106"/>
    </row>
    <row r="461" spans="5:7" ht="12.75">
      <c r="E461" s="105"/>
      <c r="F461" s="105"/>
      <c r="G461" s="106"/>
    </row>
    <row r="462" spans="5:7" ht="12.75">
      <c r="E462" s="105"/>
      <c r="F462" s="105"/>
      <c r="G462" s="106"/>
    </row>
    <row r="463" spans="5:7" ht="12.75">
      <c r="E463" s="105"/>
      <c r="F463" s="105"/>
      <c r="G463" s="106"/>
    </row>
    <row r="464" spans="5:7" ht="12.75">
      <c r="E464" s="105"/>
      <c r="F464" s="105"/>
      <c r="G464" s="106"/>
    </row>
    <row r="465" spans="5:7" ht="12.75">
      <c r="E465" s="105"/>
      <c r="F465" s="105"/>
      <c r="G465" s="106"/>
    </row>
    <row r="466" spans="5:7" ht="12.75">
      <c r="E466" s="105"/>
      <c r="F466" s="105"/>
      <c r="G466" s="106"/>
    </row>
    <row r="467" spans="5:7" ht="12.75">
      <c r="E467" s="105"/>
      <c r="F467" s="105"/>
      <c r="G467" s="106"/>
    </row>
    <row r="508" spans="5:7" ht="12.75">
      <c r="E508" s="105"/>
      <c r="F508" s="105"/>
      <c r="G508" s="106"/>
    </row>
    <row r="509" spans="5:7" ht="12.75">
      <c r="E509" s="105"/>
      <c r="F509" s="105"/>
      <c r="G509" s="106"/>
    </row>
    <row r="510" spans="5:7" ht="12.75">
      <c r="E510" s="105"/>
      <c r="F510" s="105"/>
      <c r="G510" s="106"/>
    </row>
    <row r="511" spans="5:7" ht="12.75">
      <c r="E511" s="105"/>
      <c r="F511" s="105"/>
      <c r="G511" s="106"/>
    </row>
    <row r="512" spans="5:7" ht="12.75">
      <c r="E512" s="105"/>
      <c r="F512" s="105"/>
      <c r="G512" s="106"/>
    </row>
    <row r="513" spans="5:7" ht="12.75">
      <c r="E513" s="105"/>
      <c r="F513" s="105"/>
      <c r="G513" s="106"/>
    </row>
    <row r="514" spans="5:7" ht="12.75">
      <c r="E514" s="105"/>
      <c r="F514" s="105"/>
      <c r="G514" s="106"/>
    </row>
    <row r="515" spans="5:7" ht="12.75">
      <c r="E515" s="105"/>
      <c r="F515" s="105"/>
      <c r="G515" s="106"/>
    </row>
    <row r="516" spans="5:7" ht="12.75">
      <c r="E516" s="105"/>
      <c r="F516" s="105"/>
      <c r="G516" s="106"/>
    </row>
    <row r="517" spans="5:7" ht="12.75">
      <c r="E517" s="105"/>
      <c r="F517" s="105"/>
      <c r="G517" s="106"/>
    </row>
    <row r="518" spans="5:7" ht="12.75">
      <c r="E518" s="105"/>
      <c r="F518" s="105"/>
      <c r="G518" s="106"/>
    </row>
    <row r="519" spans="5:7" ht="12.75">
      <c r="E519" s="105"/>
      <c r="F519" s="105"/>
      <c r="G519" s="106"/>
    </row>
    <row r="520" spans="5:7" ht="12.75">
      <c r="E520" s="105"/>
      <c r="F520" s="105"/>
      <c r="G520" s="106"/>
    </row>
    <row r="521" spans="5:7" ht="12.75">
      <c r="E521" s="105"/>
      <c r="F521" s="105"/>
      <c r="G521" s="106"/>
    </row>
    <row r="522" spans="5:7" ht="12.75">
      <c r="E522" s="105"/>
      <c r="F522" s="105"/>
      <c r="G522" s="106"/>
    </row>
    <row r="523" spans="5:7" ht="12.75">
      <c r="E523" s="105"/>
      <c r="F523" s="105"/>
      <c r="G523" s="106"/>
    </row>
    <row r="524" spans="5:7" ht="12.75">
      <c r="E524" s="105"/>
      <c r="F524" s="105"/>
      <c r="G524" s="106"/>
    </row>
    <row r="525" spans="5:7" ht="12.75">
      <c r="E525" s="105"/>
      <c r="F525" s="105"/>
      <c r="G525" s="106"/>
    </row>
    <row r="526" spans="5:7" ht="12.75">
      <c r="E526" s="105"/>
      <c r="F526" s="105"/>
      <c r="G526" s="106"/>
    </row>
    <row r="527" spans="5:7" ht="12.75">
      <c r="E527" s="105"/>
      <c r="F527" s="105"/>
      <c r="G527" s="106"/>
    </row>
    <row r="528" spans="5:7" ht="12.75">
      <c r="E528" s="105"/>
      <c r="F528" s="105"/>
      <c r="G528" s="106"/>
    </row>
    <row r="529" spans="5:7" ht="12.75">
      <c r="E529" s="105"/>
      <c r="F529" s="105"/>
      <c r="G529" s="106"/>
    </row>
    <row r="530" spans="5:7" ht="12.75">
      <c r="E530" s="105"/>
      <c r="F530" s="105"/>
      <c r="G530" s="106"/>
    </row>
    <row r="531" spans="5:7" ht="12.75">
      <c r="E531" s="105"/>
      <c r="F531" s="105"/>
      <c r="G531" s="106"/>
    </row>
    <row r="532" spans="5:7" ht="12.75">
      <c r="E532" s="105"/>
      <c r="F532" s="105"/>
      <c r="G532" s="106"/>
    </row>
    <row r="533" spans="5:7" ht="12.75">
      <c r="E533" s="105"/>
      <c r="F533" s="105"/>
      <c r="G533" s="106"/>
    </row>
    <row r="534" spans="5:7" ht="12.75">
      <c r="E534" s="105"/>
      <c r="F534" s="105"/>
      <c r="G534" s="106"/>
    </row>
    <row r="535" spans="5:7" ht="12.75">
      <c r="E535" s="105"/>
      <c r="F535" s="105"/>
      <c r="G535" s="106"/>
    </row>
    <row r="536" spans="5:7" ht="12.75">
      <c r="E536" s="105"/>
      <c r="F536" s="105"/>
      <c r="G536" s="106"/>
    </row>
    <row r="537" spans="5:7" ht="12.75">
      <c r="E537" s="105"/>
      <c r="F537" s="105"/>
      <c r="G537" s="106"/>
    </row>
    <row r="538" spans="5:7" ht="12.75">
      <c r="E538" s="105"/>
      <c r="F538" s="105"/>
      <c r="G538" s="106"/>
    </row>
    <row r="539" spans="5:7" ht="12.75">
      <c r="E539" s="105"/>
      <c r="F539" s="105"/>
      <c r="G539" s="106"/>
    </row>
    <row r="540" spans="5:7" ht="12.75">
      <c r="E540" s="105"/>
      <c r="F540" s="105"/>
      <c r="G540" s="106"/>
    </row>
    <row r="541" spans="5:7" ht="12.75">
      <c r="E541" s="105"/>
      <c r="F541" s="105"/>
      <c r="G541" s="106"/>
    </row>
    <row r="542" spans="5:7" ht="12.75">
      <c r="E542" s="105"/>
      <c r="F542" s="105"/>
      <c r="G542" s="106"/>
    </row>
    <row r="543" spans="5:7" ht="12.75">
      <c r="E543" s="105"/>
      <c r="F543" s="105"/>
      <c r="G543" s="106"/>
    </row>
    <row r="544" spans="5:7" ht="12.75">
      <c r="E544" s="105"/>
      <c r="F544" s="105"/>
      <c r="G544" s="106"/>
    </row>
    <row r="545" spans="5:7" ht="12.75">
      <c r="E545" s="105"/>
      <c r="F545" s="105"/>
      <c r="G545" s="106"/>
    </row>
    <row r="546" spans="5:7" ht="12.75">
      <c r="E546" s="105"/>
      <c r="F546" s="105"/>
      <c r="G546" s="106"/>
    </row>
    <row r="547" spans="5:7" ht="12.75">
      <c r="E547" s="105"/>
      <c r="F547" s="105"/>
      <c r="G547" s="106"/>
    </row>
    <row r="548" spans="5:7" ht="12.75">
      <c r="E548" s="105"/>
      <c r="F548" s="105"/>
      <c r="G548" s="106"/>
    </row>
    <row r="549" spans="5:7" ht="12.75">
      <c r="E549" s="105"/>
      <c r="F549" s="105"/>
      <c r="G549" s="106"/>
    </row>
    <row r="550" spans="5:7" ht="12.75">
      <c r="E550" s="105"/>
      <c r="F550" s="105"/>
      <c r="G550" s="106"/>
    </row>
    <row r="551" spans="5:7" ht="12.75">
      <c r="E551" s="105"/>
      <c r="F551" s="105"/>
      <c r="G551" s="106"/>
    </row>
    <row r="552" spans="5:7" ht="12.75">
      <c r="E552" s="105"/>
      <c r="F552" s="105"/>
      <c r="G552" s="106"/>
    </row>
  </sheetData>
  <mergeCells count="8">
    <mergeCell ref="D12:E12"/>
    <mergeCell ref="H8:I8"/>
    <mergeCell ref="D7:F7"/>
    <mergeCell ref="H7:J7"/>
    <mergeCell ref="A3:H3"/>
    <mergeCell ref="D6:E6"/>
    <mergeCell ref="H6:I6"/>
    <mergeCell ref="D8:E8"/>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M131"/>
  <sheetViews>
    <sheetView workbookViewId="0" topLeftCell="A1">
      <selection activeCell="A2" sqref="A2"/>
    </sheetView>
  </sheetViews>
  <sheetFormatPr defaultColWidth="9.140625" defaultRowHeight="12.75"/>
  <cols>
    <col min="1" max="1" width="5.8515625" style="0" customWidth="1"/>
    <col min="2" max="2" width="4.8515625" style="0" customWidth="1"/>
    <col min="3" max="3" width="49.8515625" style="0" customWidth="1"/>
  </cols>
  <sheetData>
    <row r="1" spans="1:13" ht="12.75">
      <c r="A1" s="3" t="s">
        <v>587</v>
      </c>
      <c r="L1" s="387" t="s">
        <v>564</v>
      </c>
      <c r="M1" s="388">
        <v>39310</v>
      </c>
    </row>
    <row r="2" spans="1:13" ht="12.75">
      <c r="A2" s="3"/>
      <c r="L2" s="387"/>
      <c r="M2" s="388"/>
    </row>
    <row r="3" spans="1:8" ht="12.75" customHeight="1">
      <c r="A3" s="468">
        <f>IF('ERR &amp; Sensitivity Analysis'!$I$10="N","Note: Current calculations are based on user input and are not the original MCC estimates.",IF('ERR &amp; Sensitivity Analysis'!$I$11="N","Note: Current calculations are based on user input and are not the original MCC estimates.",0))</f>
        <v>0</v>
      </c>
      <c r="B3" s="468"/>
      <c r="C3" s="468"/>
      <c r="D3" s="468"/>
      <c r="E3" s="468"/>
      <c r="F3" s="468"/>
      <c r="G3" s="468"/>
      <c r="H3" s="441"/>
    </row>
    <row r="4" spans="1:8" ht="12.75">
      <c r="A4" s="436"/>
      <c r="B4" s="436"/>
      <c r="C4" s="436"/>
      <c r="D4" s="436"/>
      <c r="E4" s="436"/>
      <c r="F4" s="436"/>
      <c r="G4" s="436"/>
      <c r="H4" s="436"/>
    </row>
    <row r="5" ht="12.75">
      <c r="A5" s="20" t="s">
        <v>422</v>
      </c>
    </row>
    <row r="6" ht="12.75">
      <c r="B6" t="s">
        <v>11</v>
      </c>
    </row>
    <row r="7" ht="12.75">
      <c r="B7" t="s">
        <v>421</v>
      </c>
    </row>
    <row r="8" ht="12.75">
      <c r="B8" t="s">
        <v>586</v>
      </c>
    </row>
    <row r="9" ht="12.75">
      <c r="B9" t="s">
        <v>423</v>
      </c>
    </row>
    <row r="11" ht="12.75">
      <c r="A11" s="20" t="s">
        <v>404</v>
      </c>
    </row>
    <row r="12" spans="1:8" ht="12.75">
      <c r="A12" s="20"/>
      <c r="D12" t="s">
        <v>510</v>
      </c>
      <c r="E12" t="s">
        <v>406</v>
      </c>
      <c r="F12" t="s">
        <v>405</v>
      </c>
      <c r="H12" t="s">
        <v>498</v>
      </c>
    </row>
    <row r="13" ht="12.75">
      <c r="B13" s="20" t="s">
        <v>304</v>
      </c>
    </row>
    <row r="14" spans="3:8" ht="12.75">
      <c r="C14" t="s">
        <v>300</v>
      </c>
      <c r="D14" s="206">
        <f>AVERAGE('Additional Wage Estimates'!J11:J15)</f>
        <v>114.3</v>
      </c>
      <c r="E14">
        <f>'Additional Wage Estimates'!C16</f>
        <v>250</v>
      </c>
      <c r="F14" s="1">
        <f aca="true" t="shared" si="0" ref="F14:F19">E14/SUM($E$14:$E$19)*0.5</f>
        <v>0.0744047619047619</v>
      </c>
      <c r="G14" s="208">
        <f aca="true" t="shared" si="1" ref="G14:G20">F14*D14</f>
        <v>8.504464285714285</v>
      </c>
      <c r="H14" s="1">
        <f>F14</f>
        <v>0.0744047619047619</v>
      </c>
    </row>
    <row r="15" spans="3:8" ht="12.75">
      <c r="C15" t="s">
        <v>299</v>
      </c>
      <c r="D15">
        <f>AVERAGE('Additional Wage Estimates'!J18,'Additional Wage Estimates'!J21,'Additional Wage Estimates'!J23,'Additional Wage Estimates'!J24,'Additional Wage Estimates'!J26)</f>
        <v>91</v>
      </c>
      <c r="E15">
        <f>'Additional Wage Estimates'!C28</f>
        <v>380</v>
      </c>
      <c r="F15" s="1">
        <f t="shared" si="0"/>
        <v>0.1130952380952381</v>
      </c>
      <c r="G15" s="208">
        <f t="shared" si="1"/>
        <v>10.291666666666666</v>
      </c>
      <c r="H15" s="1">
        <f aca="true" t="shared" si="2" ref="H15:H20">H14+F15</f>
        <v>0.1875</v>
      </c>
    </row>
    <row r="16" spans="3:8" ht="12.75">
      <c r="C16" t="s">
        <v>301</v>
      </c>
      <c r="D16" s="4">
        <f>AVERAGE(Salaries!BJ25:BJ39,Salaries!BJ44:BJ54)*0.67</f>
        <v>200.3815384615385</v>
      </c>
      <c r="E16">
        <f>'Additional Wage Estimates'!D36</f>
        <v>400</v>
      </c>
      <c r="F16" s="1">
        <f t="shared" si="0"/>
        <v>0.11904761904761904</v>
      </c>
      <c r="G16" s="208">
        <f t="shared" si="1"/>
        <v>23.85494505494506</v>
      </c>
      <c r="H16" s="1">
        <f t="shared" si="2"/>
        <v>0.30654761904761907</v>
      </c>
    </row>
    <row r="17" spans="3:8" ht="12.75">
      <c r="C17" t="s">
        <v>296</v>
      </c>
      <c r="D17">
        <f>AVERAGE('Additional Wage Estimates'!J38:J40)</f>
        <v>97.5</v>
      </c>
      <c r="E17">
        <f>'Additional Wage Estimates'!C40</f>
        <v>100</v>
      </c>
      <c r="F17" s="1">
        <f t="shared" si="0"/>
        <v>0.02976190476190476</v>
      </c>
      <c r="G17" s="208">
        <f t="shared" si="1"/>
        <v>2.901785714285714</v>
      </c>
      <c r="H17" s="1">
        <f t="shared" si="2"/>
        <v>0.33630952380952384</v>
      </c>
    </row>
    <row r="18" spans="3:8" ht="12.75">
      <c r="C18" t="s">
        <v>302</v>
      </c>
      <c r="D18">
        <f>AVERAGE('Additional Wage Estimates'!J42:J49)</f>
        <v>210</v>
      </c>
      <c r="E18">
        <f>'Additional Wage Estimates'!C49</f>
        <v>350</v>
      </c>
      <c r="F18" s="1">
        <f t="shared" si="0"/>
        <v>0.10416666666666667</v>
      </c>
      <c r="G18" s="208">
        <f t="shared" si="1"/>
        <v>21.875</v>
      </c>
      <c r="H18" s="1">
        <f t="shared" si="2"/>
        <v>0.4404761904761905</v>
      </c>
    </row>
    <row r="19" spans="3:8" ht="12.75">
      <c r="C19" t="s">
        <v>303</v>
      </c>
      <c r="D19">
        <f>AVERAGE('Additional Wage Estimates'!J51:J55)</f>
        <v>150</v>
      </c>
      <c r="E19">
        <f>'Additional Wage Estimates'!C55</f>
        <v>200</v>
      </c>
      <c r="F19" s="1">
        <f t="shared" si="0"/>
        <v>0.05952380952380952</v>
      </c>
      <c r="G19" s="208">
        <f t="shared" si="1"/>
        <v>8.928571428571429</v>
      </c>
      <c r="H19" s="1">
        <f t="shared" si="2"/>
        <v>0.5</v>
      </c>
    </row>
    <row r="20" spans="3:8" ht="12.75">
      <c r="C20" t="s">
        <v>305</v>
      </c>
      <c r="D20" s="4">
        <f>Salaries!BS51/exrate</f>
        <v>68.6695278969957</v>
      </c>
      <c r="F20" s="1">
        <v>0.5</v>
      </c>
      <c r="G20" s="206">
        <f t="shared" si="1"/>
        <v>34.33476394849785</v>
      </c>
      <c r="H20" s="1">
        <f t="shared" si="2"/>
        <v>1</v>
      </c>
    </row>
    <row r="21" spans="2:7" ht="12.75">
      <c r="B21" s="20" t="s">
        <v>511</v>
      </c>
      <c r="F21" s="1"/>
      <c r="G21" s="206">
        <f>SUM(G14:G20)</f>
        <v>110.691197098681</v>
      </c>
    </row>
    <row r="23" ht="12.75">
      <c r="A23" s="20" t="s">
        <v>407</v>
      </c>
    </row>
    <row r="24" spans="3:8" ht="12.75">
      <c r="C24" t="s">
        <v>417</v>
      </c>
      <c r="D24" s="4">
        <f>Salaries!BP53</f>
        <v>139.277614614148</v>
      </c>
      <c r="F24" s="1">
        <f>1-F25</f>
        <v>0.5</v>
      </c>
      <c r="G24" s="208">
        <f>D24*F24</f>
        <v>69.638807307074</v>
      </c>
      <c r="H24" s="1"/>
    </row>
    <row r="25" spans="3:8" ht="12.75">
      <c r="C25" t="s">
        <v>418</v>
      </c>
      <c r="D25" s="4">
        <f>Salaries!BP54</f>
        <v>63.28840912915757</v>
      </c>
      <c r="F25" s="1">
        <f>F20</f>
        <v>0.5</v>
      </c>
      <c r="G25" s="208">
        <f>D25*F25</f>
        <v>31.644204564578786</v>
      </c>
      <c r="H25" s="1"/>
    </row>
    <row r="26" spans="2:8" ht="12.75">
      <c r="B26" s="20" t="s">
        <v>408</v>
      </c>
      <c r="G26" s="4">
        <f>SUM(G24:G25)</f>
        <v>101.28301187165279</v>
      </c>
      <c r="H26" s="4"/>
    </row>
    <row r="29" spans="1:7" ht="12.75">
      <c r="A29" t="s">
        <v>420</v>
      </c>
      <c r="G29" s="352">
        <f>(G21-G26)/G26</f>
        <v>0.0928900617504384</v>
      </c>
    </row>
    <row r="32" ht="12.75">
      <c r="E32" s="206"/>
    </row>
    <row r="33" ht="12.75">
      <c r="E33" s="206"/>
    </row>
    <row r="34" ht="12.75">
      <c r="E34" s="206"/>
    </row>
    <row r="35" ht="12.75">
      <c r="E35" s="206"/>
    </row>
    <row r="36" ht="12.75">
      <c r="E36" s="206"/>
    </row>
    <row r="37" ht="12.75">
      <c r="E37" s="206"/>
    </row>
    <row r="38" ht="12.75">
      <c r="E38" s="206"/>
    </row>
    <row r="39" ht="12.75">
      <c r="E39" s="206"/>
    </row>
    <row r="40" ht="12.75">
      <c r="E40" s="206"/>
    </row>
    <row r="41" ht="12.75">
      <c r="E41" s="206"/>
    </row>
    <row r="42" ht="12.75">
      <c r="E42" s="206"/>
    </row>
    <row r="43" ht="12.75">
      <c r="E43" s="206"/>
    </row>
    <row r="44" ht="12.75">
      <c r="E44" s="206"/>
    </row>
    <row r="45" ht="12.75">
      <c r="E45" s="206"/>
    </row>
    <row r="46" ht="12.75">
      <c r="E46" s="206"/>
    </row>
    <row r="47" ht="12.75">
      <c r="E47" s="206"/>
    </row>
    <row r="48" ht="12.75">
      <c r="E48" s="206"/>
    </row>
    <row r="49" ht="12.75">
      <c r="E49" s="206"/>
    </row>
    <row r="50" ht="12.75">
      <c r="E50" s="206"/>
    </row>
    <row r="51" ht="12.75">
      <c r="E51" s="4"/>
    </row>
    <row r="52" ht="12.75">
      <c r="E52" s="4"/>
    </row>
    <row r="53" ht="12.75">
      <c r="E53" s="4"/>
    </row>
    <row r="54" ht="12.75">
      <c r="E54" s="4"/>
    </row>
    <row r="55" ht="12.75">
      <c r="E55" s="4"/>
    </row>
    <row r="56" ht="12.75">
      <c r="E56" s="4"/>
    </row>
    <row r="57" ht="12.75">
      <c r="E57" s="4"/>
    </row>
    <row r="58" ht="12.75">
      <c r="E58" s="4"/>
    </row>
    <row r="59" ht="12.75">
      <c r="E59" s="4"/>
    </row>
    <row r="60" ht="12.75">
      <c r="E60" s="4"/>
    </row>
    <row r="61" ht="12.75">
      <c r="E61" s="4"/>
    </row>
    <row r="62" ht="12.75">
      <c r="E62" s="4"/>
    </row>
    <row r="63" ht="12.75">
      <c r="E63" s="4"/>
    </row>
    <row r="64" ht="12.75">
      <c r="E64" s="4"/>
    </row>
    <row r="82" ht="12.75">
      <c r="E82" s="4"/>
    </row>
    <row r="83" ht="12.75">
      <c r="E83" s="4"/>
    </row>
    <row r="84" ht="12.75">
      <c r="E84" s="4"/>
    </row>
    <row r="85" ht="12.75">
      <c r="E85" s="4"/>
    </row>
    <row r="86" ht="12.75">
      <c r="E86" s="4"/>
    </row>
    <row r="87" ht="12.75">
      <c r="E87" s="4"/>
    </row>
    <row r="88" ht="12.75">
      <c r="E88" s="4"/>
    </row>
    <row r="89" ht="12.75">
      <c r="E89" s="4"/>
    </row>
    <row r="90" ht="12.75">
      <c r="E90" s="4"/>
    </row>
    <row r="91" ht="12.75">
      <c r="E91" s="4"/>
    </row>
    <row r="92" ht="12.75">
      <c r="E92" s="4"/>
    </row>
    <row r="93" ht="12.75">
      <c r="E93" s="4"/>
    </row>
    <row r="94" ht="12.75">
      <c r="E94" s="4"/>
    </row>
    <row r="95" ht="12.75">
      <c r="E95" s="4"/>
    </row>
    <row r="96" ht="12.75">
      <c r="E96" s="4"/>
    </row>
    <row r="97" ht="12.75">
      <c r="E97" s="4"/>
    </row>
    <row r="98" ht="12.75">
      <c r="E98" s="4"/>
    </row>
    <row r="99" ht="12.75">
      <c r="E99" s="4"/>
    </row>
    <row r="100" ht="12.75">
      <c r="E100" s="4"/>
    </row>
    <row r="101" ht="12.75">
      <c r="E101" s="4"/>
    </row>
    <row r="102" ht="12.75">
      <c r="E102" s="4"/>
    </row>
    <row r="103" ht="12.75">
      <c r="E103" s="4"/>
    </row>
    <row r="104" ht="12.75">
      <c r="E104" s="4"/>
    </row>
    <row r="105" ht="12.75">
      <c r="E105" s="4"/>
    </row>
    <row r="106" ht="12.75">
      <c r="E106" s="4"/>
    </row>
    <row r="107" ht="12.75">
      <c r="E107" s="4"/>
    </row>
    <row r="108" ht="12.75">
      <c r="E108" s="4"/>
    </row>
    <row r="109" ht="12.75">
      <c r="E109" s="4"/>
    </row>
    <row r="110" ht="12.75">
      <c r="E110" s="4"/>
    </row>
    <row r="111" ht="12.75">
      <c r="E111" s="4"/>
    </row>
    <row r="112" ht="12.75">
      <c r="E112" s="4"/>
    </row>
    <row r="113" ht="12.75">
      <c r="E113" s="4"/>
    </row>
    <row r="114" ht="12.75">
      <c r="E114" s="4"/>
    </row>
    <row r="115" ht="12.75">
      <c r="E115" s="4"/>
    </row>
    <row r="116" ht="12.75">
      <c r="E116" s="4"/>
    </row>
    <row r="117" ht="12.75">
      <c r="E117" s="4"/>
    </row>
    <row r="118" ht="12.75">
      <c r="E118" s="4"/>
    </row>
    <row r="119" ht="12.75">
      <c r="E119" s="4"/>
    </row>
    <row r="120" ht="12.75">
      <c r="E120" s="4"/>
    </row>
    <row r="121" ht="12.75">
      <c r="E121" s="4"/>
    </row>
    <row r="122" ht="12.75">
      <c r="E122" s="4"/>
    </row>
    <row r="123" ht="12.75">
      <c r="E123" s="4"/>
    </row>
    <row r="124" ht="12.75">
      <c r="E124" s="4"/>
    </row>
    <row r="125" ht="12.75">
      <c r="E125" s="4"/>
    </row>
    <row r="126" ht="12.75">
      <c r="E126" s="4"/>
    </row>
    <row r="127" ht="12.75">
      <c r="E127" s="4"/>
    </row>
    <row r="128" ht="12.75">
      <c r="E128" s="4"/>
    </row>
    <row r="129" ht="12.75">
      <c r="E129" s="4"/>
    </row>
    <row r="130" ht="12.75">
      <c r="E130" s="4"/>
    </row>
    <row r="131" ht="12.75">
      <c r="E131" s="4"/>
    </row>
  </sheetData>
  <mergeCells count="1">
    <mergeCell ref="A3:G3"/>
  </mergeCells>
  <conditionalFormatting sqref="A3:A4">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dc:creator>
  <cp:keywords/>
  <dc:description/>
  <cp:lastModifiedBy>defuser</cp:lastModifiedBy>
  <cp:lastPrinted>2008-01-25T20:36:38Z</cp:lastPrinted>
  <dcterms:created xsi:type="dcterms:W3CDTF">2007-03-30T17:22:28Z</dcterms:created>
  <dcterms:modified xsi:type="dcterms:W3CDTF">2008-02-22T15:02:01Z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